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#15  ARCHIVO   2 0 2 2\CENTRAL #12  DICIEMBRE 2022\"/>
    </mc:Choice>
  </mc:AlternateContent>
  <bookViews>
    <workbookView xWindow="0" yWindow="0" windowWidth="17655" windowHeight="11220" firstSheet="7" activeTab="9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   J U L I O     2 0 2 2    " sheetId="7" r:id="rId7"/>
    <sheet name="    A G O S T O    2 0 2 2    " sheetId="8" r:id="rId8"/>
    <sheet name="SEPTIEMBRE     2 0 2 2      " sheetId="9" r:id="rId9"/>
    <sheet name="  OCTUBRE   2 0 2 2        " sheetId="10" r:id="rId10"/>
    <sheet name="Hoja1" sheetId="11" r:id="rId11"/>
    <sheet name="Hoja3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257" i="10" l="1"/>
  <c r="F1998" i="10"/>
  <c r="F1617" i="10"/>
  <c r="G3409" i="9" l="1"/>
  <c r="F3415" i="9"/>
  <c r="F181" i="9"/>
  <c r="F1474" i="10" l="1"/>
  <c r="F1277" i="10" l="1"/>
  <c r="F1159" i="10" l="1"/>
  <c r="F886" i="8"/>
  <c r="F854" i="10" l="1"/>
  <c r="F3217" i="10" l="1"/>
  <c r="F3243" i="10" l="1"/>
  <c r="F3230" i="10"/>
  <c r="F3190" i="10"/>
  <c r="F3249" i="10" l="1"/>
  <c r="F3234" i="10"/>
  <c r="F3221" i="10" l="1"/>
  <c r="F2579" i="9" l="1"/>
  <c r="F3244" i="10" l="1"/>
  <c r="F3169" i="10"/>
  <c r="F3051" i="10"/>
  <c r="F2586" i="10" l="1"/>
  <c r="F3344" i="10" l="1"/>
  <c r="E3350" i="10" s="1"/>
  <c r="D3344" i="10"/>
  <c r="G3343" i="10"/>
  <c r="G3342" i="10"/>
  <c r="G3341" i="10"/>
  <c r="G3340" i="10"/>
  <c r="G3339" i="10"/>
  <c r="G3338" i="10"/>
  <c r="G3337" i="10"/>
  <c r="G3336" i="10"/>
  <c r="G3335" i="10"/>
  <c r="G3334" i="10"/>
  <c r="G3333" i="10"/>
  <c r="G3332" i="10"/>
  <c r="G3331" i="10"/>
  <c r="G3330" i="10"/>
  <c r="G3329" i="10"/>
  <c r="G3328" i="10"/>
  <c r="G3327" i="10"/>
  <c r="G3326" i="10"/>
  <c r="G3325" i="10"/>
  <c r="G3324" i="10"/>
  <c r="G3323" i="10"/>
  <c r="G3322" i="10"/>
  <c r="G3321" i="10"/>
  <c r="G3320" i="10"/>
  <c r="G3319" i="10"/>
  <c r="G3318" i="10"/>
  <c r="G3317" i="10"/>
  <c r="G3316" i="10"/>
  <c r="G3315" i="10"/>
  <c r="G3314" i="10"/>
  <c r="G3313" i="10"/>
  <c r="G3312" i="10"/>
  <c r="G3311" i="10"/>
  <c r="G3310" i="10"/>
  <c r="G3309" i="10"/>
  <c r="G3308" i="10"/>
  <c r="G3307" i="10"/>
  <c r="G3306" i="10"/>
  <c r="G3305" i="10"/>
  <c r="G3304" i="10"/>
  <c r="G3303" i="10"/>
  <c r="G3302" i="10"/>
  <c r="G3301" i="10"/>
  <c r="G3300" i="10"/>
  <c r="G3299" i="10"/>
  <c r="G3298" i="10"/>
  <c r="G3297" i="10"/>
  <c r="G3296" i="10"/>
  <c r="G3295" i="10"/>
  <c r="G3294" i="10"/>
  <c r="G3293" i="10"/>
  <c r="G3292" i="10"/>
  <c r="G3291" i="10"/>
  <c r="G3290" i="10"/>
  <c r="G3289" i="10"/>
  <c r="G3288" i="10"/>
  <c r="G3287" i="10"/>
  <c r="G3286" i="10"/>
  <c r="G3285" i="10"/>
  <c r="G3284" i="10"/>
  <c r="G3283" i="10"/>
  <c r="G3282" i="10"/>
  <c r="G3281" i="10"/>
  <c r="G3280" i="10"/>
  <c r="G3279" i="10"/>
  <c r="G3278" i="10"/>
  <c r="G3277" i="10"/>
  <c r="G3276" i="10"/>
  <c r="G3275" i="10"/>
  <c r="G3274" i="10"/>
  <c r="G3273" i="10"/>
  <c r="G3272" i="10"/>
  <c r="G3271" i="10"/>
  <c r="G3270" i="10"/>
  <c r="G3269" i="10"/>
  <c r="G3268" i="10"/>
  <c r="G3267" i="10"/>
  <c r="G3266" i="10"/>
  <c r="G3265" i="10"/>
  <c r="G3264" i="10"/>
  <c r="G3263" i="10"/>
  <c r="G3262" i="10"/>
  <c r="G3261" i="10"/>
  <c r="G3260" i="10"/>
  <c r="G3259" i="10"/>
  <c r="G3258" i="10"/>
  <c r="G3257" i="10"/>
  <c r="G3256" i="10"/>
  <c r="G3255" i="10"/>
  <c r="G3254" i="10"/>
  <c r="G3253" i="10"/>
  <c r="G3252" i="10"/>
  <c r="G3251" i="10"/>
  <c r="G3250" i="10"/>
  <c r="G3249" i="10"/>
  <c r="G3248" i="10"/>
  <c r="G3247" i="10"/>
  <c r="G3246" i="10"/>
  <c r="G3245" i="10"/>
  <c r="G3244" i="10"/>
  <c r="G3243" i="10"/>
  <c r="G3242" i="10"/>
  <c r="G3241" i="10"/>
  <c r="G3240" i="10"/>
  <c r="G3239" i="10"/>
  <c r="G3238" i="10"/>
  <c r="G3237" i="10"/>
  <c r="G3236" i="10"/>
  <c r="G3235" i="10"/>
  <c r="G3234" i="10"/>
  <c r="G3233" i="10"/>
  <c r="G3232" i="10"/>
  <c r="G3231" i="10"/>
  <c r="G3230" i="10"/>
  <c r="G3229" i="10"/>
  <c r="G3228" i="10"/>
  <c r="G3227" i="10"/>
  <c r="G3226" i="10"/>
  <c r="G3225" i="10"/>
  <c r="G3224" i="10"/>
  <c r="G3223" i="10"/>
  <c r="G3222" i="10"/>
  <c r="G3221" i="10"/>
  <c r="G3220" i="10"/>
  <c r="G3219" i="10"/>
  <c r="G3218" i="10"/>
  <c r="G3217" i="10"/>
  <c r="G3216" i="10"/>
  <c r="G3215" i="10"/>
  <c r="G3214" i="10"/>
  <c r="G3213" i="10"/>
  <c r="G3212" i="10"/>
  <c r="G3211" i="10"/>
  <c r="G3210" i="10"/>
  <c r="G3209" i="10"/>
  <c r="G3208" i="10"/>
  <c r="G3207" i="10"/>
  <c r="G3206" i="10"/>
  <c r="G3205" i="10"/>
  <c r="G3204" i="10"/>
  <c r="G3203" i="10"/>
  <c r="G3202" i="10"/>
  <c r="G3201" i="10"/>
  <c r="G3200" i="10"/>
  <c r="G3199" i="10"/>
  <c r="G3198" i="10"/>
  <c r="G3197" i="10"/>
  <c r="G3196" i="10"/>
  <c r="G3195" i="10"/>
  <c r="G3194" i="10"/>
  <c r="G3193" i="10"/>
  <c r="G3192" i="10"/>
  <c r="G3191" i="10"/>
  <c r="G3190" i="10"/>
  <c r="G3189" i="10"/>
  <c r="G3188" i="10"/>
  <c r="G3187" i="10"/>
  <c r="G3186" i="10"/>
  <c r="G3185" i="10"/>
  <c r="G3184" i="10"/>
  <c r="G3183" i="10"/>
  <c r="G3182" i="10"/>
  <c r="G3181" i="10"/>
  <c r="G3180" i="10"/>
  <c r="G3179" i="10"/>
  <c r="G3178" i="10"/>
  <c r="G3177" i="10"/>
  <c r="G3176" i="10"/>
  <c r="G3175" i="10"/>
  <c r="G3174" i="10"/>
  <c r="G3173" i="10"/>
  <c r="G3172" i="10"/>
  <c r="G3171" i="10"/>
  <c r="G3170" i="10"/>
  <c r="G3169" i="10"/>
  <c r="G3168" i="10"/>
  <c r="G3167" i="10"/>
  <c r="G3166" i="10"/>
  <c r="G3165" i="10"/>
  <c r="G3164" i="10"/>
  <c r="G3163" i="10"/>
  <c r="G3162" i="10"/>
  <c r="G3161" i="10"/>
  <c r="G3160" i="10"/>
  <c r="G3159" i="10"/>
  <c r="G3158" i="10"/>
  <c r="G3157" i="10"/>
  <c r="G3156" i="10"/>
  <c r="G3155" i="10"/>
  <c r="G3154" i="10"/>
  <c r="G3153" i="10"/>
  <c r="G3152" i="10"/>
  <c r="G3151" i="10"/>
  <c r="G3150" i="10"/>
  <c r="G3149" i="10"/>
  <c r="G3148" i="10"/>
  <c r="G3147" i="10"/>
  <c r="G3146" i="10"/>
  <c r="G3145" i="10"/>
  <c r="G3144" i="10"/>
  <c r="G3143" i="10"/>
  <c r="G3142" i="10"/>
  <c r="G3141" i="10"/>
  <c r="G3140" i="10"/>
  <c r="G3139" i="10"/>
  <c r="G3138" i="10"/>
  <c r="G3137" i="10"/>
  <c r="G3136" i="10"/>
  <c r="G3135" i="10"/>
  <c r="G3134" i="10"/>
  <c r="G3133" i="10"/>
  <c r="G3132" i="10"/>
  <c r="G3131" i="10"/>
  <c r="G3130" i="10"/>
  <c r="G3129" i="10"/>
  <c r="G3128" i="10"/>
  <c r="G3127" i="10"/>
  <c r="G3126" i="10"/>
  <c r="G3125" i="10"/>
  <c r="G3124" i="10"/>
  <c r="G3123" i="10"/>
  <c r="G3122" i="10"/>
  <c r="G3121" i="10"/>
  <c r="G3120" i="10"/>
  <c r="G3119" i="10"/>
  <c r="G3118" i="10"/>
  <c r="G3117" i="10"/>
  <c r="G3116" i="10"/>
  <c r="G3115" i="10"/>
  <c r="G3114" i="10"/>
  <c r="G3113" i="10"/>
  <c r="G3112" i="10"/>
  <c r="G3111" i="10"/>
  <c r="G3110" i="10"/>
  <c r="G3109" i="10"/>
  <c r="G3108" i="10"/>
  <c r="G3107" i="10"/>
  <c r="G3106" i="10"/>
  <c r="G3105" i="10"/>
  <c r="G3104" i="10"/>
  <c r="G3103" i="10"/>
  <c r="G3102" i="10"/>
  <c r="G3101" i="10"/>
  <c r="G3100" i="10"/>
  <c r="G3099" i="10"/>
  <c r="G3098" i="10"/>
  <c r="G3097" i="10"/>
  <c r="G3096" i="10"/>
  <c r="G3095" i="10"/>
  <c r="G3094" i="10"/>
  <c r="G3093" i="10"/>
  <c r="G3092" i="10"/>
  <c r="G3091" i="10"/>
  <c r="G3090" i="10"/>
  <c r="G3089" i="10"/>
  <c r="G3088" i="10"/>
  <c r="G3087" i="10"/>
  <c r="G3086" i="10"/>
  <c r="G3085" i="10"/>
  <c r="G3084" i="10"/>
  <c r="G3083" i="10"/>
  <c r="G3082" i="10"/>
  <c r="G3081" i="10"/>
  <c r="G3080" i="10"/>
  <c r="G3079" i="10"/>
  <c r="G3078" i="10"/>
  <c r="G3077" i="10"/>
  <c r="G3076" i="10"/>
  <c r="G3075" i="10"/>
  <c r="G3074" i="10"/>
  <c r="G3073" i="10"/>
  <c r="G3072" i="10"/>
  <c r="F3071" i="10"/>
  <c r="G3071" i="10" s="1"/>
  <c r="G3070" i="10"/>
  <c r="G3069" i="10"/>
  <c r="G3068" i="10"/>
  <c r="G3067" i="10"/>
  <c r="G3066" i="10"/>
  <c r="G3065" i="10"/>
  <c r="G3064" i="10"/>
  <c r="G3063" i="10"/>
  <c r="G3062" i="10"/>
  <c r="G3061" i="10"/>
  <c r="G3060" i="10"/>
  <c r="G3059" i="10"/>
  <c r="G3058" i="10"/>
  <c r="G3057" i="10"/>
  <c r="G3056" i="10"/>
  <c r="G3055" i="10"/>
  <c r="G3054" i="10"/>
  <c r="G3053" i="10"/>
  <c r="G3052" i="10"/>
  <c r="G3051" i="10"/>
  <c r="G3050" i="10"/>
  <c r="G3049" i="10"/>
  <c r="G3048" i="10"/>
  <c r="G3047" i="10"/>
  <c r="F3046" i="10"/>
  <c r="G3046" i="10" s="1"/>
  <c r="G3045" i="10"/>
  <c r="F3045" i="10"/>
  <c r="G3044" i="10"/>
  <c r="G3043" i="10"/>
  <c r="G3042" i="10"/>
  <c r="G3041" i="10"/>
  <c r="G3040" i="10"/>
  <c r="G3039" i="10"/>
  <c r="G3038" i="10"/>
  <c r="G3037" i="10"/>
  <c r="G3036" i="10"/>
  <c r="G3035" i="10"/>
  <c r="G3034" i="10"/>
  <c r="G3033" i="10"/>
  <c r="G3032" i="10"/>
  <c r="G3031" i="10"/>
  <c r="G3030" i="10"/>
  <c r="G3029" i="10"/>
  <c r="G3028" i="10"/>
  <c r="G3027" i="10"/>
  <c r="G3026" i="10"/>
  <c r="G3025" i="10"/>
  <c r="G3024" i="10"/>
  <c r="G3023" i="10"/>
  <c r="G3022" i="10"/>
  <c r="G3021" i="10"/>
  <c r="G3020" i="10"/>
  <c r="G3019" i="10"/>
  <c r="G3018" i="10"/>
  <c r="G3017" i="10"/>
  <c r="G3016" i="10"/>
  <c r="G3015" i="10"/>
  <c r="G3014" i="10"/>
  <c r="G3013" i="10"/>
  <c r="G3012" i="10"/>
  <c r="G3011" i="10"/>
  <c r="G3010" i="10"/>
  <c r="G3009" i="10"/>
  <c r="G3008" i="10"/>
  <c r="G3007" i="10"/>
  <c r="G3006" i="10"/>
  <c r="G3005" i="10"/>
  <c r="G3004" i="10"/>
  <c r="G3003" i="10"/>
  <c r="G3002" i="10"/>
  <c r="G3001" i="10"/>
  <c r="G3000" i="10"/>
  <c r="G2999" i="10"/>
  <c r="G2998" i="10"/>
  <c r="G2997" i="10"/>
  <c r="G2996" i="10"/>
  <c r="G2995" i="10"/>
  <c r="G2994" i="10"/>
  <c r="G2993" i="10"/>
  <c r="G2992" i="10"/>
  <c r="G2991" i="10"/>
  <c r="G2990" i="10"/>
  <c r="G2989" i="10"/>
  <c r="G2988" i="10"/>
  <c r="G2987" i="10"/>
  <c r="G2986" i="10"/>
  <c r="G2985" i="10"/>
  <c r="G2984" i="10"/>
  <c r="G2983" i="10"/>
  <c r="G2982" i="10"/>
  <c r="G2981" i="10"/>
  <c r="G2980" i="10"/>
  <c r="G2979" i="10"/>
  <c r="G2978" i="10"/>
  <c r="G2977" i="10"/>
  <c r="G2976" i="10"/>
  <c r="G2975" i="10"/>
  <c r="G2974" i="10"/>
  <c r="G2973" i="10"/>
  <c r="G2972" i="10"/>
  <c r="G2971" i="10"/>
  <c r="G2970" i="10"/>
  <c r="G2969" i="10"/>
  <c r="G2968" i="10"/>
  <c r="G2967" i="10"/>
  <c r="G2966" i="10"/>
  <c r="G2965" i="10"/>
  <c r="G2964" i="10"/>
  <c r="G2963" i="10"/>
  <c r="G2962" i="10"/>
  <c r="G2961" i="10"/>
  <c r="G2960" i="10"/>
  <c r="G2959" i="10"/>
  <c r="G2958" i="10"/>
  <c r="G2957" i="10"/>
  <c r="G2956" i="10"/>
  <c r="G2955" i="10"/>
  <c r="G2954" i="10"/>
  <c r="G2953" i="10"/>
  <c r="G2952" i="10"/>
  <c r="G2951" i="10"/>
  <c r="G2950" i="10"/>
  <c r="G2949" i="10"/>
  <c r="G2948" i="10"/>
  <c r="G2947" i="10"/>
  <c r="G2946" i="10"/>
  <c r="G2945" i="10"/>
  <c r="G2944" i="10"/>
  <c r="F2944" i="10"/>
  <c r="G2943" i="10"/>
  <c r="G2942" i="10"/>
  <c r="G2941" i="10"/>
  <c r="G2940" i="10"/>
  <c r="G2939" i="10"/>
  <c r="G2938" i="10"/>
  <c r="G2937" i="10"/>
  <c r="G2936" i="10"/>
  <c r="G2935" i="10"/>
  <c r="G2934" i="10"/>
  <c r="G2933" i="10"/>
  <c r="G2932" i="10"/>
  <c r="G2931" i="10"/>
  <c r="F2930" i="10"/>
  <c r="G2930" i="10" s="1"/>
  <c r="F2929" i="10"/>
  <c r="G2929" i="10" s="1"/>
  <c r="G2928" i="10"/>
  <c r="G2927" i="10"/>
  <c r="G2926" i="10"/>
  <c r="G2925" i="10"/>
  <c r="G2924" i="10"/>
  <c r="G2923" i="10"/>
  <c r="G2922" i="10"/>
  <c r="G2921" i="10"/>
  <c r="G2920" i="10"/>
  <c r="G2919" i="10"/>
  <c r="G2918" i="10"/>
  <c r="G2917" i="10"/>
  <c r="G2916" i="10"/>
  <c r="G2915" i="10"/>
  <c r="G2914" i="10"/>
  <c r="G2913" i="10"/>
  <c r="G2912" i="10"/>
  <c r="G2911" i="10"/>
  <c r="G2910" i="10"/>
  <c r="G2909" i="10"/>
  <c r="G2908" i="10"/>
  <c r="G2907" i="10"/>
  <c r="G2906" i="10"/>
  <c r="G2905" i="10"/>
  <c r="G2904" i="10"/>
  <c r="G2903" i="10"/>
  <c r="G2902" i="10"/>
  <c r="G2901" i="10"/>
  <c r="G2900" i="10"/>
  <c r="G2899" i="10"/>
  <c r="G2898" i="10"/>
  <c r="G2897" i="10"/>
  <c r="G2896" i="10"/>
  <c r="G2895" i="10"/>
  <c r="G2894" i="10"/>
  <c r="G2893" i="10"/>
  <c r="G2892" i="10"/>
  <c r="G2891" i="10"/>
  <c r="G2890" i="10"/>
  <c r="G2889" i="10"/>
  <c r="G2888" i="10"/>
  <c r="G2887" i="10"/>
  <c r="G2886" i="10"/>
  <c r="G2885" i="10"/>
  <c r="G2884" i="10"/>
  <c r="G2883" i="10"/>
  <c r="G2882" i="10"/>
  <c r="G2881" i="10"/>
  <c r="G2880" i="10"/>
  <c r="G2879" i="10"/>
  <c r="G2878" i="10"/>
  <c r="G2877" i="10"/>
  <c r="G2876" i="10"/>
  <c r="G2875" i="10"/>
  <c r="G2874" i="10"/>
  <c r="G2873" i="10"/>
  <c r="G2872" i="10"/>
  <c r="G2871" i="10"/>
  <c r="G2870" i="10"/>
  <c r="G2869" i="10"/>
  <c r="G2868" i="10"/>
  <c r="G2867" i="10"/>
  <c r="G2866" i="10"/>
  <c r="G2865" i="10"/>
  <c r="G2864" i="10"/>
  <c r="G2863" i="10"/>
  <c r="G2862" i="10"/>
  <c r="G2861" i="10"/>
  <c r="G2860" i="10"/>
  <c r="G2859" i="10"/>
  <c r="G2858" i="10"/>
  <c r="G2857" i="10"/>
  <c r="G2856" i="10"/>
  <c r="G2855" i="10"/>
  <c r="G2854" i="10"/>
  <c r="G2853" i="10"/>
  <c r="G2852" i="10"/>
  <c r="G2851" i="10"/>
  <c r="G2850" i="10"/>
  <c r="G2849" i="10"/>
  <c r="G2848" i="10"/>
  <c r="G2847" i="10"/>
  <c r="G2846" i="10"/>
  <c r="G2845" i="10"/>
  <c r="G2844" i="10"/>
  <c r="G2843" i="10"/>
  <c r="G2842" i="10"/>
  <c r="G2841" i="10"/>
  <c r="G2840" i="10"/>
  <c r="G2839" i="10"/>
  <c r="G2838" i="10"/>
  <c r="G2837" i="10"/>
  <c r="G2836" i="10"/>
  <c r="G2835" i="10"/>
  <c r="G2834" i="10"/>
  <c r="G2833" i="10"/>
  <c r="G2832" i="10"/>
  <c r="G2831" i="10"/>
  <c r="G2830" i="10"/>
  <c r="G2829" i="10"/>
  <c r="G2828" i="10"/>
  <c r="G2827" i="10"/>
  <c r="G2826" i="10"/>
  <c r="G2825" i="10"/>
  <c r="G2824" i="10"/>
  <c r="G2823" i="10"/>
  <c r="G2822" i="10"/>
  <c r="G2821" i="10"/>
  <c r="G2820" i="10"/>
  <c r="G2819" i="10"/>
  <c r="F2818" i="10"/>
  <c r="G2818" i="10" s="1"/>
  <c r="G2817" i="10"/>
  <c r="G2816" i="10"/>
  <c r="G2815" i="10"/>
  <c r="G2814" i="10"/>
  <c r="G2813" i="10"/>
  <c r="G2812" i="10"/>
  <c r="G2811" i="10"/>
  <c r="G2810" i="10"/>
  <c r="G2809" i="10"/>
  <c r="G2808" i="10"/>
  <c r="G2807" i="10"/>
  <c r="G2806" i="10"/>
  <c r="G2805" i="10"/>
  <c r="G2804" i="10"/>
  <c r="G2803" i="10"/>
  <c r="G2802" i="10"/>
  <c r="G2801" i="10"/>
  <c r="G2800" i="10"/>
  <c r="G2799" i="10"/>
  <c r="G2798" i="10"/>
  <c r="G2797" i="10"/>
  <c r="G2796" i="10"/>
  <c r="G2795" i="10"/>
  <c r="G2794" i="10"/>
  <c r="G2793" i="10"/>
  <c r="G2792" i="10"/>
  <c r="G2791" i="10"/>
  <c r="G2790" i="10"/>
  <c r="G2789" i="10"/>
  <c r="G2788" i="10"/>
  <c r="G2787" i="10"/>
  <c r="G2786" i="10"/>
  <c r="G2785" i="10"/>
  <c r="G2784" i="10"/>
  <c r="G2783" i="10"/>
  <c r="G2782" i="10"/>
  <c r="G2781" i="10"/>
  <c r="G2780" i="10"/>
  <c r="G2779" i="10"/>
  <c r="G2778" i="10"/>
  <c r="G2777" i="10"/>
  <c r="G2776" i="10"/>
  <c r="G2775" i="10"/>
  <c r="G2774" i="10"/>
  <c r="G2773" i="10"/>
  <c r="G2772" i="10"/>
  <c r="G2771" i="10"/>
  <c r="G2770" i="10"/>
  <c r="G2769" i="10"/>
  <c r="G2768" i="10"/>
  <c r="G2767" i="10"/>
  <c r="G2766" i="10"/>
  <c r="G2765" i="10"/>
  <c r="G2764" i="10"/>
  <c r="G2763" i="10"/>
  <c r="G2762" i="10"/>
  <c r="G2761" i="10"/>
  <c r="G2760" i="10"/>
  <c r="G2759" i="10"/>
  <c r="G2758" i="10"/>
  <c r="G2757" i="10"/>
  <c r="G2756" i="10"/>
  <c r="G2755" i="10"/>
  <c r="G2754" i="10"/>
  <c r="G2753" i="10"/>
  <c r="G2752" i="10"/>
  <c r="G2751" i="10"/>
  <c r="G2750" i="10"/>
  <c r="G2749" i="10"/>
  <c r="G2748" i="10"/>
  <c r="G2747" i="10"/>
  <c r="G2746" i="10"/>
  <c r="G2745" i="10"/>
  <c r="G2744" i="10"/>
  <c r="G2743" i="10"/>
  <c r="G2742" i="10"/>
  <c r="G2741" i="10"/>
  <c r="G2740" i="10"/>
  <c r="G2739" i="10"/>
  <c r="G2738" i="10"/>
  <c r="G2737" i="10"/>
  <c r="G2736" i="10"/>
  <c r="G2735" i="10"/>
  <c r="G2734" i="10"/>
  <c r="G2733" i="10"/>
  <c r="G2732" i="10"/>
  <c r="G2731" i="10"/>
  <c r="G2730" i="10"/>
  <c r="G2729" i="10"/>
  <c r="G2728" i="10"/>
  <c r="G2727" i="10"/>
  <c r="G2726" i="10"/>
  <c r="G2725" i="10"/>
  <c r="G2724" i="10"/>
  <c r="G2723" i="10"/>
  <c r="G2722" i="10"/>
  <c r="G2721" i="10"/>
  <c r="G2720" i="10"/>
  <c r="G2719" i="10"/>
  <c r="G2718" i="10"/>
  <c r="G2717" i="10"/>
  <c r="G2716" i="10"/>
  <c r="G2715" i="10"/>
  <c r="G2714" i="10"/>
  <c r="G2713" i="10"/>
  <c r="G2712" i="10"/>
  <c r="G2711" i="10"/>
  <c r="G2710" i="10"/>
  <c r="G2709" i="10"/>
  <c r="G2708" i="10"/>
  <c r="G2707" i="10"/>
  <c r="G2706" i="10"/>
  <c r="G2705" i="10"/>
  <c r="G2704" i="10"/>
  <c r="G2703" i="10"/>
  <c r="G2702" i="10"/>
  <c r="G2701" i="10"/>
  <c r="G2700" i="10"/>
  <c r="G2699" i="10"/>
  <c r="G2698" i="10"/>
  <c r="G2697" i="10"/>
  <c r="G2696" i="10"/>
  <c r="G2695" i="10"/>
  <c r="G2694" i="10"/>
  <c r="G2693" i="10"/>
  <c r="G2692" i="10"/>
  <c r="G2691" i="10"/>
  <c r="G2690" i="10"/>
  <c r="G2689" i="10"/>
  <c r="G2688" i="10"/>
  <c r="G2687" i="10"/>
  <c r="G2686" i="10"/>
  <c r="G2685" i="10"/>
  <c r="G2684" i="10"/>
  <c r="G2683" i="10"/>
  <c r="G2682" i="10"/>
  <c r="G2681" i="10"/>
  <c r="G2680" i="10"/>
  <c r="G2679" i="10"/>
  <c r="G2678" i="10"/>
  <c r="G2677" i="10"/>
  <c r="G2676" i="10"/>
  <c r="G2675" i="10"/>
  <c r="G2674" i="10"/>
  <c r="G2673" i="10"/>
  <c r="G2672" i="10"/>
  <c r="G2671" i="10"/>
  <c r="G2670" i="10"/>
  <c r="G2669" i="10"/>
  <c r="G2668" i="10"/>
  <c r="G2667" i="10"/>
  <c r="G2666" i="10"/>
  <c r="G2665" i="10"/>
  <c r="G2664" i="10"/>
  <c r="G2663" i="10"/>
  <c r="G2662" i="10"/>
  <c r="G2661" i="10"/>
  <c r="G2660" i="10"/>
  <c r="G2659" i="10"/>
  <c r="G2658" i="10"/>
  <c r="G2657" i="10"/>
  <c r="G2656" i="10"/>
  <c r="G2655" i="10"/>
  <c r="G2654" i="10"/>
  <c r="G2653" i="10"/>
  <c r="G2652" i="10"/>
  <c r="G2651" i="10"/>
  <c r="G2650" i="10"/>
  <c r="G2649" i="10"/>
  <c r="G2648" i="10"/>
  <c r="G2647" i="10"/>
  <c r="G2646" i="10"/>
  <c r="G2645" i="10"/>
  <c r="G2644" i="10"/>
  <c r="G2643" i="10"/>
  <c r="G2642" i="10"/>
  <c r="G2641" i="10"/>
  <c r="G2640" i="10"/>
  <c r="G2639" i="10"/>
  <c r="G2638" i="10"/>
  <c r="G2637" i="10"/>
  <c r="G2636" i="10"/>
  <c r="G2635" i="10"/>
  <c r="G2634" i="10"/>
  <c r="G2633" i="10"/>
  <c r="G2632" i="10"/>
  <c r="G2631" i="10"/>
  <c r="G2630" i="10"/>
  <c r="G2629" i="10"/>
  <c r="G2628" i="10"/>
  <c r="G2627" i="10"/>
  <c r="G2626" i="10"/>
  <c r="G2625" i="10"/>
  <c r="G2624" i="10"/>
  <c r="G2623" i="10"/>
  <c r="G2622" i="10"/>
  <c r="G2621" i="10"/>
  <c r="G2620" i="10"/>
  <c r="G2619" i="10"/>
  <c r="G2618" i="10"/>
  <c r="G2617" i="10"/>
  <c r="G2616" i="10"/>
  <c r="G2615" i="10"/>
  <c r="G2614" i="10"/>
  <c r="G2613" i="10"/>
  <c r="G2612" i="10"/>
  <c r="G2611" i="10"/>
  <c r="G2610" i="10"/>
  <c r="G2609" i="10"/>
  <c r="G2608" i="10"/>
  <c r="G2607" i="10"/>
  <c r="G2606" i="10"/>
  <c r="G2605" i="10"/>
  <c r="G2604" i="10"/>
  <c r="F2603" i="10"/>
  <c r="G2603" i="10" s="1"/>
  <c r="G2602" i="10"/>
  <c r="G2601" i="10"/>
  <c r="G2600" i="10"/>
  <c r="G2599" i="10"/>
  <c r="G2598" i="10"/>
  <c r="G2597" i="10"/>
  <c r="F2596" i="10"/>
  <c r="G2596" i="10" s="1"/>
  <c r="G2595" i="10"/>
  <c r="G2594" i="10"/>
  <c r="G2593" i="10"/>
  <c r="G2592" i="10"/>
  <c r="G2591" i="10"/>
  <c r="G2590" i="10"/>
  <c r="G2589" i="10"/>
  <c r="G2588" i="10"/>
  <c r="G2587" i="10"/>
  <c r="G2586" i="10"/>
  <c r="G2585" i="10"/>
  <c r="G2584" i="10"/>
  <c r="G2583" i="10"/>
  <c r="G2582" i="10"/>
  <c r="G2581" i="10"/>
  <c r="G2580" i="10"/>
  <c r="G2579" i="10"/>
  <c r="G2578" i="10"/>
  <c r="G2577" i="10"/>
  <c r="G2576" i="10"/>
  <c r="G2575" i="10"/>
  <c r="G2574" i="10"/>
  <c r="G2573" i="10"/>
  <c r="G2572" i="10"/>
  <c r="G2571" i="10"/>
  <c r="G2570" i="10"/>
  <c r="G2569" i="10"/>
  <c r="G2568" i="10"/>
  <c r="G2567" i="10"/>
  <c r="G2566" i="10"/>
  <c r="G2565" i="10"/>
  <c r="G2564" i="10"/>
  <c r="G2563" i="10"/>
  <c r="G2562" i="10"/>
  <c r="G2561" i="10"/>
  <c r="G2560" i="10"/>
  <c r="G2559" i="10"/>
  <c r="G2558" i="10"/>
  <c r="G2557" i="10"/>
  <c r="G2556" i="10"/>
  <c r="G2555" i="10"/>
  <c r="G2554" i="10"/>
  <c r="G2553" i="10"/>
  <c r="G2552" i="10"/>
  <c r="G2551" i="10"/>
  <c r="G2550" i="10"/>
  <c r="G2549" i="10"/>
  <c r="G2548" i="10"/>
  <c r="G2547" i="10"/>
  <c r="G2546" i="10"/>
  <c r="G2545" i="10"/>
  <c r="G2544" i="10"/>
  <c r="G2543" i="10"/>
  <c r="G2542" i="10"/>
  <c r="G2541" i="10"/>
  <c r="G2540" i="10"/>
  <c r="G2539" i="10"/>
  <c r="G2538" i="10"/>
  <c r="G2537" i="10"/>
  <c r="G2536" i="10"/>
  <c r="G2535" i="10"/>
  <c r="G2534" i="10"/>
  <c r="G2533" i="10"/>
  <c r="G2532" i="10"/>
  <c r="G2531" i="10"/>
  <c r="G2530" i="10"/>
  <c r="G2529" i="10"/>
  <c r="G2528" i="10"/>
  <c r="G2527" i="10"/>
  <c r="G2526" i="10"/>
  <c r="G2525" i="10"/>
  <c r="G2524" i="10"/>
  <c r="G2523" i="10"/>
  <c r="G2522" i="10"/>
  <c r="G2521" i="10"/>
  <c r="G2520" i="10"/>
  <c r="G2519" i="10"/>
  <c r="G2518" i="10"/>
  <c r="G2517" i="10"/>
  <c r="G2516" i="10"/>
  <c r="G2515" i="10"/>
  <c r="G2514" i="10"/>
  <c r="G2513" i="10"/>
  <c r="G2512" i="10"/>
  <c r="G2511" i="10"/>
  <c r="G2510" i="10"/>
  <c r="G2509" i="10"/>
  <c r="G2508" i="10"/>
  <c r="G2507" i="10"/>
  <c r="G2506" i="10"/>
  <c r="G2505" i="10"/>
  <c r="G2504" i="10"/>
  <c r="G2503" i="10"/>
  <c r="G2502" i="10"/>
  <c r="G2501" i="10"/>
  <c r="G2500" i="10"/>
  <c r="G2499" i="10"/>
  <c r="G2498" i="10"/>
  <c r="G2497" i="10"/>
  <c r="G2496" i="10"/>
  <c r="G2495" i="10"/>
  <c r="G2494" i="10"/>
  <c r="G2493" i="10"/>
  <c r="F2493" i="10"/>
  <c r="G2492" i="10"/>
  <c r="G2491" i="10"/>
  <c r="G2490" i="10"/>
  <c r="G2489" i="10"/>
  <c r="G2488" i="10"/>
  <c r="G2487" i="10"/>
  <c r="G2486" i="10"/>
  <c r="G2485" i="10"/>
  <c r="G2484" i="10"/>
  <c r="F2483" i="10"/>
  <c r="G2483" i="10" s="1"/>
  <c r="G2482" i="10"/>
  <c r="G2481" i="10"/>
  <c r="G2480" i="10"/>
  <c r="G2479" i="10"/>
  <c r="G2478" i="10"/>
  <c r="G2477" i="10"/>
  <c r="G2476" i="10"/>
  <c r="G2475" i="10"/>
  <c r="G2474" i="10"/>
  <c r="G2473" i="10"/>
  <c r="G2472" i="10"/>
  <c r="G2471" i="10"/>
  <c r="G2470" i="10"/>
  <c r="G2469" i="10"/>
  <c r="G2468" i="10"/>
  <c r="G2467" i="10"/>
  <c r="G2466" i="10"/>
  <c r="G2465" i="10"/>
  <c r="G2464" i="10"/>
  <c r="G2463" i="10"/>
  <c r="G2462" i="10"/>
  <c r="G2461" i="10"/>
  <c r="G2460" i="10"/>
  <c r="G2459" i="10"/>
  <c r="G2458" i="10"/>
  <c r="G2457" i="10"/>
  <c r="G2456" i="10"/>
  <c r="G2455" i="10"/>
  <c r="G2454" i="10"/>
  <c r="G2453" i="10"/>
  <c r="G2452" i="10"/>
  <c r="G2451" i="10"/>
  <c r="G2450" i="10"/>
  <c r="G2449" i="10"/>
  <c r="G2448" i="10"/>
  <c r="G2447" i="10"/>
  <c r="G2446" i="10"/>
  <c r="G2445" i="10"/>
  <c r="G2444" i="10"/>
  <c r="G2443" i="10"/>
  <c r="G2442" i="10"/>
  <c r="G2441" i="10"/>
  <c r="G2440" i="10"/>
  <c r="G2439" i="10"/>
  <c r="G2438" i="10"/>
  <c r="G2437" i="10"/>
  <c r="G2436" i="10"/>
  <c r="G2435" i="10"/>
  <c r="G2434" i="10"/>
  <c r="G2433" i="10"/>
  <c r="G2432" i="10"/>
  <c r="G2431" i="10"/>
  <c r="G2430" i="10"/>
  <c r="G2429" i="10"/>
  <c r="G2428" i="10"/>
  <c r="G2427" i="10"/>
  <c r="F2426" i="10"/>
  <c r="G2426" i="10" s="1"/>
  <c r="G2425" i="10"/>
  <c r="G2424" i="10"/>
  <c r="G2423" i="10"/>
  <c r="G2422" i="10"/>
  <c r="G2421" i="10"/>
  <c r="G2420" i="10"/>
  <c r="G2419" i="10"/>
  <c r="G2418" i="10"/>
  <c r="G2417" i="10"/>
  <c r="G2416" i="10"/>
  <c r="G2415" i="10"/>
  <c r="G2414" i="10"/>
  <c r="G2413" i="10"/>
  <c r="G2412" i="10"/>
  <c r="G2411" i="10"/>
  <c r="G2410" i="10"/>
  <c r="G2409" i="10"/>
  <c r="G2408" i="10"/>
  <c r="G2407" i="10"/>
  <c r="G2406" i="10"/>
  <c r="G2405" i="10"/>
  <c r="G2404" i="10"/>
  <c r="G2403" i="10"/>
  <c r="G2402" i="10"/>
  <c r="G2401" i="10"/>
  <c r="G2400" i="10"/>
  <c r="G2399" i="10"/>
  <c r="G2398" i="10"/>
  <c r="G2397" i="10"/>
  <c r="G2396" i="10"/>
  <c r="G2395" i="10"/>
  <c r="G2394" i="10"/>
  <c r="G2393" i="10"/>
  <c r="G2392" i="10"/>
  <c r="G2391" i="10"/>
  <c r="G2390" i="10"/>
  <c r="G2389" i="10"/>
  <c r="G2388" i="10"/>
  <c r="G2387" i="10"/>
  <c r="G2386" i="10"/>
  <c r="G2385" i="10"/>
  <c r="G2384" i="10"/>
  <c r="G2383" i="10"/>
  <c r="G2382" i="10"/>
  <c r="G2381" i="10"/>
  <c r="G2380" i="10"/>
  <c r="G2379" i="10"/>
  <c r="G2378" i="10"/>
  <c r="G2377" i="10"/>
  <c r="G2376" i="10"/>
  <c r="G2375" i="10"/>
  <c r="G2374" i="10"/>
  <c r="G2373" i="10"/>
  <c r="G2372" i="10"/>
  <c r="G2371" i="10"/>
  <c r="G2370" i="10"/>
  <c r="G2369" i="10"/>
  <c r="G2368" i="10"/>
  <c r="G2367" i="10"/>
  <c r="G2366" i="10"/>
  <c r="G2365" i="10"/>
  <c r="G2364" i="10"/>
  <c r="G2363" i="10"/>
  <c r="G2362" i="10"/>
  <c r="G2361" i="10"/>
  <c r="G2360" i="10"/>
  <c r="G2359" i="10"/>
  <c r="G2358" i="10"/>
  <c r="G2357" i="10"/>
  <c r="G2356" i="10"/>
  <c r="G2355" i="10"/>
  <c r="G2354" i="10"/>
  <c r="G2353" i="10"/>
  <c r="G2352" i="10"/>
  <c r="G2351" i="10"/>
  <c r="G2350" i="10"/>
  <c r="G2349" i="10"/>
  <c r="G2348" i="10"/>
  <c r="G2347" i="10"/>
  <c r="G2346" i="10"/>
  <c r="G2345" i="10"/>
  <c r="G2344" i="10"/>
  <c r="G2343" i="10"/>
  <c r="G2342" i="10"/>
  <c r="G2341" i="10"/>
  <c r="G2340" i="10"/>
  <c r="G2339" i="10"/>
  <c r="G2338" i="10"/>
  <c r="G2337" i="10"/>
  <c r="G2336" i="10"/>
  <c r="G2335" i="10"/>
  <c r="G2334" i="10"/>
  <c r="G2333" i="10"/>
  <c r="G2332" i="10"/>
  <c r="G2331" i="10"/>
  <c r="G2330" i="10"/>
  <c r="G2329" i="10"/>
  <c r="G2328" i="10"/>
  <c r="G2327" i="10"/>
  <c r="G2326" i="10"/>
  <c r="F2326" i="10"/>
  <c r="G2325" i="10"/>
  <c r="G2324" i="10"/>
  <c r="G2323" i="10"/>
  <c r="G2322" i="10"/>
  <c r="G2321" i="10"/>
  <c r="G2320" i="10"/>
  <c r="G2319" i="10"/>
  <c r="G2318" i="10"/>
  <c r="G2317" i="10"/>
  <c r="G2316" i="10"/>
  <c r="G2315" i="10"/>
  <c r="F2314" i="10"/>
  <c r="G2314" i="10" s="1"/>
  <c r="G2313" i="10"/>
  <c r="G2312" i="10"/>
  <c r="G2311" i="10"/>
  <c r="G2310" i="10"/>
  <c r="F2310" i="10"/>
  <c r="G2309" i="10"/>
  <c r="G2308" i="10"/>
  <c r="G2307" i="10"/>
  <c r="G2306" i="10"/>
  <c r="G2305" i="10"/>
  <c r="G2304" i="10"/>
  <c r="G2303" i="10"/>
  <c r="G2302" i="10"/>
  <c r="G2301" i="10"/>
  <c r="G2300" i="10"/>
  <c r="G2299" i="10"/>
  <c r="F2299" i="10"/>
  <c r="G2298" i="10"/>
  <c r="G2297" i="10"/>
  <c r="G2296" i="10"/>
  <c r="G2295" i="10"/>
  <c r="G2294" i="10"/>
  <c r="F2293" i="10"/>
  <c r="G2293" i="10" s="1"/>
  <c r="G2292" i="10"/>
  <c r="G2291" i="10"/>
  <c r="G2290" i="10"/>
  <c r="G2289" i="10"/>
  <c r="G2288" i="10"/>
  <c r="G2287" i="10"/>
  <c r="G2286" i="10"/>
  <c r="G2285" i="10"/>
  <c r="G2284" i="10"/>
  <c r="G2283" i="10"/>
  <c r="G2282" i="10"/>
  <c r="G2281" i="10"/>
  <c r="G2280" i="10"/>
  <c r="G2279" i="10"/>
  <c r="G2278" i="10"/>
  <c r="G2277" i="10"/>
  <c r="G2276" i="10"/>
  <c r="G2275" i="10"/>
  <c r="G2274" i="10"/>
  <c r="G2273" i="10"/>
  <c r="G2272" i="10"/>
  <c r="G2271" i="10"/>
  <c r="G2270" i="10"/>
  <c r="G2269" i="10"/>
  <c r="G2268" i="10"/>
  <c r="G2267" i="10"/>
  <c r="G2266" i="10"/>
  <c r="G2265" i="10"/>
  <c r="G2264" i="10"/>
  <c r="G2263" i="10"/>
  <c r="G2262" i="10"/>
  <c r="G2261" i="10"/>
  <c r="G2260" i="10"/>
  <c r="G2259" i="10"/>
  <c r="G2258" i="10"/>
  <c r="G2257" i="10"/>
  <c r="G2256" i="10"/>
  <c r="G2255" i="10"/>
  <c r="G2254" i="10"/>
  <c r="G2253" i="10"/>
  <c r="G2252" i="10"/>
  <c r="G2251" i="10"/>
  <c r="G2250" i="10"/>
  <c r="G2249" i="10"/>
  <c r="G2248" i="10"/>
  <c r="G2247" i="10"/>
  <c r="G2246" i="10"/>
  <c r="G2245" i="10"/>
  <c r="G2244" i="10"/>
  <c r="G2243" i="10"/>
  <c r="G2242" i="10"/>
  <c r="G2241" i="10"/>
  <c r="G2240" i="10"/>
  <c r="G2239" i="10"/>
  <c r="G2238" i="10"/>
  <c r="G2237" i="10"/>
  <c r="G2236" i="10"/>
  <c r="G2235" i="10"/>
  <c r="G2234" i="10"/>
  <c r="G2233" i="10"/>
  <c r="G2232" i="10"/>
  <c r="G2231" i="10"/>
  <c r="G2230" i="10"/>
  <c r="G2229" i="10"/>
  <c r="G2228" i="10"/>
  <c r="G2227" i="10"/>
  <c r="G2226" i="10"/>
  <c r="G2225" i="10"/>
  <c r="G2224" i="10"/>
  <c r="G2223" i="10"/>
  <c r="G2222" i="10"/>
  <c r="G2221" i="10"/>
  <c r="G2220" i="10"/>
  <c r="F2220" i="10"/>
  <c r="G2219" i="10"/>
  <c r="G2218" i="10"/>
  <c r="G2217" i="10"/>
  <c r="G2216" i="10"/>
  <c r="G2215" i="10"/>
  <c r="G2214" i="10"/>
  <c r="G2213" i="10"/>
  <c r="G2212" i="10"/>
  <c r="G2211" i="10"/>
  <c r="G2210" i="10"/>
  <c r="G2209" i="10"/>
  <c r="G2208" i="10"/>
  <c r="G2207" i="10"/>
  <c r="G2206" i="10"/>
  <c r="G2205" i="10"/>
  <c r="G2204" i="10"/>
  <c r="G2203" i="10"/>
  <c r="G2202" i="10"/>
  <c r="G2201" i="10"/>
  <c r="G2200" i="10"/>
  <c r="G2199" i="10"/>
  <c r="G2198" i="10"/>
  <c r="G2197" i="10"/>
  <c r="G2196" i="10"/>
  <c r="G2195" i="10"/>
  <c r="G2194" i="10"/>
  <c r="G2193" i="10"/>
  <c r="G2192" i="10"/>
  <c r="G2191" i="10"/>
  <c r="G2190" i="10"/>
  <c r="G2189" i="10"/>
  <c r="G2188" i="10"/>
  <c r="G2187" i="10"/>
  <c r="G2186" i="10"/>
  <c r="G2185" i="10"/>
  <c r="G2184" i="10"/>
  <c r="G2183" i="10"/>
  <c r="G2182" i="10"/>
  <c r="G2181" i="10"/>
  <c r="G2180" i="10"/>
  <c r="F2180" i="10"/>
  <c r="G2179" i="10"/>
  <c r="G2178" i="10"/>
  <c r="G2177" i="10"/>
  <c r="G2176" i="10"/>
  <c r="G2175" i="10"/>
  <c r="G2174" i="10"/>
  <c r="G2173" i="10"/>
  <c r="G2172" i="10"/>
  <c r="G2171" i="10"/>
  <c r="G2170" i="10"/>
  <c r="G2169" i="10"/>
  <c r="G2168" i="10"/>
  <c r="G2167" i="10"/>
  <c r="G2166" i="10"/>
  <c r="G2165" i="10"/>
  <c r="G2164" i="10"/>
  <c r="G2163" i="10"/>
  <c r="G2162" i="10"/>
  <c r="G2161" i="10"/>
  <c r="G2160" i="10"/>
  <c r="G2159" i="10"/>
  <c r="G2158" i="10"/>
  <c r="G2157" i="10"/>
  <c r="G2156" i="10"/>
  <c r="G2155" i="10"/>
  <c r="G2154" i="10"/>
  <c r="G2153" i="10"/>
  <c r="G2152" i="10"/>
  <c r="G2151" i="10"/>
  <c r="G2150" i="10"/>
  <c r="G2149" i="10"/>
  <c r="G2148" i="10"/>
  <c r="G2147" i="10"/>
  <c r="G2146" i="10"/>
  <c r="G2145" i="10"/>
  <c r="F2144" i="10"/>
  <c r="G2144" i="10" s="1"/>
  <c r="G2143" i="10"/>
  <c r="G2142" i="10"/>
  <c r="G2141" i="10"/>
  <c r="G2140" i="10"/>
  <c r="G2139" i="10"/>
  <c r="G2138" i="10"/>
  <c r="G2137" i="10"/>
  <c r="G2136" i="10"/>
  <c r="G2135" i="10"/>
  <c r="G2134" i="10"/>
  <c r="G2133" i="10"/>
  <c r="G2132" i="10"/>
  <c r="G2131" i="10"/>
  <c r="G2130" i="10"/>
  <c r="G2129" i="10"/>
  <c r="G2128" i="10"/>
  <c r="G2127" i="10"/>
  <c r="G2126" i="10"/>
  <c r="G2125" i="10"/>
  <c r="G2124" i="10"/>
  <c r="G2123" i="10"/>
  <c r="G2122" i="10"/>
  <c r="G2121" i="10"/>
  <c r="G2120" i="10"/>
  <c r="G2119" i="10"/>
  <c r="G2118" i="10"/>
  <c r="G2117" i="10"/>
  <c r="G2116" i="10"/>
  <c r="G2115" i="10"/>
  <c r="G2114" i="10"/>
  <c r="G2113" i="10"/>
  <c r="G2112" i="10"/>
  <c r="G2111" i="10"/>
  <c r="G2110" i="10"/>
  <c r="G2109" i="10"/>
  <c r="G2108" i="10"/>
  <c r="G2107" i="10"/>
  <c r="G2106" i="10"/>
  <c r="G2105" i="10"/>
  <c r="G2104" i="10"/>
  <c r="G2103" i="10"/>
  <c r="G2102" i="10"/>
  <c r="G2101" i="10"/>
  <c r="G2100" i="10"/>
  <c r="G2099" i="10"/>
  <c r="G2098" i="10"/>
  <c r="G2097" i="10"/>
  <c r="G2096" i="10"/>
  <c r="G2095" i="10"/>
  <c r="G2094" i="10"/>
  <c r="G2093" i="10"/>
  <c r="G2092" i="10"/>
  <c r="G2091" i="10"/>
  <c r="G2090" i="10"/>
  <c r="G2089" i="10"/>
  <c r="G2088" i="10"/>
  <c r="G2087" i="10"/>
  <c r="G2086" i="10"/>
  <c r="G2085" i="10"/>
  <c r="G2084" i="10"/>
  <c r="G2083" i="10"/>
  <c r="G2082" i="10"/>
  <c r="G2081" i="10"/>
  <c r="G2080" i="10"/>
  <c r="G2079" i="10"/>
  <c r="G2078" i="10"/>
  <c r="G2077" i="10"/>
  <c r="G2076" i="10"/>
  <c r="G2075" i="10"/>
  <c r="G2074" i="10"/>
  <c r="G2073" i="10"/>
  <c r="G2072" i="10"/>
  <c r="G2071" i="10"/>
  <c r="G2070" i="10"/>
  <c r="G2069" i="10"/>
  <c r="G2068" i="10"/>
  <c r="G2067" i="10"/>
  <c r="G2066" i="10"/>
  <c r="G2065" i="10"/>
  <c r="G2064" i="10"/>
  <c r="G2063" i="10"/>
  <c r="G2062" i="10"/>
  <c r="G2061" i="10"/>
  <c r="G2060" i="10"/>
  <c r="G2059" i="10"/>
  <c r="G2058" i="10"/>
  <c r="G2057" i="10"/>
  <c r="G2056" i="10"/>
  <c r="G2055" i="10"/>
  <c r="G2054" i="10"/>
  <c r="G2053" i="10"/>
  <c r="G2052" i="10"/>
  <c r="G2051" i="10"/>
  <c r="G2050" i="10"/>
  <c r="G2049" i="10"/>
  <c r="G2048" i="10"/>
  <c r="G2047" i="10"/>
  <c r="G2046" i="10"/>
  <c r="G2045" i="10"/>
  <c r="G2044" i="10"/>
  <c r="G2043" i="10"/>
  <c r="G2042" i="10"/>
  <c r="G2041" i="10"/>
  <c r="G2040" i="10"/>
  <c r="G2039" i="10"/>
  <c r="G2038" i="10"/>
  <c r="G2037" i="10"/>
  <c r="G2036" i="10"/>
  <c r="G2035" i="10"/>
  <c r="G2034" i="10"/>
  <c r="G2033" i="10"/>
  <c r="G2032" i="10"/>
  <c r="G2031" i="10"/>
  <c r="G2030" i="10"/>
  <c r="G2029" i="10"/>
  <c r="G2028" i="10"/>
  <c r="F2028" i="10"/>
  <c r="G2027" i="10"/>
  <c r="G2026" i="10"/>
  <c r="G2025" i="10"/>
  <c r="G2024" i="10"/>
  <c r="G2023" i="10"/>
  <c r="G2022" i="10"/>
  <c r="G2021" i="10"/>
  <c r="G2020" i="10"/>
  <c r="G2019" i="10"/>
  <c r="G2018" i="10"/>
  <c r="G2017" i="10"/>
  <c r="G2016" i="10"/>
  <c r="G2015" i="10"/>
  <c r="G2014" i="10"/>
  <c r="G2013" i="10"/>
  <c r="G2012" i="10"/>
  <c r="G2011" i="10"/>
  <c r="G2010" i="10"/>
  <c r="G2009" i="10"/>
  <c r="G2008" i="10"/>
  <c r="G2007" i="10"/>
  <c r="G2006" i="10"/>
  <c r="G2005" i="10"/>
  <c r="G2004" i="10"/>
  <c r="G2003" i="10"/>
  <c r="G2002" i="10"/>
  <c r="G2001" i="10"/>
  <c r="G2000" i="10"/>
  <c r="G1999" i="10"/>
  <c r="G1998" i="10"/>
  <c r="G1997" i="10"/>
  <c r="G1996" i="10"/>
  <c r="G1995" i="10"/>
  <c r="G1994" i="10"/>
  <c r="G1993" i="10"/>
  <c r="G1992" i="10"/>
  <c r="G1991" i="10"/>
  <c r="F1990" i="10"/>
  <c r="G1990" i="10" s="1"/>
  <c r="G1989" i="10"/>
  <c r="G1988" i="10"/>
  <c r="G1987" i="10"/>
  <c r="G1986" i="10"/>
  <c r="G1985" i="10"/>
  <c r="G1984" i="10"/>
  <c r="F1983" i="10"/>
  <c r="G1983" i="10" s="1"/>
  <c r="G1982" i="10"/>
  <c r="G1981" i="10"/>
  <c r="F1981" i="10"/>
  <c r="G1980" i="10"/>
  <c r="F1980" i="10"/>
  <c r="G1979" i="10"/>
  <c r="G1978" i="10"/>
  <c r="G1977" i="10"/>
  <c r="G1976" i="10"/>
  <c r="G1975" i="10"/>
  <c r="G1974" i="10"/>
  <c r="G1973" i="10"/>
  <c r="G1972" i="10"/>
  <c r="G1971" i="10"/>
  <c r="G1970" i="10"/>
  <c r="G1969" i="10"/>
  <c r="G1968" i="10"/>
  <c r="G1967" i="10"/>
  <c r="G1966" i="10"/>
  <c r="G1965" i="10"/>
  <c r="G1964" i="10"/>
  <c r="G1963" i="10"/>
  <c r="F1962" i="10"/>
  <c r="G1962" i="10" s="1"/>
  <c r="G1961" i="10"/>
  <c r="G1960" i="10"/>
  <c r="G1959" i="10"/>
  <c r="G1958" i="10"/>
  <c r="G1957" i="10"/>
  <c r="G1956" i="10"/>
  <c r="G1955" i="10"/>
  <c r="G1954" i="10"/>
  <c r="G1953" i="10"/>
  <c r="G1952" i="10"/>
  <c r="G1951" i="10"/>
  <c r="G1950" i="10"/>
  <c r="G1949" i="10"/>
  <c r="G1948" i="10"/>
  <c r="G1947" i="10"/>
  <c r="G1946" i="10"/>
  <c r="G1945" i="10"/>
  <c r="G1944" i="10"/>
  <c r="G1943" i="10"/>
  <c r="G1942" i="10"/>
  <c r="G1941" i="10"/>
  <c r="G1940" i="10"/>
  <c r="G1939" i="10"/>
  <c r="G1938" i="10"/>
  <c r="G1937" i="10"/>
  <c r="G1936" i="10"/>
  <c r="G1935" i="10"/>
  <c r="G1934" i="10"/>
  <c r="G1933" i="10"/>
  <c r="G1932" i="10"/>
  <c r="G1931" i="10"/>
  <c r="G1930" i="10"/>
  <c r="G1929" i="10"/>
  <c r="G1928" i="10"/>
  <c r="G1927" i="10"/>
  <c r="G1926" i="10"/>
  <c r="G1925" i="10"/>
  <c r="G1924" i="10"/>
  <c r="G1923" i="10"/>
  <c r="G1922" i="10"/>
  <c r="G1921" i="10"/>
  <c r="G1920" i="10"/>
  <c r="G1919" i="10"/>
  <c r="G1918" i="10"/>
  <c r="G1917" i="10"/>
  <c r="G1916" i="10"/>
  <c r="G1915" i="10"/>
  <c r="G1914" i="10"/>
  <c r="G1913" i="10"/>
  <c r="G1912" i="10"/>
  <c r="G1911" i="10"/>
  <c r="G1910" i="10"/>
  <c r="G1909" i="10"/>
  <c r="G1908" i="10"/>
  <c r="G1907" i="10"/>
  <c r="G1906" i="10"/>
  <c r="G1905" i="10"/>
  <c r="G1904" i="10"/>
  <c r="G1903" i="10"/>
  <c r="G1902" i="10"/>
  <c r="G1901" i="10"/>
  <c r="G1900" i="10"/>
  <c r="G1899" i="10"/>
  <c r="G1898" i="10"/>
  <c r="G1897" i="10"/>
  <c r="G1896" i="10"/>
  <c r="G1895" i="10"/>
  <c r="G1894" i="10"/>
  <c r="G1893" i="10"/>
  <c r="G1892" i="10"/>
  <c r="G1891" i="10"/>
  <c r="G1890" i="10"/>
  <c r="G1889" i="10"/>
  <c r="G1888" i="10"/>
  <c r="G1887" i="10"/>
  <c r="G1886" i="10"/>
  <c r="G1885" i="10"/>
  <c r="G1884" i="10"/>
  <c r="G1883" i="10"/>
  <c r="G1882" i="10"/>
  <c r="G1881" i="10"/>
  <c r="G1880" i="10"/>
  <c r="G1879" i="10"/>
  <c r="G1878" i="10"/>
  <c r="G1877" i="10"/>
  <c r="G1876" i="10"/>
  <c r="G1875" i="10"/>
  <c r="G1874" i="10"/>
  <c r="G1873" i="10"/>
  <c r="G1872" i="10"/>
  <c r="G1871" i="10"/>
  <c r="G1870" i="10"/>
  <c r="G1869" i="10"/>
  <c r="G1868" i="10"/>
  <c r="G1867" i="10"/>
  <c r="G1866" i="10"/>
  <c r="F1866" i="10"/>
  <c r="G1865" i="10"/>
  <c r="G1864" i="10"/>
  <c r="G1863" i="10"/>
  <c r="G1862" i="10"/>
  <c r="G1861" i="10"/>
  <c r="G1860" i="10"/>
  <c r="G1859" i="10"/>
  <c r="G1858" i="10"/>
  <c r="G1857" i="10"/>
  <c r="G1856" i="10"/>
  <c r="G1855" i="10"/>
  <c r="G1854" i="10"/>
  <c r="G1853" i="10"/>
  <c r="G1852" i="10"/>
  <c r="G1851" i="10"/>
  <c r="G1850" i="10"/>
  <c r="G1849" i="10"/>
  <c r="G1848" i="10"/>
  <c r="G1847" i="10"/>
  <c r="G1846" i="10"/>
  <c r="G1845" i="10"/>
  <c r="G1844" i="10"/>
  <c r="G1843" i="10"/>
  <c r="G1842" i="10"/>
  <c r="G1841" i="10"/>
  <c r="G1840" i="10"/>
  <c r="G1839" i="10"/>
  <c r="G1838" i="10"/>
  <c r="G1837" i="10"/>
  <c r="G1836" i="10"/>
  <c r="G1835" i="10"/>
  <c r="G1834" i="10"/>
  <c r="G1833" i="10"/>
  <c r="G1832" i="10"/>
  <c r="G1831" i="10"/>
  <c r="G1830" i="10"/>
  <c r="G1829" i="10"/>
  <c r="G1828" i="10"/>
  <c r="G1827" i="10"/>
  <c r="G1826" i="10"/>
  <c r="G1825" i="10"/>
  <c r="G1824" i="10"/>
  <c r="G1823" i="10"/>
  <c r="G1822" i="10"/>
  <c r="G1821" i="10"/>
  <c r="G1820" i="10"/>
  <c r="G1819" i="10"/>
  <c r="G1818" i="10"/>
  <c r="G1817" i="10"/>
  <c r="G1816" i="10"/>
  <c r="G1815" i="10"/>
  <c r="G1814" i="10"/>
  <c r="G1813" i="10"/>
  <c r="G1812" i="10"/>
  <c r="G1811" i="10"/>
  <c r="G1810" i="10"/>
  <c r="G1809" i="10"/>
  <c r="G1808" i="10"/>
  <c r="G1807" i="10"/>
  <c r="G1806" i="10"/>
  <c r="G1805" i="10"/>
  <c r="G1804" i="10"/>
  <c r="G1803" i="10"/>
  <c r="G1802" i="10"/>
  <c r="G1801" i="10"/>
  <c r="G1800" i="10"/>
  <c r="G1799" i="10"/>
  <c r="G1798" i="10"/>
  <c r="G1797" i="10"/>
  <c r="G1796" i="10"/>
  <c r="G1795" i="10"/>
  <c r="G1794" i="10"/>
  <c r="G1793" i="10"/>
  <c r="G1792" i="10"/>
  <c r="G1791" i="10"/>
  <c r="G1790" i="10"/>
  <c r="G1789" i="10"/>
  <c r="G1788" i="10"/>
  <c r="G1787" i="10"/>
  <c r="G1786" i="10"/>
  <c r="G1785" i="10"/>
  <c r="G1784" i="10"/>
  <c r="G1783" i="10"/>
  <c r="G1782" i="10"/>
  <c r="G1781" i="10"/>
  <c r="G1780" i="10"/>
  <c r="G1779" i="10"/>
  <c r="G1778" i="10"/>
  <c r="G1777" i="10"/>
  <c r="G1776" i="10"/>
  <c r="G1775" i="10"/>
  <c r="G1774" i="10"/>
  <c r="G1773" i="10"/>
  <c r="G1772" i="10"/>
  <c r="G1771" i="10"/>
  <c r="G1770" i="10"/>
  <c r="G1769" i="10"/>
  <c r="G1768" i="10"/>
  <c r="G1767" i="10"/>
  <c r="G1766" i="10"/>
  <c r="G1765" i="10"/>
  <c r="G1764" i="10"/>
  <c r="G1763" i="10"/>
  <c r="G1762" i="10"/>
  <c r="G1761" i="10"/>
  <c r="G1760" i="10"/>
  <c r="G1759" i="10"/>
  <c r="G1758" i="10"/>
  <c r="G1757" i="10"/>
  <c r="G1756" i="10"/>
  <c r="G1755" i="10"/>
  <c r="G1754" i="10"/>
  <c r="G1753" i="10"/>
  <c r="G1752" i="10"/>
  <c r="G1751" i="10"/>
  <c r="G1750" i="10"/>
  <c r="G1749" i="10"/>
  <c r="G1748" i="10"/>
  <c r="G1747" i="10"/>
  <c r="F1747" i="10"/>
  <c r="G1746" i="10"/>
  <c r="G1745" i="10"/>
  <c r="G1744" i="10"/>
  <c r="G1743" i="10"/>
  <c r="G1742" i="10"/>
  <c r="G1741" i="10"/>
  <c r="G1740" i="10"/>
  <c r="G1739" i="10"/>
  <c r="G1738" i="10"/>
  <c r="G1737" i="10"/>
  <c r="G1736" i="10"/>
  <c r="G1735" i="10"/>
  <c r="G1734" i="10"/>
  <c r="G1733" i="10"/>
  <c r="G1732" i="10"/>
  <c r="G1731" i="10"/>
  <c r="G1730" i="10"/>
  <c r="F1729" i="10"/>
  <c r="G1729" i="10" s="1"/>
  <c r="G1728" i="10"/>
  <c r="G1727" i="10"/>
  <c r="G1726" i="10"/>
  <c r="G1725" i="10"/>
  <c r="G1724" i="10"/>
  <c r="G1723" i="10"/>
  <c r="G1722" i="10"/>
  <c r="G1721" i="10"/>
  <c r="G1720" i="10"/>
  <c r="G1719" i="10"/>
  <c r="G1718" i="10"/>
  <c r="G1717" i="10"/>
  <c r="G1716" i="10"/>
  <c r="G1715" i="10"/>
  <c r="G1714" i="10"/>
  <c r="G1713" i="10"/>
  <c r="G1712" i="10"/>
  <c r="G1711" i="10"/>
  <c r="G1710" i="10"/>
  <c r="G1709" i="10"/>
  <c r="G1708" i="10"/>
  <c r="G1707" i="10"/>
  <c r="G1706" i="10"/>
  <c r="G1705" i="10"/>
  <c r="G1704" i="10"/>
  <c r="G1703" i="10"/>
  <c r="G1702" i="10"/>
  <c r="G1701" i="10"/>
  <c r="G1700" i="10"/>
  <c r="G1699" i="10"/>
  <c r="G1698" i="10"/>
  <c r="G1697" i="10"/>
  <c r="G1696" i="10"/>
  <c r="G1695" i="10"/>
  <c r="G1694" i="10"/>
  <c r="G1693" i="10"/>
  <c r="G1692" i="10"/>
  <c r="G1691" i="10"/>
  <c r="G1690" i="10"/>
  <c r="G1689" i="10"/>
  <c r="G1688" i="10"/>
  <c r="G1687" i="10"/>
  <c r="G1686" i="10"/>
  <c r="G1685" i="10"/>
  <c r="G1684" i="10"/>
  <c r="G1683" i="10"/>
  <c r="G1682" i="10"/>
  <c r="G1681" i="10"/>
  <c r="G1680" i="10"/>
  <c r="G1679" i="10"/>
  <c r="F1678" i="10"/>
  <c r="G1678" i="10" s="1"/>
  <c r="G1677" i="10"/>
  <c r="G1676" i="10"/>
  <c r="G1675" i="10"/>
  <c r="G1674" i="10"/>
  <c r="G1673" i="10"/>
  <c r="G1672" i="10"/>
  <c r="G1671" i="10"/>
  <c r="G1670" i="10"/>
  <c r="G1669" i="10"/>
  <c r="G1668" i="10"/>
  <c r="G1667" i="10"/>
  <c r="G1666" i="10"/>
  <c r="G1665" i="10"/>
  <c r="G1664" i="10"/>
  <c r="G1663" i="10"/>
  <c r="G1662" i="10"/>
  <c r="G1661" i="10"/>
  <c r="G1660" i="10"/>
  <c r="G1659" i="10"/>
  <c r="G1658" i="10"/>
  <c r="G1657" i="10"/>
  <c r="G1656" i="10"/>
  <c r="G1655" i="10"/>
  <c r="G1654" i="10"/>
  <c r="G1653" i="10"/>
  <c r="G1652" i="10"/>
  <c r="G1651" i="10"/>
  <c r="G1650" i="10"/>
  <c r="G1649" i="10"/>
  <c r="G1648" i="10"/>
  <c r="G1647" i="10"/>
  <c r="G1646" i="10"/>
  <c r="G1645" i="10"/>
  <c r="G1644" i="10"/>
  <c r="G1643" i="10"/>
  <c r="G1642" i="10"/>
  <c r="G1641" i="10"/>
  <c r="G1640" i="10"/>
  <c r="G1639" i="10"/>
  <c r="G1638" i="10"/>
  <c r="G1637" i="10"/>
  <c r="G1636" i="10"/>
  <c r="G1635" i="10"/>
  <c r="G1634" i="10"/>
  <c r="G1633" i="10"/>
  <c r="G1632" i="10"/>
  <c r="G1631" i="10"/>
  <c r="G1630" i="10"/>
  <c r="G1629" i="10"/>
  <c r="G1628" i="10"/>
  <c r="G1627" i="10"/>
  <c r="G1626" i="10"/>
  <c r="G1625" i="10"/>
  <c r="G1624" i="10"/>
  <c r="G1623" i="10"/>
  <c r="G1622" i="10"/>
  <c r="G1621" i="10"/>
  <c r="G1620" i="10"/>
  <c r="G1619" i="10"/>
  <c r="G1618" i="10"/>
  <c r="G1617" i="10"/>
  <c r="G1616" i="10"/>
  <c r="G1615" i="10"/>
  <c r="G1614" i="10"/>
  <c r="G1613" i="10"/>
  <c r="G1612" i="10"/>
  <c r="G1611" i="10"/>
  <c r="G1610" i="10"/>
  <c r="G1609" i="10"/>
  <c r="G1608" i="10"/>
  <c r="G1607" i="10"/>
  <c r="G1606" i="10"/>
  <c r="G1605" i="10"/>
  <c r="G1604" i="10"/>
  <c r="G1603" i="10"/>
  <c r="G1602" i="10"/>
  <c r="G1601" i="10"/>
  <c r="G1600" i="10"/>
  <c r="G1599" i="10"/>
  <c r="G1598" i="10"/>
  <c r="G1597" i="10"/>
  <c r="G1596" i="10"/>
  <c r="G1595" i="10"/>
  <c r="G1594" i="10"/>
  <c r="G1593" i="10"/>
  <c r="G1592" i="10"/>
  <c r="G1591" i="10"/>
  <c r="G1590" i="10"/>
  <c r="G1589" i="10"/>
  <c r="G1588" i="10"/>
  <c r="G1587" i="10"/>
  <c r="G1586" i="10"/>
  <c r="G1585" i="10"/>
  <c r="G1584" i="10"/>
  <c r="G1583" i="10"/>
  <c r="G1582" i="10"/>
  <c r="G1581" i="10"/>
  <c r="G1580" i="10"/>
  <c r="G1579" i="10"/>
  <c r="G1578" i="10"/>
  <c r="G1577" i="10"/>
  <c r="G1576" i="10"/>
  <c r="G1575" i="10"/>
  <c r="G1574" i="10"/>
  <c r="G1573" i="10"/>
  <c r="G1572" i="10"/>
  <c r="G1571" i="10"/>
  <c r="G1570" i="10"/>
  <c r="G1569" i="10"/>
  <c r="G1568" i="10"/>
  <c r="G1567" i="10"/>
  <c r="G1566" i="10"/>
  <c r="G1565" i="10"/>
  <c r="G1564" i="10"/>
  <c r="F1563" i="10"/>
  <c r="G1563" i="10" s="1"/>
  <c r="G1562" i="10"/>
  <c r="G1561" i="10"/>
  <c r="G1560" i="10"/>
  <c r="G1559" i="10"/>
  <c r="G1558" i="10"/>
  <c r="G1557" i="10"/>
  <c r="G1556" i="10"/>
  <c r="G1555" i="10"/>
  <c r="G1554" i="10"/>
  <c r="G1553" i="10"/>
  <c r="G1552" i="10"/>
  <c r="G1551" i="10"/>
  <c r="G1550" i="10"/>
  <c r="G1549" i="10"/>
  <c r="G1548" i="10"/>
  <c r="G1547" i="10"/>
  <c r="F1547" i="10"/>
  <c r="G1546" i="10"/>
  <c r="G1545" i="10"/>
  <c r="G1544" i="10"/>
  <c r="F1544" i="10"/>
  <c r="G1543" i="10"/>
  <c r="G1542" i="10"/>
  <c r="G1541" i="10"/>
  <c r="G1540" i="10"/>
  <c r="G1539" i="10"/>
  <c r="G1538" i="10"/>
  <c r="G1537" i="10"/>
  <c r="G1536" i="10"/>
  <c r="G1535" i="10"/>
  <c r="G1534" i="10"/>
  <c r="G1533" i="10"/>
  <c r="G1532" i="10"/>
  <c r="G1531" i="10"/>
  <c r="G1530" i="10"/>
  <c r="G1529" i="10"/>
  <c r="G1528" i="10"/>
  <c r="G1527" i="10"/>
  <c r="G1526" i="10"/>
  <c r="G1525" i="10"/>
  <c r="G1524" i="10"/>
  <c r="G1523" i="10"/>
  <c r="G1522" i="10"/>
  <c r="G1521" i="10"/>
  <c r="G1520" i="10"/>
  <c r="G1519" i="10"/>
  <c r="G1518" i="10"/>
  <c r="G1517" i="10"/>
  <c r="G1516" i="10"/>
  <c r="G1515" i="10"/>
  <c r="G1514" i="10"/>
  <c r="G1513" i="10"/>
  <c r="G1512" i="10"/>
  <c r="G1511" i="10"/>
  <c r="G1510" i="10"/>
  <c r="G1509" i="10"/>
  <c r="G1508" i="10"/>
  <c r="G1507" i="10"/>
  <c r="G1506" i="10"/>
  <c r="G1505" i="10"/>
  <c r="G1504" i="10"/>
  <c r="G1503" i="10"/>
  <c r="G1502" i="10"/>
  <c r="G1501" i="10"/>
  <c r="G1500" i="10"/>
  <c r="G1499" i="10"/>
  <c r="G1498" i="10"/>
  <c r="G1497" i="10"/>
  <c r="G1496" i="10"/>
  <c r="G1495" i="10"/>
  <c r="G1494" i="10"/>
  <c r="G1493" i="10"/>
  <c r="G1492" i="10"/>
  <c r="G1491" i="10"/>
  <c r="G1490" i="10"/>
  <c r="G1489" i="10"/>
  <c r="G1488" i="10"/>
  <c r="G1487" i="10"/>
  <c r="G1486" i="10"/>
  <c r="G1485" i="10"/>
  <c r="G1484" i="10"/>
  <c r="G1483" i="10"/>
  <c r="G1482" i="10"/>
  <c r="G1481" i="10"/>
  <c r="G1480" i="10"/>
  <c r="G1479" i="10"/>
  <c r="G1478" i="10"/>
  <c r="G1477" i="10"/>
  <c r="G1476" i="10"/>
  <c r="G1475" i="10"/>
  <c r="G1474" i="10"/>
  <c r="G1473" i="10"/>
  <c r="G1472" i="10"/>
  <c r="G1471" i="10"/>
  <c r="G1470" i="10"/>
  <c r="G1469" i="10"/>
  <c r="G1468" i="10"/>
  <c r="G1467" i="10"/>
  <c r="G1466" i="10"/>
  <c r="G1465" i="10"/>
  <c r="G1464" i="10"/>
  <c r="G1463" i="10"/>
  <c r="G1462" i="10"/>
  <c r="G1461" i="10"/>
  <c r="G1460" i="10"/>
  <c r="G1459" i="10"/>
  <c r="G1458" i="10"/>
  <c r="G1457" i="10"/>
  <c r="G1456" i="10"/>
  <c r="G1455" i="10"/>
  <c r="G1454" i="10"/>
  <c r="G1453" i="10"/>
  <c r="G1452" i="10"/>
  <c r="G1451" i="10"/>
  <c r="G1450" i="10"/>
  <c r="G1449" i="10"/>
  <c r="G1448" i="10"/>
  <c r="G1447" i="10"/>
  <c r="G1446" i="10"/>
  <c r="G1445" i="10"/>
  <c r="G1444" i="10"/>
  <c r="G1443" i="10"/>
  <c r="G1442" i="10"/>
  <c r="G1441" i="10"/>
  <c r="G1440" i="10"/>
  <c r="G1439" i="10"/>
  <c r="G1438" i="10"/>
  <c r="G1437" i="10"/>
  <c r="G1436" i="10"/>
  <c r="G1435" i="10"/>
  <c r="G1434" i="10"/>
  <c r="G1433" i="10"/>
  <c r="G1432" i="10"/>
  <c r="G1431" i="10"/>
  <c r="G1430" i="10"/>
  <c r="G1429" i="10"/>
  <c r="G1428" i="10"/>
  <c r="G1427" i="10"/>
  <c r="G1426" i="10"/>
  <c r="G1425" i="10"/>
  <c r="G1424" i="10"/>
  <c r="G1423" i="10"/>
  <c r="G1422" i="10"/>
  <c r="G1421" i="10"/>
  <c r="G1420" i="10"/>
  <c r="G1419" i="10"/>
  <c r="F1418" i="10"/>
  <c r="G1418" i="10" s="1"/>
  <c r="G1417" i="10"/>
  <c r="G1416" i="10"/>
  <c r="G1415" i="10"/>
  <c r="G1414" i="10"/>
  <c r="G1413" i="10"/>
  <c r="G1412" i="10"/>
  <c r="G1411" i="10"/>
  <c r="G1410" i="10"/>
  <c r="G1409" i="10"/>
  <c r="G1408" i="10"/>
  <c r="G1407" i="10"/>
  <c r="G1406" i="10"/>
  <c r="G1405" i="10"/>
  <c r="G1404" i="10"/>
  <c r="G1403" i="10"/>
  <c r="G1402" i="10"/>
  <c r="G1401" i="10"/>
  <c r="G1400" i="10"/>
  <c r="G1399" i="10"/>
  <c r="G1398" i="10"/>
  <c r="G1397" i="10"/>
  <c r="G1396" i="10"/>
  <c r="G1395" i="10"/>
  <c r="G1394" i="10"/>
  <c r="G1393" i="10"/>
  <c r="G1392" i="10"/>
  <c r="G1391" i="10"/>
  <c r="G1390" i="10"/>
  <c r="G1389" i="10"/>
  <c r="G1388" i="10"/>
  <c r="G1387" i="10"/>
  <c r="G1386" i="10"/>
  <c r="G1385" i="10"/>
  <c r="G1384" i="10"/>
  <c r="G1383" i="10"/>
  <c r="G1382" i="10"/>
  <c r="G1381" i="10"/>
  <c r="G1380" i="10"/>
  <c r="G1379" i="10"/>
  <c r="G1378" i="10"/>
  <c r="G1377" i="10"/>
  <c r="G1376" i="10"/>
  <c r="G1375" i="10"/>
  <c r="G1374" i="10"/>
  <c r="G1373" i="10"/>
  <c r="G1372" i="10"/>
  <c r="G1371" i="10"/>
  <c r="G1370" i="10"/>
  <c r="G1369" i="10"/>
  <c r="G1368" i="10"/>
  <c r="G1367" i="10"/>
  <c r="G1366" i="10"/>
  <c r="G1365" i="10"/>
  <c r="G1364" i="10"/>
  <c r="G1363" i="10"/>
  <c r="G1362" i="10"/>
  <c r="G1361" i="10"/>
  <c r="G1360" i="10"/>
  <c r="G1359" i="10"/>
  <c r="G1358" i="10"/>
  <c r="G1357" i="10"/>
  <c r="G1356" i="10"/>
  <c r="G1355" i="10"/>
  <c r="G1354" i="10"/>
  <c r="F1354" i="10"/>
  <c r="G1353" i="10"/>
  <c r="G1352" i="10"/>
  <c r="G1351" i="10"/>
  <c r="G1350" i="10"/>
  <c r="G1349" i="10"/>
  <c r="G1348" i="10"/>
  <c r="G1347" i="10"/>
  <c r="G1346" i="10"/>
  <c r="G1345" i="10"/>
  <c r="G1344" i="10"/>
  <c r="G1343" i="10"/>
  <c r="G1342" i="10"/>
  <c r="G1341" i="10"/>
  <c r="G1340" i="10"/>
  <c r="G1339" i="10"/>
  <c r="G1338" i="10"/>
  <c r="G1337" i="10"/>
  <c r="G1336" i="10"/>
  <c r="G1335" i="10"/>
  <c r="G1334" i="10"/>
  <c r="G1333" i="10"/>
  <c r="G1332" i="10"/>
  <c r="G1331" i="10"/>
  <c r="G1330" i="10"/>
  <c r="G1329" i="10"/>
  <c r="G1328" i="10"/>
  <c r="G1327" i="10"/>
  <c r="G1326" i="10"/>
  <c r="G1325" i="10"/>
  <c r="G1324" i="10"/>
  <c r="G1323" i="10"/>
  <c r="G1322" i="10"/>
  <c r="G1321" i="10"/>
  <c r="G1320" i="10"/>
  <c r="G1319" i="10"/>
  <c r="G1318" i="10"/>
  <c r="G1317" i="10"/>
  <c r="G1316" i="10"/>
  <c r="G1315" i="10"/>
  <c r="G1314" i="10"/>
  <c r="G1313" i="10"/>
  <c r="G1312" i="10"/>
  <c r="G1311" i="10"/>
  <c r="G1310" i="10"/>
  <c r="G1309" i="10"/>
  <c r="G1308" i="10"/>
  <c r="G1307" i="10"/>
  <c r="G1306" i="10"/>
  <c r="G1305" i="10"/>
  <c r="G1304" i="10"/>
  <c r="G1303" i="10"/>
  <c r="G1302" i="10"/>
  <c r="G1301" i="10"/>
  <c r="G1300" i="10"/>
  <c r="G1299" i="10"/>
  <c r="G1298" i="10"/>
  <c r="G1297" i="10"/>
  <c r="G1296" i="10"/>
  <c r="G1295" i="10"/>
  <c r="G1294" i="10"/>
  <c r="G1293" i="10"/>
  <c r="G1292" i="10"/>
  <c r="G1291" i="10"/>
  <c r="G1290" i="10"/>
  <c r="G1289" i="10"/>
  <c r="G1288" i="10"/>
  <c r="G1287" i="10"/>
  <c r="G1286" i="10"/>
  <c r="G1285" i="10"/>
  <c r="G1284" i="10"/>
  <c r="G1283" i="10"/>
  <c r="G1282" i="10"/>
  <c r="G1281" i="10"/>
  <c r="G1280" i="10"/>
  <c r="G1279" i="10"/>
  <c r="G1278" i="10"/>
  <c r="G1277" i="10"/>
  <c r="G1276" i="10"/>
  <c r="G1275" i="10"/>
  <c r="G1274" i="10"/>
  <c r="G1273" i="10"/>
  <c r="G1272" i="10"/>
  <c r="G1271" i="10"/>
  <c r="F1270" i="10"/>
  <c r="G1270" i="10" s="1"/>
  <c r="F1269" i="10"/>
  <c r="G1269" i="10" s="1"/>
  <c r="G1268" i="10"/>
  <c r="G1267" i="10"/>
  <c r="G1266" i="10"/>
  <c r="G1265" i="10"/>
  <c r="G1264" i="10"/>
  <c r="G1263" i="10"/>
  <c r="G1262" i="10"/>
  <c r="G1261" i="10"/>
  <c r="G1260" i="10"/>
  <c r="G1259" i="10"/>
  <c r="G1258" i="10"/>
  <c r="G1257" i="10"/>
  <c r="G1256" i="10"/>
  <c r="G1255" i="10"/>
  <c r="G1254" i="10"/>
  <c r="G1253" i="10"/>
  <c r="G1252" i="10"/>
  <c r="G1251" i="10"/>
  <c r="G1250" i="10"/>
  <c r="G1249" i="10"/>
  <c r="G1248" i="10"/>
  <c r="G1247" i="10"/>
  <c r="G1246" i="10"/>
  <c r="G1245" i="10"/>
  <c r="G1244" i="10"/>
  <c r="G1243" i="10"/>
  <c r="G1242" i="10"/>
  <c r="G1241" i="10"/>
  <c r="G1240" i="10"/>
  <c r="G1239" i="10"/>
  <c r="G1238" i="10"/>
  <c r="G1237" i="10"/>
  <c r="G1236" i="10"/>
  <c r="G1235" i="10"/>
  <c r="G1234" i="10"/>
  <c r="G1233" i="10"/>
  <c r="G1232" i="10"/>
  <c r="G1231" i="10"/>
  <c r="G1230" i="10"/>
  <c r="G1229" i="10"/>
  <c r="G1228" i="10"/>
  <c r="G1227" i="10"/>
  <c r="G1226" i="10"/>
  <c r="G1225" i="10"/>
  <c r="G1224" i="10"/>
  <c r="G1223" i="10"/>
  <c r="G1222" i="10"/>
  <c r="G1221" i="10"/>
  <c r="G1220" i="10"/>
  <c r="G1219" i="10"/>
  <c r="G1218" i="10"/>
  <c r="G1217" i="10"/>
  <c r="G1216" i="10"/>
  <c r="G1215" i="10"/>
  <c r="G1214" i="10"/>
  <c r="G1213" i="10"/>
  <c r="G1212" i="10"/>
  <c r="G1211" i="10"/>
  <c r="G1210" i="10"/>
  <c r="G1209" i="10"/>
  <c r="G1208" i="10"/>
  <c r="G1207" i="10"/>
  <c r="G1206" i="10"/>
  <c r="G1205" i="10"/>
  <c r="G1204" i="10"/>
  <c r="G1203" i="10"/>
  <c r="G1202" i="10"/>
  <c r="G1201" i="10"/>
  <c r="G1200" i="10"/>
  <c r="G1199" i="10"/>
  <c r="G1198" i="10"/>
  <c r="G1197" i="10"/>
  <c r="G1196" i="10"/>
  <c r="G1195" i="10"/>
  <c r="G1194" i="10"/>
  <c r="G1193" i="10"/>
  <c r="G1192" i="10"/>
  <c r="G1191" i="10"/>
  <c r="G1190" i="10"/>
  <c r="G1189" i="10"/>
  <c r="G1188" i="10"/>
  <c r="G1187" i="10"/>
  <c r="G1186" i="10"/>
  <c r="G1185" i="10"/>
  <c r="G1184" i="10"/>
  <c r="G1183" i="10"/>
  <c r="G1182" i="10"/>
  <c r="G1181" i="10"/>
  <c r="G1180" i="10"/>
  <c r="G1179" i="10"/>
  <c r="G1178" i="10"/>
  <c r="G1177" i="10"/>
  <c r="G1176" i="10"/>
  <c r="G1175" i="10"/>
  <c r="G1174" i="10"/>
  <c r="G1173" i="10"/>
  <c r="G1172" i="10"/>
  <c r="G1171" i="10"/>
  <c r="G1170" i="10"/>
  <c r="G1169" i="10"/>
  <c r="G1168" i="10"/>
  <c r="G1167" i="10"/>
  <c r="G1166" i="10"/>
  <c r="G1165" i="10"/>
  <c r="G1164" i="10"/>
  <c r="G1163" i="10"/>
  <c r="G1162" i="10"/>
  <c r="G1161" i="10"/>
  <c r="G1160" i="10"/>
  <c r="G1159" i="10"/>
  <c r="G1158" i="10"/>
  <c r="G1157" i="10"/>
  <c r="G1156" i="10"/>
  <c r="G1155" i="10"/>
  <c r="G1154" i="10"/>
  <c r="G1153" i="10"/>
  <c r="G1152" i="10"/>
  <c r="G1151" i="10"/>
  <c r="G1150" i="10"/>
  <c r="G1149" i="10"/>
  <c r="G1148" i="10"/>
  <c r="G1147" i="10"/>
  <c r="G1146" i="10"/>
  <c r="G1145" i="10"/>
  <c r="G1144" i="10"/>
  <c r="G1143" i="10"/>
  <c r="G1142" i="10"/>
  <c r="G1141" i="10"/>
  <c r="G1140" i="10"/>
  <c r="G1139" i="10"/>
  <c r="G1138" i="10"/>
  <c r="G1137" i="10"/>
  <c r="G1136" i="10"/>
  <c r="G1135" i="10"/>
  <c r="G1134" i="10"/>
  <c r="G1133" i="10"/>
  <c r="G1132" i="10"/>
  <c r="G1131" i="10"/>
  <c r="G1130" i="10"/>
  <c r="G1129" i="10"/>
  <c r="G1128" i="10"/>
  <c r="G1127" i="10"/>
  <c r="G1126" i="10"/>
  <c r="G1125" i="10"/>
  <c r="G1124" i="10"/>
  <c r="G1123" i="10"/>
  <c r="F1122" i="10"/>
  <c r="G1122" i="10" s="1"/>
  <c r="G1121" i="10"/>
  <c r="G1120" i="10"/>
  <c r="F1119" i="10"/>
  <c r="G1119" i="10" s="1"/>
  <c r="G1118" i="10"/>
  <c r="G1117" i="10"/>
  <c r="G1116" i="10"/>
  <c r="G1115" i="10"/>
  <c r="G1114" i="10"/>
  <c r="G1113" i="10"/>
  <c r="F1113" i="10"/>
  <c r="G1112" i="10"/>
  <c r="G1111" i="10"/>
  <c r="G1110" i="10"/>
  <c r="G1109" i="10"/>
  <c r="G1108" i="10"/>
  <c r="G1107" i="10"/>
  <c r="G1106" i="10"/>
  <c r="G1105" i="10"/>
  <c r="G1104" i="10"/>
  <c r="F1103" i="10"/>
  <c r="G1103" i="10" s="1"/>
  <c r="G1102" i="10"/>
  <c r="G1101" i="10"/>
  <c r="G1100" i="10"/>
  <c r="G1099" i="10"/>
  <c r="F1099" i="10"/>
  <c r="G1098" i="10"/>
  <c r="G1097" i="10"/>
  <c r="G1096" i="10"/>
  <c r="G1095" i="10"/>
  <c r="G1094" i="10"/>
  <c r="F1094" i="10"/>
  <c r="G1093" i="10"/>
  <c r="G1092" i="10"/>
  <c r="G1091" i="10"/>
  <c r="G1090" i="10"/>
  <c r="G1089" i="10"/>
  <c r="G1088" i="10"/>
  <c r="G1087" i="10"/>
  <c r="G1086" i="10"/>
  <c r="G1085" i="10"/>
  <c r="G1084" i="10"/>
  <c r="G1083" i="10"/>
  <c r="G1082" i="10"/>
  <c r="G1081" i="10"/>
  <c r="G1080" i="10"/>
  <c r="G1079" i="10"/>
  <c r="G1078" i="10"/>
  <c r="G1077" i="10"/>
  <c r="G1076" i="10"/>
  <c r="G1075" i="10"/>
  <c r="G1074" i="10"/>
  <c r="G1073" i="10"/>
  <c r="F1072" i="10"/>
  <c r="G1072" i="10" s="1"/>
  <c r="G1071" i="10"/>
  <c r="G1070" i="10"/>
  <c r="G1069" i="10"/>
  <c r="G1068" i="10"/>
  <c r="G1067" i="10"/>
  <c r="G1066" i="10"/>
  <c r="G1065" i="10"/>
  <c r="G1064" i="10"/>
  <c r="G1063" i="10"/>
  <c r="G1062" i="10"/>
  <c r="G1061" i="10"/>
  <c r="G1060" i="10"/>
  <c r="G1059" i="10"/>
  <c r="G1058" i="10"/>
  <c r="G1057" i="10"/>
  <c r="G1056" i="10"/>
  <c r="G1055" i="10"/>
  <c r="G1054" i="10"/>
  <c r="G1053" i="10"/>
  <c r="G1052" i="10"/>
  <c r="G1051" i="10"/>
  <c r="G1050" i="10"/>
  <c r="G1049" i="10"/>
  <c r="G1048" i="10"/>
  <c r="G1047" i="10"/>
  <c r="G1046" i="10"/>
  <c r="G1045" i="10"/>
  <c r="G1044" i="10"/>
  <c r="G1043" i="10"/>
  <c r="G1042" i="10"/>
  <c r="G1041" i="10"/>
  <c r="G1040" i="10"/>
  <c r="G1039" i="10"/>
  <c r="G1038" i="10"/>
  <c r="G1037" i="10"/>
  <c r="G1036" i="10"/>
  <c r="G1035" i="10"/>
  <c r="G1034" i="10"/>
  <c r="G1033" i="10"/>
  <c r="G1032" i="10"/>
  <c r="G1031" i="10"/>
  <c r="G1030" i="10"/>
  <c r="G1029" i="10"/>
  <c r="G1028" i="10"/>
  <c r="G1027" i="10"/>
  <c r="G1026" i="10"/>
  <c r="G1025" i="10"/>
  <c r="G1024" i="10"/>
  <c r="G1023" i="10"/>
  <c r="G1022" i="10"/>
  <c r="G1021" i="10"/>
  <c r="G1020" i="10"/>
  <c r="G1019" i="10"/>
  <c r="G1018" i="10"/>
  <c r="G1017" i="10"/>
  <c r="G1016" i="10"/>
  <c r="G1015" i="10"/>
  <c r="G1014" i="10"/>
  <c r="F1014" i="10"/>
  <c r="G1013" i="10"/>
  <c r="G1012" i="10"/>
  <c r="G1011" i="10"/>
  <c r="F1010" i="10"/>
  <c r="G1010" i="10" s="1"/>
  <c r="G1009" i="10"/>
  <c r="G1008" i="10"/>
  <c r="F1007" i="10"/>
  <c r="G1007" i="10" s="1"/>
  <c r="G1006" i="10"/>
  <c r="G1005" i="10"/>
  <c r="G1004" i="10"/>
  <c r="G1003" i="10"/>
  <c r="G1002" i="10"/>
  <c r="G1001" i="10"/>
  <c r="G1000" i="10"/>
  <c r="G999" i="10"/>
  <c r="G998" i="10"/>
  <c r="G997" i="10"/>
  <c r="G996" i="10"/>
  <c r="G995" i="10"/>
  <c r="G994" i="10"/>
  <c r="G993" i="10"/>
  <c r="G992" i="10"/>
  <c r="G991" i="10"/>
  <c r="G990" i="10"/>
  <c r="G989" i="10"/>
  <c r="G988" i="10"/>
  <c r="G987" i="10"/>
  <c r="G986" i="10"/>
  <c r="G985" i="10"/>
  <c r="G984" i="10"/>
  <c r="G983" i="10"/>
  <c r="G982" i="10"/>
  <c r="G981" i="10"/>
  <c r="G980" i="10"/>
  <c r="G979" i="10"/>
  <c r="G978" i="10"/>
  <c r="G977" i="10"/>
  <c r="G976" i="10"/>
  <c r="G975" i="10"/>
  <c r="G974" i="10"/>
  <c r="G973" i="10"/>
  <c r="G972" i="10"/>
  <c r="G971" i="10"/>
  <c r="G970" i="10"/>
  <c r="G969" i="10"/>
  <c r="G968" i="10"/>
  <c r="G967" i="10"/>
  <c r="G966" i="10"/>
  <c r="G965" i="10"/>
  <c r="G964" i="10"/>
  <c r="G963" i="10"/>
  <c r="G962" i="10"/>
  <c r="G961" i="10"/>
  <c r="G960" i="10"/>
  <c r="G959" i="10"/>
  <c r="G958" i="10"/>
  <c r="G957" i="10"/>
  <c r="G956" i="10"/>
  <c r="G955" i="10"/>
  <c r="G954" i="10"/>
  <c r="G953" i="10"/>
  <c r="G952" i="10"/>
  <c r="G951" i="10"/>
  <c r="G950" i="10"/>
  <c r="G949" i="10"/>
  <c r="G948" i="10"/>
  <c r="G947" i="10"/>
  <c r="G946" i="10"/>
  <c r="G945" i="10"/>
  <c r="G944" i="10"/>
  <c r="G943" i="10"/>
  <c r="F943" i="10"/>
  <c r="G942" i="10"/>
  <c r="G941" i="10"/>
  <c r="G940" i="10"/>
  <c r="G939" i="10"/>
  <c r="G938" i="10"/>
  <c r="G937" i="10"/>
  <c r="G936" i="10"/>
  <c r="G935" i="10"/>
  <c r="G934" i="10"/>
  <c r="G933" i="10"/>
  <c r="G932" i="10"/>
  <c r="G931" i="10"/>
  <c r="G930" i="10"/>
  <c r="G929" i="10"/>
  <c r="G928" i="10"/>
  <c r="G927" i="10"/>
  <c r="G926" i="10"/>
  <c r="G925" i="10"/>
  <c r="G924" i="10"/>
  <c r="G923" i="10"/>
  <c r="G922" i="10"/>
  <c r="G921" i="10"/>
  <c r="G920" i="10"/>
  <c r="G919" i="10"/>
  <c r="G918" i="10"/>
  <c r="G917" i="10"/>
  <c r="G916" i="10"/>
  <c r="G915" i="10"/>
  <c r="G914" i="10"/>
  <c r="G913" i="10"/>
  <c r="G912" i="10"/>
  <c r="G911" i="10"/>
  <c r="G910" i="10"/>
  <c r="G909" i="10"/>
  <c r="G908" i="10"/>
  <c r="G907" i="10"/>
  <c r="G906" i="10"/>
  <c r="G905" i="10"/>
  <c r="G904" i="10"/>
  <c r="G903" i="10"/>
  <c r="G902" i="10"/>
  <c r="G901" i="10"/>
  <c r="G900" i="10"/>
  <c r="G899" i="10"/>
  <c r="G898" i="10"/>
  <c r="G897" i="10"/>
  <c r="G896" i="10"/>
  <c r="G895" i="10"/>
  <c r="G894" i="10"/>
  <c r="G893" i="10"/>
  <c r="G892" i="10"/>
  <c r="G891" i="10"/>
  <c r="G890" i="10"/>
  <c r="G889" i="10"/>
  <c r="G888" i="10"/>
  <c r="G887" i="10"/>
  <c r="G886" i="10"/>
  <c r="G885" i="10"/>
  <c r="G884" i="10"/>
  <c r="G883" i="10"/>
  <c r="G882" i="10"/>
  <c r="G881" i="10"/>
  <c r="G880" i="10"/>
  <c r="G879" i="10"/>
  <c r="G878" i="10"/>
  <c r="G877" i="10"/>
  <c r="G876" i="10"/>
  <c r="G875" i="10"/>
  <c r="G874" i="10"/>
  <c r="G873" i="10"/>
  <c r="G872" i="10"/>
  <c r="G871" i="10"/>
  <c r="G870" i="10"/>
  <c r="G869" i="10"/>
  <c r="G868" i="10"/>
  <c r="G867" i="10"/>
  <c r="G866" i="10"/>
  <c r="G865" i="10"/>
  <c r="G864" i="10"/>
  <c r="G863" i="10"/>
  <c r="G862" i="10"/>
  <c r="G861" i="10"/>
  <c r="G860" i="10"/>
  <c r="G859" i="10"/>
  <c r="G858" i="10"/>
  <c r="G857" i="10"/>
  <c r="G856" i="10"/>
  <c r="G855" i="10"/>
  <c r="G854" i="10"/>
  <c r="G853" i="10"/>
  <c r="G852" i="10"/>
  <c r="G851" i="10"/>
  <c r="G850" i="10"/>
  <c r="G849" i="10"/>
  <c r="G848" i="10"/>
  <c r="G847" i="10"/>
  <c r="G846" i="10"/>
  <c r="G845" i="10"/>
  <c r="G844" i="10"/>
  <c r="G843" i="10"/>
  <c r="G842" i="10"/>
  <c r="F841" i="10"/>
  <c r="G841" i="10" s="1"/>
  <c r="G840" i="10"/>
  <c r="G839" i="10"/>
  <c r="G838" i="10"/>
  <c r="G837" i="10"/>
  <c r="G836" i="10"/>
  <c r="G835" i="10"/>
  <c r="G834" i="10"/>
  <c r="G833" i="10"/>
  <c r="G832" i="10"/>
  <c r="G831" i="10"/>
  <c r="G830" i="10"/>
  <c r="G829" i="10"/>
  <c r="G828" i="10"/>
  <c r="F828" i="10"/>
  <c r="G827" i="10"/>
  <c r="G826" i="10"/>
  <c r="G825" i="10"/>
  <c r="G824" i="10"/>
  <c r="G823" i="10"/>
  <c r="G822" i="10"/>
  <c r="G821" i="10"/>
  <c r="G820" i="10"/>
  <c r="G819" i="10"/>
  <c r="G818" i="10"/>
  <c r="G817" i="10"/>
  <c r="G816" i="10"/>
  <c r="G815" i="10"/>
  <c r="G814" i="10"/>
  <c r="G813" i="10"/>
  <c r="G812" i="10"/>
  <c r="G811" i="10"/>
  <c r="G810" i="10"/>
  <c r="G809" i="10"/>
  <c r="G808" i="10"/>
  <c r="G807" i="10"/>
  <c r="G806" i="10"/>
  <c r="F806" i="10"/>
  <c r="G805" i="10"/>
  <c r="G804" i="10"/>
  <c r="G803" i="10"/>
  <c r="G802" i="10"/>
  <c r="F802" i="10"/>
  <c r="G801" i="10"/>
  <c r="G800" i="10"/>
  <c r="G799" i="10"/>
  <c r="G798" i="10"/>
  <c r="G797" i="10"/>
  <c r="G796" i="10"/>
  <c r="G795" i="10"/>
  <c r="G794" i="10"/>
  <c r="G793" i="10"/>
  <c r="G792" i="10"/>
  <c r="G791" i="10"/>
  <c r="G790" i="10"/>
  <c r="G789" i="10"/>
  <c r="G788" i="10"/>
  <c r="G787" i="10"/>
  <c r="G786" i="10"/>
  <c r="G785" i="10"/>
  <c r="G784" i="10"/>
  <c r="G783" i="10"/>
  <c r="G782" i="10"/>
  <c r="G781" i="10"/>
  <c r="G780" i="10"/>
  <c r="G779" i="10"/>
  <c r="G778" i="10"/>
  <c r="G777" i="10"/>
  <c r="G776" i="10"/>
  <c r="G775" i="10"/>
  <c r="G774" i="10"/>
  <c r="G773" i="10"/>
  <c r="G772" i="10"/>
  <c r="G771" i="10"/>
  <c r="G770" i="10"/>
  <c r="G769" i="10"/>
  <c r="G768" i="10"/>
  <c r="G767" i="10"/>
  <c r="G766" i="10"/>
  <c r="F765" i="10"/>
  <c r="G765" i="10" s="1"/>
  <c r="G764" i="10"/>
  <c r="G763" i="10"/>
  <c r="G762" i="10"/>
  <c r="G761" i="10"/>
  <c r="G760" i="10"/>
  <c r="G759" i="10"/>
  <c r="G758" i="10"/>
  <c r="G757" i="10"/>
  <c r="G756" i="10"/>
  <c r="G755" i="10"/>
  <c r="G754" i="10"/>
  <c r="G753" i="10"/>
  <c r="G752" i="10"/>
  <c r="G751" i="10"/>
  <c r="G750" i="10"/>
  <c r="G749" i="10"/>
  <c r="G748" i="10"/>
  <c r="G747" i="10"/>
  <c r="G746" i="10"/>
  <c r="G745" i="10"/>
  <c r="G744" i="10"/>
  <c r="G743" i="10"/>
  <c r="G742" i="10"/>
  <c r="G741" i="10"/>
  <c r="G740" i="10"/>
  <c r="G739" i="10"/>
  <c r="G738" i="10"/>
  <c r="G737" i="10"/>
  <c r="G736" i="10"/>
  <c r="G735" i="10"/>
  <c r="G734" i="10"/>
  <c r="G733" i="10"/>
  <c r="G732" i="10"/>
  <c r="G731" i="10"/>
  <c r="G730" i="10"/>
  <c r="G729" i="10"/>
  <c r="G728" i="10"/>
  <c r="G727" i="10"/>
  <c r="G726" i="10"/>
  <c r="G725" i="10"/>
  <c r="G724" i="10"/>
  <c r="G723" i="10"/>
  <c r="G722" i="10"/>
  <c r="G721" i="10"/>
  <c r="G720" i="10"/>
  <c r="G719" i="10"/>
  <c r="G718" i="10"/>
  <c r="G717" i="10"/>
  <c r="G716" i="10"/>
  <c r="G715" i="10"/>
  <c r="G714" i="10"/>
  <c r="G713" i="10"/>
  <c r="G712" i="10"/>
  <c r="G711" i="10"/>
  <c r="G710" i="10"/>
  <c r="G709" i="10"/>
  <c r="G708" i="10"/>
  <c r="G707" i="10"/>
  <c r="G706" i="10"/>
  <c r="G705" i="10"/>
  <c r="G704" i="10"/>
  <c r="G703" i="10"/>
  <c r="G702" i="10"/>
  <c r="G701" i="10"/>
  <c r="G700" i="10"/>
  <c r="G699" i="10"/>
  <c r="G698" i="10"/>
  <c r="G697" i="10"/>
  <c r="G696" i="10"/>
  <c r="G695" i="10"/>
  <c r="G694" i="10"/>
  <c r="G693" i="10"/>
  <c r="F692" i="10"/>
  <c r="G692" i="10" s="1"/>
  <c r="G691" i="10"/>
  <c r="G690" i="10"/>
  <c r="G689" i="10"/>
  <c r="G688" i="10"/>
  <c r="G687" i="10"/>
  <c r="G686" i="10"/>
  <c r="G685" i="10"/>
  <c r="G684" i="10"/>
  <c r="G683" i="10"/>
  <c r="G682" i="10"/>
  <c r="F682" i="10"/>
  <c r="G681" i="10"/>
  <c r="G680" i="10"/>
  <c r="G679" i="10"/>
  <c r="G678" i="10"/>
  <c r="G677" i="10"/>
  <c r="G676" i="10"/>
  <c r="G675" i="10"/>
  <c r="F674" i="10"/>
  <c r="G674" i="10" s="1"/>
  <c r="G673" i="10"/>
  <c r="G672" i="10"/>
  <c r="G671" i="10"/>
  <c r="G670" i="10"/>
  <c r="G669" i="10"/>
  <c r="G668" i="10"/>
  <c r="G667" i="10"/>
  <c r="G666" i="10"/>
  <c r="G665" i="10"/>
  <c r="G664" i="10"/>
  <c r="G663" i="10"/>
  <c r="G662" i="10"/>
  <c r="G661" i="10"/>
  <c r="G660" i="10"/>
  <c r="G659" i="10"/>
  <c r="G658" i="10"/>
  <c r="G657" i="10"/>
  <c r="G656" i="10"/>
  <c r="G655" i="10"/>
  <c r="G654" i="10"/>
  <c r="G653" i="10"/>
  <c r="G652" i="10"/>
  <c r="G651" i="10"/>
  <c r="G650" i="10"/>
  <c r="G649" i="10"/>
  <c r="G648" i="10"/>
  <c r="G647" i="10"/>
  <c r="G646" i="10"/>
  <c r="G645" i="10"/>
  <c r="G644" i="10"/>
  <c r="G643" i="10"/>
  <c r="G642" i="10"/>
  <c r="G641" i="10"/>
  <c r="G640" i="10"/>
  <c r="G639" i="10"/>
  <c r="G638" i="10"/>
  <c r="G637" i="10"/>
  <c r="G636" i="10"/>
  <c r="G635" i="10"/>
  <c r="G634" i="10"/>
  <c r="G633" i="10"/>
  <c r="G632" i="10"/>
  <c r="G631" i="10"/>
  <c r="G630" i="10"/>
  <c r="G629" i="10"/>
  <c r="G628" i="10"/>
  <c r="G627" i="10"/>
  <c r="G626" i="10"/>
  <c r="G625" i="10"/>
  <c r="G624" i="10"/>
  <c r="G623" i="10"/>
  <c r="G622" i="10"/>
  <c r="G621" i="10"/>
  <c r="G620" i="10"/>
  <c r="G619" i="10"/>
  <c r="G618" i="10"/>
  <c r="G617" i="10"/>
  <c r="G616" i="10"/>
  <c r="G615" i="10"/>
  <c r="G614" i="10"/>
  <c r="G613" i="10"/>
  <c r="G612" i="10"/>
  <c r="G611" i="10"/>
  <c r="G610" i="10"/>
  <c r="G609" i="10"/>
  <c r="G608" i="10"/>
  <c r="G607" i="10"/>
  <c r="G606" i="10"/>
  <c r="G605" i="10"/>
  <c r="G604" i="10"/>
  <c r="G603" i="10"/>
  <c r="G602" i="10"/>
  <c r="G601" i="10"/>
  <c r="G600" i="10"/>
  <c r="G599" i="10"/>
  <c r="G598" i="10"/>
  <c r="G597" i="10"/>
  <c r="G596" i="10"/>
  <c r="G595" i="10"/>
  <c r="G594" i="10"/>
  <c r="G593" i="10"/>
  <c r="G592" i="10"/>
  <c r="G591" i="10"/>
  <c r="G590" i="10"/>
  <c r="G589" i="10"/>
  <c r="G588" i="10"/>
  <c r="G587" i="10"/>
  <c r="G586" i="10"/>
  <c r="G585" i="10"/>
  <c r="G584" i="10"/>
  <c r="G583" i="10"/>
  <c r="G582" i="10"/>
  <c r="G581" i="10"/>
  <c r="G580" i="10"/>
  <c r="G579" i="10"/>
  <c r="F579" i="10"/>
  <c r="G578" i="10"/>
  <c r="G577" i="10"/>
  <c r="F577" i="10"/>
  <c r="G576" i="10"/>
  <c r="G575" i="10"/>
  <c r="G574" i="10"/>
  <c r="G573" i="10"/>
  <c r="G572" i="10"/>
  <c r="F572" i="10"/>
  <c r="G571" i="10"/>
  <c r="G570" i="10"/>
  <c r="G569" i="10"/>
  <c r="G568" i="10"/>
  <c r="G567" i="10"/>
  <c r="G566" i="10"/>
  <c r="G565" i="10"/>
  <c r="G564" i="10"/>
  <c r="G563" i="10"/>
  <c r="G562" i="10"/>
  <c r="G561" i="10"/>
  <c r="G560" i="10"/>
  <c r="G559" i="10"/>
  <c r="G558" i="10"/>
  <c r="G557" i="10"/>
  <c r="G556" i="10"/>
  <c r="G555" i="10"/>
  <c r="G554" i="10"/>
  <c r="G553" i="10"/>
  <c r="G552" i="10"/>
  <c r="G551" i="10"/>
  <c r="G550" i="10"/>
  <c r="G549" i="10"/>
  <c r="G548" i="10"/>
  <c r="G547" i="10"/>
  <c r="G546" i="10"/>
  <c r="G545" i="10"/>
  <c r="G544" i="10"/>
  <c r="G543" i="10"/>
  <c r="G542" i="10"/>
  <c r="G541" i="10"/>
  <c r="G540" i="10"/>
  <c r="G539" i="10"/>
  <c r="G538" i="10"/>
  <c r="G537" i="10"/>
  <c r="G536" i="10"/>
  <c r="G535" i="10"/>
  <c r="G534" i="10"/>
  <c r="G533" i="10"/>
  <c r="G532" i="10"/>
  <c r="G531" i="10"/>
  <c r="G530" i="10"/>
  <c r="G529" i="10"/>
  <c r="G528" i="10"/>
  <c r="G527" i="10"/>
  <c r="G526" i="10"/>
  <c r="G525" i="10"/>
  <c r="G524" i="10"/>
  <c r="G523" i="10"/>
  <c r="G522" i="10"/>
  <c r="G521" i="10"/>
  <c r="G520" i="10"/>
  <c r="G519" i="10"/>
  <c r="G518" i="10"/>
  <c r="G517" i="10"/>
  <c r="G516" i="10"/>
  <c r="G515" i="10"/>
  <c r="G514" i="10"/>
  <c r="G513" i="10"/>
  <c r="G512" i="10"/>
  <c r="G511" i="10"/>
  <c r="G510" i="10"/>
  <c r="G509" i="10"/>
  <c r="G508" i="10"/>
  <c r="G507" i="10"/>
  <c r="G506" i="10"/>
  <c r="G505" i="10"/>
  <c r="G504" i="10"/>
  <c r="G503" i="10"/>
  <c r="G502" i="10"/>
  <c r="G501" i="10"/>
  <c r="G500" i="10"/>
  <c r="G499" i="10"/>
  <c r="G498" i="10"/>
  <c r="G497" i="10"/>
  <c r="G496" i="10"/>
  <c r="G495" i="10"/>
  <c r="G494" i="10"/>
  <c r="G493" i="10"/>
  <c r="G492" i="10"/>
  <c r="G491" i="10"/>
  <c r="G490" i="10"/>
  <c r="G489" i="10"/>
  <c r="G488" i="10"/>
  <c r="G487" i="10"/>
  <c r="G486" i="10"/>
  <c r="G485" i="10"/>
  <c r="G484" i="10"/>
  <c r="G483" i="10"/>
  <c r="G482" i="10"/>
  <c r="G481" i="10"/>
  <c r="G480" i="10"/>
  <c r="G479" i="10"/>
  <c r="G478" i="10"/>
  <c r="G477" i="10"/>
  <c r="G476" i="10"/>
  <c r="G475" i="10"/>
  <c r="G474" i="10"/>
  <c r="G473" i="10"/>
  <c r="G472" i="10"/>
  <c r="G471" i="10"/>
  <c r="G470" i="10"/>
  <c r="F470" i="10"/>
  <c r="G469" i="10"/>
  <c r="G468" i="10"/>
  <c r="G467" i="10"/>
  <c r="G466" i="10"/>
  <c r="G465" i="10"/>
  <c r="G464" i="10"/>
  <c r="G463" i="10"/>
  <c r="G462" i="10"/>
  <c r="F461" i="10"/>
  <c r="G461" i="10" s="1"/>
  <c r="G460" i="10"/>
  <c r="G459" i="10"/>
  <c r="F458" i="10"/>
  <c r="G458" i="10" s="1"/>
  <c r="G457" i="10"/>
  <c r="G456" i="10"/>
  <c r="G455" i="10"/>
  <c r="G454" i="10"/>
  <c r="G453" i="10"/>
  <c r="G452" i="10"/>
  <c r="G451" i="10"/>
  <c r="G450" i="10"/>
  <c r="G449" i="10"/>
  <c r="G448" i="10"/>
  <c r="G447" i="10"/>
  <c r="G446" i="10"/>
  <c r="G445" i="10"/>
  <c r="G444" i="10"/>
  <c r="G443" i="10"/>
  <c r="G442" i="10"/>
  <c r="F442" i="10"/>
  <c r="G441" i="10"/>
  <c r="G440" i="10"/>
  <c r="G439" i="10"/>
  <c r="G438" i="10"/>
  <c r="G437" i="10"/>
  <c r="G436" i="10"/>
  <c r="G435" i="10"/>
  <c r="G434" i="10"/>
  <c r="G433" i="10"/>
  <c r="G432" i="10"/>
  <c r="G431" i="10"/>
  <c r="G430" i="10"/>
  <c r="G429" i="10"/>
  <c r="G428" i="10"/>
  <c r="G427" i="10"/>
  <c r="G426" i="10"/>
  <c r="G425" i="10"/>
  <c r="G424" i="10"/>
  <c r="G423" i="10"/>
  <c r="G422" i="10"/>
  <c r="G421" i="10"/>
  <c r="G420" i="10"/>
  <c r="G419" i="10"/>
  <c r="G418" i="10"/>
  <c r="G417" i="10"/>
  <c r="G416" i="10"/>
  <c r="G415" i="10"/>
  <c r="G414" i="10"/>
  <c r="G413" i="10"/>
  <c r="G412" i="10"/>
  <c r="G411" i="10"/>
  <c r="G410" i="10"/>
  <c r="G409" i="10"/>
  <c r="G408" i="10"/>
  <c r="G407" i="10"/>
  <c r="G406" i="10"/>
  <c r="G405" i="10"/>
  <c r="G404" i="10"/>
  <c r="G403" i="10"/>
  <c r="G402" i="10"/>
  <c r="G401" i="10"/>
  <c r="G400" i="10"/>
  <c r="G399" i="10"/>
  <c r="G398" i="10"/>
  <c r="G397" i="10"/>
  <c r="G396" i="10"/>
  <c r="G395" i="10"/>
  <c r="G394" i="10"/>
  <c r="G393" i="10"/>
  <c r="G392" i="10"/>
  <c r="G391" i="10"/>
  <c r="G390" i="10"/>
  <c r="G389" i="10"/>
  <c r="G388" i="10"/>
  <c r="G387" i="10"/>
  <c r="G386" i="10"/>
  <c r="G385" i="10"/>
  <c r="F385" i="10"/>
  <c r="G384" i="10"/>
  <c r="G383" i="10"/>
  <c r="G382" i="10"/>
  <c r="G381" i="10"/>
  <c r="G380" i="10"/>
  <c r="G379" i="10"/>
  <c r="G378" i="10"/>
  <c r="G377" i="10"/>
  <c r="G376" i="10"/>
  <c r="G375" i="10"/>
  <c r="G374" i="10"/>
  <c r="G373" i="10"/>
  <c r="G372" i="10"/>
  <c r="G371" i="10"/>
  <c r="G370" i="10"/>
  <c r="G369" i="10"/>
  <c r="G368" i="10"/>
  <c r="G367" i="10"/>
  <c r="G366" i="10"/>
  <c r="G365" i="10"/>
  <c r="G364" i="10"/>
  <c r="G363" i="10"/>
  <c r="G362" i="10"/>
  <c r="G361" i="10"/>
  <c r="G360" i="10"/>
  <c r="G359" i="10"/>
  <c r="G358" i="10"/>
  <c r="G357" i="10"/>
  <c r="G356" i="10"/>
  <c r="G355" i="10"/>
  <c r="G354" i="10"/>
  <c r="G353" i="10"/>
  <c r="G352" i="10"/>
  <c r="G351" i="10"/>
  <c r="G350" i="10"/>
  <c r="G349" i="10"/>
  <c r="G348" i="10"/>
  <c r="G347" i="10"/>
  <c r="F347" i="10"/>
  <c r="G346" i="10"/>
  <c r="G345" i="10"/>
  <c r="G344" i="10"/>
  <c r="G343" i="10"/>
  <c r="G342" i="10"/>
  <c r="G341" i="10"/>
  <c r="G340" i="10"/>
  <c r="G339" i="10"/>
  <c r="G338" i="10"/>
  <c r="G337" i="10"/>
  <c r="G336" i="10"/>
  <c r="G335" i="10"/>
  <c r="G334" i="10"/>
  <c r="G333" i="10"/>
  <c r="G332" i="10"/>
  <c r="G331" i="10"/>
  <c r="G330" i="10"/>
  <c r="G329" i="10"/>
  <c r="F329" i="10"/>
  <c r="G328" i="10"/>
  <c r="G327" i="10"/>
  <c r="G326" i="10"/>
  <c r="F326" i="10"/>
  <c r="G325" i="10"/>
  <c r="G324" i="10"/>
  <c r="G323" i="10"/>
  <c r="G322" i="10"/>
  <c r="G321" i="10"/>
  <c r="G320" i="10"/>
  <c r="G319" i="10"/>
  <c r="G318" i="10"/>
  <c r="G317" i="10"/>
  <c r="G316" i="10"/>
  <c r="G315" i="10"/>
  <c r="G314" i="10"/>
  <c r="G313" i="10"/>
  <c r="G312" i="10"/>
  <c r="G311" i="10"/>
  <c r="G310" i="10"/>
  <c r="G309" i="10"/>
  <c r="G308" i="10"/>
  <c r="G307" i="10"/>
  <c r="G306" i="10"/>
  <c r="G305" i="10"/>
  <c r="G304" i="10"/>
  <c r="G303" i="10"/>
  <c r="G302" i="10"/>
  <c r="G301" i="10"/>
  <c r="G300" i="10"/>
  <c r="G299" i="10"/>
  <c r="G298" i="10"/>
  <c r="G297" i="10"/>
  <c r="G296" i="10"/>
  <c r="G295" i="10"/>
  <c r="G294" i="10"/>
  <c r="G293" i="10"/>
  <c r="G292" i="10"/>
  <c r="G291" i="10"/>
  <c r="G290" i="10"/>
  <c r="G289" i="10"/>
  <c r="G288" i="10"/>
  <c r="G287" i="10"/>
  <c r="G286" i="10"/>
  <c r="G285" i="10"/>
  <c r="G284" i="10"/>
  <c r="G283" i="10"/>
  <c r="G282" i="10"/>
  <c r="G281" i="10"/>
  <c r="G280" i="10"/>
  <c r="G279" i="10"/>
  <c r="G278" i="10"/>
  <c r="G277" i="10"/>
  <c r="G276" i="10"/>
  <c r="G275" i="10"/>
  <c r="G274" i="10"/>
  <c r="G273" i="10"/>
  <c r="G272" i="10"/>
  <c r="G271" i="10"/>
  <c r="G270" i="10"/>
  <c r="G269" i="10"/>
  <c r="G268" i="10"/>
  <c r="G267" i="10"/>
  <c r="G266" i="10"/>
  <c r="G265" i="10"/>
  <c r="G264" i="10"/>
  <c r="G263" i="10"/>
  <c r="G262" i="10"/>
  <c r="G261" i="10"/>
  <c r="G260" i="10"/>
  <c r="G259" i="10"/>
  <c r="G258" i="10"/>
  <c r="G257" i="10"/>
  <c r="G256" i="10"/>
  <c r="G255" i="10"/>
  <c r="G254" i="10"/>
  <c r="G253" i="10"/>
  <c r="G252" i="10"/>
  <c r="G251" i="10"/>
  <c r="G250" i="10"/>
  <c r="G249" i="10"/>
  <c r="G248" i="10"/>
  <c r="G247" i="10"/>
  <c r="G246" i="10"/>
  <c r="G245" i="10"/>
  <c r="G244" i="10"/>
  <c r="G243" i="10"/>
  <c r="G242" i="10"/>
  <c r="G241" i="10"/>
  <c r="G240" i="10"/>
  <c r="G239" i="10"/>
  <c r="F238" i="10"/>
  <c r="G238" i="10" s="1"/>
  <c r="G237" i="10"/>
  <c r="G236" i="10"/>
  <c r="G235" i="10"/>
  <c r="G234" i="10"/>
  <c r="G233" i="10"/>
  <c r="G232" i="10"/>
  <c r="G231" i="10"/>
  <c r="G230" i="10"/>
  <c r="G229" i="10"/>
  <c r="G228" i="10"/>
  <c r="G227" i="10"/>
  <c r="G226" i="10"/>
  <c r="G225" i="10"/>
  <c r="G224" i="10"/>
  <c r="G223" i="10"/>
  <c r="G222" i="10"/>
  <c r="G221" i="10"/>
  <c r="G220" i="10"/>
  <c r="G219" i="10"/>
  <c r="G218" i="10"/>
  <c r="G217" i="10"/>
  <c r="G216" i="10"/>
  <c r="G215" i="10"/>
  <c r="F215" i="10"/>
  <c r="G214" i="10"/>
  <c r="G213" i="10"/>
  <c r="G212" i="10"/>
  <c r="G211" i="10"/>
  <c r="F210" i="10"/>
  <c r="G210" i="10" s="1"/>
  <c r="G209" i="10"/>
  <c r="G208" i="10"/>
  <c r="G207" i="10"/>
  <c r="G206" i="10"/>
  <c r="G205" i="10"/>
  <c r="G204" i="10"/>
  <c r="G203" i="10"/>
  <c r="G202" i="10"/>
  <c r="G201" i="10"/>
  <c r="F200" i="10"/>
  <c r="G200" i="10" s="1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G113" i="10"/>
  <c r="G112" i="10"/>
  <c r="G111" i="10"/>
  <c r="G110" i="10"/>
  <c r="G109" i="10"/>
  <c r="G108" i="10"/>
  <c r="G107" i="10"/>
  <c r="G106" i="10"/>
  <c r="G105" i="10"/>
  <c r="G104" i="10"/>
  <c r="G103" i="10"/>
  <c r="G102" i="10"/>
  <c r="G101" i="10"/>
  <c r="G100" i="10"/>
  <c r="G99" i="10"/>
  <c r="G98" i="10"/>
  <c r="G97" i="10"/>
  <c r="G96" i="10"/>
  <c r="G95" i="10"/>
  <c r="G94" i="10"/>
  <c r="G93" i="10"/>
  <c r="G92" i="10"/>
  <c r="G91" i="10"/>
  <c r="G90" i="10"/>
  <c r="G89" i="10"/>
  <c r="G88" i="10"/>
  <c r="G87" i="10"/>
  <c r="G86" i="10"/>
  <c r="G85" i="10"/>
  <c r="G84" i="10"/>
  <c r="G83" i="10"/>
  <c r="G82" i="10"/>
  <c r="G81" i="10"/>
  <c r="G80" i="10"/>
  <c r="G79" i="10"/>
  <c r="G78" i="10"/>
  <c r="G77" i="10"/>
  <c r="G76" i="10"/>
  <c r="G75" i="10"/>
  <c r="G74" i="10"/>
  <c r="G73" i="10"/>
  <c r="G72" i="10"/>
  <c r="G71" i="10"/>
  <c r="G70" i="10"/>
  <c r="G69" i="10"/>
  <c r="G68" i="10"/>
  <c r="G67" i="10"/>
  <c r="G66" i="10"/>
  <c r="G65" i="10"/>
  <c r="G64" i="10"/>
  <c r="G63" i="10"/>
  <c r="G62" i="10"/>
  <c r="G61" i="10"/>
  <c r="G60" i="10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G25" i="10"/>
  <c r="F24" i="10"/>
  <c r="G24" i="10" s="1"/>
  <c r="G23" i="10"/>
  <c r="G22" i="10"/>
  <c r="G21" i="10"/>
  <c r="G20" i="10"/>
  <c r="G19" i="10"/>
  <c r="G18" i="10"/>
  <c r="F18" i="10"/>
  <c r="G17" i="10"/>
  <c r="G16" i="10"/>
  <c r="G15" i="10"/>
  <c r="G14" i="10"/>
  <c r="G13" i="10"/>
  <c r="G12" i="10"/>
  <c r="G11" i="10"/>
  <c r="G10" i="10"/>
  <c r="G9" i="10"/>
  <c r="G8" i="10"/>
  <c r="G7" i="10"/>
  <c r="G6" i="10"/>
  <c r="G5" i="10"/>
  <c r="G4" i="10"/>
  <c r="G3" i="10"/>
  <c r="F2" i="10"/>
  <c r="G2" i="10" s="1"/>
  <c r="G3344" i="10" l="1"/>
  <c r="F1700" i="9" l="1"/>
  <c r="F2278" i="9" l="1"/>
  <c r="F1747" i="9" l="1"/>
  <c r="F1321" i="9" l="1"/>
  <c r="F2957" i="8" l="1"/>
  <c r="F2609" i="9" l="1"/>
  <c r="F2453" i="8" l="1"/>
  <c r="F2956" i="9" l="1"/>
  <c r="F1917" i="8" l="1"/>
  <c r="F1577" i="9" l="1"/>
  <c r="F1457" i="8"/>
  <c r="F3364" i="9" l="1"/>
  <c r="F1377" i="9" l="1"/>
  <c r="G3364" i="9" l="1"/>
  <c r="F3257" i="9"/>
  <c r="G3257" i="9" s="1"/>
  <c r="F3179" i="9"/>
  <c r="D3409" i="9"/>
  <c r="G3408" i="9"/>
  <c r="G3407" i="9"/>
  <c r="G3406" i="9"/>
  <c r="G3405" i="9"/>
  <c r="G3404" i="9"/>
  <c r="G3403" i="9"/>
  <c r="G3402" i="9"/>
  <c r="G3401" i="9"/>
  <c r="G3400" i="9"/>
  <c r="G3399" i="9"/>
  <c r="G3398" i="9"/>
  <c r="G3397" i="9"/>
  <c r="G3396" i="9"/>
  <c r="G3395" i="9"/>
  <c r="G3394" i="9"/>
  <c r="G3393" i="9"/>
  <c r="G3392" i="9"/>
  <c r="G3391" i="9"/>
  <c r="G3390" i="9"/>
  <c r="G3389" i="9"/>
  <c r="G3388" i="9"/>
  <c r="G3387" i="9"/>
  <c r="G3386" i="9"/>
  <c r="G3385" i="9"/>
  <c r="G3384" i="9"/>
  <c r="G3383" i="9"/>
  <c r="G3382" i="9"/>
  <c r="G3381" i="9"/>
  <c r="G3380" i="9"/>
  <c r="G3379" i="9"/>
  <c r="G3378" i="9"/>
  <c r="G3377" i="9"/>
  <c r="G3376" i="9"/>
  <c r="G3375" i="9"/>
  <c r="G3374" i="9"/>
  <c r="G3373" i="9"/>
  <c r="G3372" i="9"/>
  <c r="G3371" i="9"/>
  <c r="G3370" i="9"/>
  <c r="G3369" i="9"/>
  <c r="G3368" i="9"/>
  <c r="G3367" i="9"/>
  <c r="G3366" i="9"/>
  <c r="G3365" i="9"/>
  <c r="G3363" i="9"/>
  <c r="G3362" i="9"/>
  <c r="G3361" i="9"/>
  <c r="G3360" i="9"/>
  <c r="G3359" i="9"/>
  <c r="G3358" i="9"/>
  <c r="G3357" i="9"/>
  <c r="G3356" i="9"/>
  <c r="G3355" i="9"/>
  <c r="G3354" i="9"/>
  <c r="G3353" i="9"/>
  <c r="G3352" i="9"/>
  <c r="G3351" i="9"/>
  <c r="G3350" i="9"/>
  <c r="G3349" i="9"/>
  <c r="G3348" i="9"/>
  <c r="G3347" i="9"/>
  <c r="G3346" i="9"/>
  <c r="G3345" i="9"/>
  <c r="G3344" i="9"/>
  <c r="G3343" i="9"/>
  <c r="G3342" i="9"/>
  <c r="G3341" i="9"/>
  <c r="G3340" i="9"/>
  <c r="G3339" i="9"/>
  <c r="G3338" i="9"/>
  <c r="G3337" i="9"/>
  <c r="G3336" i="9"/>
  <c r="G3335" i="9"/>
  <c r="G3334" i="9"/>
  <c r="G3333" i="9"/>
  <c r="G3332" i="9"/>
  <c r="G3331" i="9"/>
  <c r="G3330" i="9"/>
  <c r="G3329" i="9"/>
  <c r="G3328" i="9"/>
  <c r="G3327" i="9"/>
  <c r="G3326" i="9"/>
  <c r="G3325" i="9"/>
  <c r="G3324" i="9"/>
  <c r="G3323" i="9"/>
  <c r="G3322" i="9"/>
  <c r="G3321" i="9"/>
  <c r="G3320" i="9"/>
  <c r="G3319" i="9"/>
  <c r="G3318" i="9"/>
  <c r="G3317" i="9"/>
  <c r="G3316" i="9"/>
  <c r="G3315" i="9"/>
  <c r="G3314" i="9"/>
  <c r="G3313" i="9"/>
  <c r="G3312" i="9"/>
  <c r="G3311" i="9"/>
  <c r="G3310" i="9"/>
  <c r="G3309" i="9"/>
  <c r="G3308" i="9"/>
  <c r="G3307" i="9"/>
  <c r="G3306" i="9"/>
  <c r="G3305" i="9"/>
  <c r="G3304" i="9"/>
  <c r="G3303" i="9"/>
  <c r="G3302" i="9"/>
  <c r="G3301" i="9"/>
  <c r="G3300" i="9"/>
  <c r="G3299" i="9"/>
  <c r="G3298" i="9"/>
  <c r="G3297" i="9"/>
  <c r="G3296" i="9"/>
  <c r="G3295" i="9"/>
  <c r="G3294" i="9"/>
  <c r="G3293" i="9"/>
  <c r="G3292" i="9"/>
  <c r="G3291" i="9"/>
  <c r="G3290" i="9"/>
  <c r="G3289" i="9"/>
  <c r="G3288" i="9"/>
  <c r="G3287" i="9"/>
  <c r="G3286" i="9"/>
  <c r="G3285" i="9"/>
  <c r="G3284" i="9"/>
  <c r="G3283" i="9"/>
  <c r="G3282" i="9"/>
  <c r="G3281" i="9"/>
  <c r="G3280" i="9"/>
  <c r="G3279" i="9"/>
  <c r="G3278" i="9"/>
  <c r="G3277" i="9"/>
  <c r="G3276" i="9"/>
  <c r="G3275" i="9"/>
  <c r="G3274" i="9"/>
  <c r="G3273" i="9"/>
  <c r="G3272" i="9"/>
  <c r="G3271" i="9"/>
  <c r="G3270" i="9"/>
  <c r="G3269" i="9"/>
  <c r="G3268" i="9"/>
  <c r="G3267" i="9"/>
  <c r="G3266" i="9"/>
  <c r="G3265" i="9"/>
  <c r="G3264" i="9"/>
  <c r="G3263" i="9"/>
  <c r="G3262" i="9"/>
  <c r="G3261" i="9"/>
  <c r="G3260" i="9"/>
  <c r="G3259" i="9"/>
  <c r="G3258" i="9"/>
  <c r="G3256" i="9"/>
  <c r="G3255" i="9"/>
  <c r="G3254" i="9"/>
  <c r="G3253" i="9"/>
  <c r="G3252" i="9"/>
  <c r="G3251" i="9"/>
  <c r="G3250" i="9"/>
  <c r="G3249" i="9"/>
  <c r="G3248" i="9"/>
  <c r="G3247" i="9"/>
  <c r="G3246" i="9"/>
  <c r="G3245" i="9"/>
  <c r="G3244" i="9"/>
  <c r="G3243" i="9"/>
  <c r="G3242" i="9"/>
  <c r="G3241" i="9"/>
  <c r="G3240" i="9"/>
  <c r="G3239" i="9"/>
  <c r="G3238" i="9"/>
  <c r="G3237" i="9"/>
  <c r="G3236" i="9"/>
  <c r="G3235" i="9"/>
  <c r="G3234" i="9"/>
  <c r="G3233" i="9"/>
  <c r="G3232" i="9"/>
  <c r="G3231" i="9"/>
  <c r="G3230" i="9"/>
  <c r="G3229" i="9"/>
  <c r="G3228" i="9"/>
  <c r="G3227" i="9"/>
  <c r="G3226" i="9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F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F3080" i="9"/>
  <c r="G3080" i="9" s="1"/>
  <c r="G3079" i="9"/>
  <c r="F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F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F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F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F2677" i="9"/>
  <c r="G2677" i="9" s="1"/>
  <c r="G2676" i="9"/>
  <c r="G2675" i="9"/>
  <c r="F2674" i="9"/>
  <c r="G2674" i="9" s="1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F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F2546" i="9"/>
  <c r="G2545" i="9"/>
  <c r="G2544" i="9"/>
  <c r="G2543" i="9"/>
  <c r="F2542" i="9"/>
  <c r="G2542" i="9" s="1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F2423" i="9"/>
  <c r="G2423" i="9" s="1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F2235" i="9"/>
  <c r="G2234" i="9"/>
  <c r="F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F2221" i="9"/>
  <c r="G2220" i="9"/>
  <c r="G2219" i="9"/>
  <c r="G2218" i="9"/>
  <c r="G2217" i="9"/>
  <c r="G2216" i="9"/>
  <c r="G2215" i="9"/>
  <c r="G2214" i="9"/>
  <c r="G2213" i="9"/>
  <c r="G2212" i="9"/>
  <c r="G2211" i="9"/>
  <c r="G2210" i="9"/>
  <c r="F2209" i="9"/>
  <c r="G2209" i="9" s="1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F2127" i="9"/>
  <c r="G2126" i="9"/>
  <c r="G2125" i="9"/>
  <c r="G2124" i="9"/>
  <c r="G2123" i="9"/>
  <c r="G2122" i="9"/>
  <c r="F2121" i="9"/>
  <c r="G2121" i="9" s="1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F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F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F1941" i="9"/>
  <c r="G1940" i="9"/>
  <c r="G1939" i="9"/>
  <c r="G1938" i="9"/>
  <c r="F1937" i="9"/>
  <c r="G1937" i="9" s="1"/>
  <c r="G1936" i="9"/>
  <c r="G1935" i="9"/>
  <c r="G1934" i="9"/>
  <c r="G1933" i="9"/>
  <c r="F1933" i="9"/>
  <c r="G1932" i="9"/>
  <c r="G1931" i="9"/>
  <c r="G1930" i="9"/>
  <c r="G1929" i="9"/>
  <c r="G1928" i="9"/>
  <c r="G1927" i="9"/>
  <c r="G1926" i="9"/>
  <c r="G1925" i="9"/>
  <c r="G1924" i="9"/>
  <c r="G1923" i="9"/>
  <c r="G1922" i="9"/>
  <c r="F1921" i="9"/>
  <c r="G1921" i="9" s="1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F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F1545" i="9"/>
  <c r="G1544" i="9"/>
  <c r="G1543" i="9"/>
  <c r="G1542" i="9"/>
  <c r="F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F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F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F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F1144" i="9"/>
  <c r="G1144" i="9" s="1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F1076" i="9"/>
  <c r="G1075" i="9"/>
  <c r="F1074" i="9"/>
  <c r="G1074" i="9" s="1"/>
  <c r="F1073" i="9"/>
  <c r="G1073" i="9" s="1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F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F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F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F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F436" i="9"/>
  <c r="G436" i="9" s="1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F278" i="9"/>
  <c r="G277" i="9"/>
  <c r="F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F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F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F13" i="9"/>
  <c r="G12" i="9"/>
  <c r="G11" i="9"/>
  <c r="G10" i="9"/>
  <c r="G9" i="9"/>
  <c r="G8" i="9"/>
  <c r="G7" i="9"/>
  <c r="G6" i="9"/>
  <c r="G5" i="9"/>
  <c r="G4" i="9"/>
  <c r="G3" i="9"/>
  <c r="G2" i="9"/>
  <c r="F1724" i="7" l="1"/>
  <c r="F3097" i="8" l="1"/>
  <c r="F2988" i="8" l="1"/>
  <c r="F2433" i="8"/>
  <c r="F1833" i="8" l="1"/>
  <c r="F2928" i="8" l="1"/>
  <c r="F2628" i="8"/>
  <c r="F3070" i="8" l="1"/>
  <c r="F1083" i="8" l="1"/>
  <c r="F3175" i="8" l="1"/>
  <c r="F2648" i="8" l="1"/>
  <c r="F2243" i="8" l="1"/>
  <c r="F2911" i="8" l="1"/>
  <c r="F759" i="8"/>
  <c r="F2904" i="8" l="1"/>
  <c r="F2795" i="7"/>
  <c r="F3222" i="8" l="1"/>
  <c r="E3227" i="8" s="1"/>
  <c r="D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F2730" i="8"/>
  <c r="G2729" i="8"/>
  <c r="G2728" i="8"/>
  <c r="G2727" i="8"/>
  <c r="F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F2558" i="8"/>
  <c r="G2558" i="8" s="1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F2256" i="8"/>
  <c r="G2255" i="8"/>
  <c r="G2254" i="8"/>
  <c r="G2253" i="8"/>
  <c r="G2252" i="8"/>
  <c r="G2251" i="8"/>
  <c r="G2250" i="8"/>
  <c r="G2249" i="8"/>
  <c r="F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F2150" i="8"/>
  <c r="G2150" i="8" s="1"/>
  <c r="F2149" i="8"/>
  <c r="G2149" i="8" s="1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F1984" i="8"/>
  <c r="G1984" i="8" s="1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F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F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F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F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F1443" i="8"/>
  <c r="G1443" i="8" s="1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F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F1367" i="8"/>
  <c r="G1367" i="8" s="1"/>
  <c r="G1366" i="8"/>
  <c r="G1365" i="8"/>
  <c r="G1364" i="8"/>
  <c r="G1363" i="8"/>
  <c r="F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F1250" i="8"/>
  <c r="G1249" i="8"/>
  <c r="G1248" i="8"/>
  <c r="G1247" i="8"/>
  <c r="F1247" i="8"/>
  <c r="G1246" i="8"/>
  <c r="G1245" i="8"/>
  <c r="G1244" i="8"/>
  <c r="F1243" i="8"/>
  <c r="G1243" i="8" s="1"/>
  <c r="G1242" i="8"/>
  <c r="G1241" i="8"/>
  <c r="F1240" i="8"/>
  <c r="G1240" i="8" s="1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F1225" i="8"/>
  <c r="G1225" i="8" s="1"/>
  <c r="G1224" i="8"/>
  <c r="G1223" i="8"/>
  <c r="G1222" i="8"/>
  <c r="G1221" i="8"/>
  <c r="G1220" i="8"/>
  <c r="F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F1179" i="8"/>
  <c r="G1179" i="8" s="1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F1136" i="8"/>
  <c r="G1136" i="8" s="1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F1119" i="8"/>
  <c r="G1118" i="8"/>
  <c r="G1117" i="8"/>
  <c r="G1116" i="8"/>
  <c r="G1115" i="8"/>
  <c r="G1114" i="8"/>
  <c r="G1113" i="8"/>
  <c r="F1113" i="8"/>
  <c r="G1112" i="8"/>
  <c r="G1111" i="8"/>
  <c r="G1110" i="8"/>
  <c r="G1109" i="8"/>
  <c r="G1108" i="8"/>
  <c r="G1107" i="8"/>
  <c r="G1106" i="8"/>
  <c r="G1105" i="8"/>
  <c r="F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F1038" i="8"/>
  <c r="G1037" i="8"/>
  <c r="G1036" i="8"/>
  <c r="G1035" i="8"/>
  <c r="G1034" i="8"/>
  <c r="G1033" i="8"/>
  <c r="G1032" i="8"/>
  <c r="G1031" i="8"/>
  <c r="G1030" i="8"/>
  <c r="F1029" i="8"/>
  <c r="G1029" i="8" s="1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F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F914" i="8"/>
  <c r="G913" i="8"/>
  <c r="G912" i="8"/>
  <c r="G911" i="8"/>
  <c r="G910" i="8"/>
  <c r="F909" i="8"/>
  <c r="G909" i="8" s="1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F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F791" i="8"/>
  <c r="G790" i="8"/>
  <c r="G789" i="8"/>
  <c r="G788" i="8"/>
  <c r="F788" i="8"/>
  <c r="G787" i="8"/>
  <c r="G786" i="8"/>
  <c r="G785" i="8"/>
  <c r="G784" i="8"/>
  <c r="G783" i="8"/>
  <c r="G782" i="8"/>
  <c r="F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F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F680" i="8"/>
  <c r="G679" i="8"/>
  <c r="G678" i="8"/>
  <c r="G677" i="8"/>
  <c r="G676" i="8"/>
  <c r="G675" i="8"/>
  <c r="G674" i="8"/>
  <c r="G673" i="8"/>
  <c r="G672" i="8"/>
  <c r="G671" i="8"/>
  <c r="F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F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F540" i="8"/>
  <c r="G540" i="8" s="1"/>
  <c r="G539" i="8"/>
  <c r="G538" i="8"/>
  <c r="G537" i="8"/>
  <c r="F537" i="8"/>
  <c r="G536" i="8"/>
  <c r="G535" i="8"/>
  <c r="G534" i="8"/>
  <c r="F533" i="8"/>
  <c r="G533" i="8" s="1"/>
  <c r="G532" i="8"/>
  <c r="G531" i="8"/>
  <c r="F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F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F427" i="8"/>
  <c r="G427" i="8" s="1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F409" i="8"/>
  <c r="G409" i="8" s="1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F330" i="8"/>
  <c r="G329" i="8"/>
  <c r="G328" i="8"/>
  <c r="G327" i="8"/>
  <c r="G326" i="8"/>
  <c r="G325" i="8"/>
  <c r="G324" i="8"/>
  <c r="G323" i="8"/>
  <c r="G322" i="8"/>
  <c r="G321" i="8"/>
  <c r="F321" i="8"/>
  <c r="G320" i="8"/>
  <c r="G319" i="8"/>
  <c r="G318" i="8"/>
  <c r="G317" i="8"/>
  <c r="G316" i="8"/>
  <c r="G315" i="8"/>
  <c r="G314" i="8"/>
  <c r="G313" i="8"/>
  <c r="G312" i="8"/>
  <c r="F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F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F245" i="8"/>
  <c r="G245" i="8" s="1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F226" i="8"/>
  <c r="G226" i="8" s="1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F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F115" i="8"/>
  <c r="G114" i="8"/>
  <c r="G113" i="8"/>
  <c r="G112" i="8"/>
  <c r="G111" i="8"/>
  <c r="G110" i="8"/>
  <c r="G109" i="8"/>
  <c r="G108" i="8"/>
  <c r="F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F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F12" i="8"/>
  <c r="G11" i="8"/>
  <c r="G10" i="8"/>
  <c r="G9" i="8"/>
  <c r="G8" i="8"/>
  <c r="G7" i="8"/>
  <c r="G6" i="8"/>
  <c r="G5" i="8"/>
  <c r="F4" i="8"/>
  <c r="G4" i="8" s="1"/>
  <c r="G3" i="8"/>
  <c r="G2" i="8"/>
  <c r="G3222" i="8" l="1"/>
  <c r="F2922" i="5"/>
  <c r="F1392" i="1" l="1"/>
  <c r="F1558" i="7"/>
  <c r="F3139" i="7" l="1"/>
  <c r="F3112" i="7"/>
  <c r="F2899" i="7" l="1"/>
  <c r="F2412" i="7" l="1"/>
  <c r="F2456" i="6"/>
  <c r="F2931" i="7" l="1"/>
  <c r="F1342" i="5"/>
  <c r="F2712" i="7"/>
  <c r="F1582" i="7"/>
  <c r="F1867" i="7" l="1"/>
  <c r="F3082" i="7" l="1"/>
  <c r="F3080" i="7"/>
  <c r="F2344" i="7"/>
  <c r="F3191" i="7" l="1"/>
  <c r="F3095" i="7" l="1"/>
  <c r="F2970" i="7"/>
  <c r="F3232" i="7"/>
  <c r="D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F3005" i="7"/>
  <c r="G3004" i="7"/>
  <c r="G3003" i="7"/>
  <c r="G3002" i="7"/>
  <c r="G3001" i="7"/>
  <c r="G3000" i="7"/>
  <c r="G2999" i="7"/>
  <c r="G2998" i="7"/>
  <c r="G2997" i="7"/>
  <c r="G2996" i="7"/>
  <c r="G2995" i="7"/>
  <c r="G2994" i="7"/>
  <c r="F2993" i="7"/>
  <c r="G2993" i="7" s="1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F2957" i="7"/>
  <c r="G2957" i="7" s="1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F2907" i="7"/>
  <c r="G2907" i="7" s="1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F2873" i="7"/>
  <c r="G2873" i="7" s="1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F2856" i="7"/>
  <c r="G2856" i="7" s="1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F2761" i="7"/>
  <c r="G2761" i="7" s="1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F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F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F2558" i="7"/>
  <c r="G2558" i="7" s="1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F2526" i="7"/>
  <c r="G2525" i="7"/>
  <c r="G2524" i="7"/>
  <c r="G2523" i="7"/>
  <c r="G2522" i="7"/>
  <c r="G2521" i="7"/>
  <c r="G2520" i="7"/>
  <c r="G2519" i="7"/>
  <c r="F2518" i="7"/>
  <c r="G2518" i="7" s="1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F2397" i="7"/>
  <c r="G2397" i="7" s="1"/>
  <c r="G2396" i="7"/>
  <c r="G2395" i="7"/>
  <c r="G2394" i="7"/>
  <c r="G2393" i="7"/>
  <c r="G2392" i="7"/>
  <c r="G2391" i="7"/>
  <c r="G2390" i="7"/>
  <c r="G2389" i="7"/>
  <c r="F2388" i="7"/>
  <c r="G2388" i="7" s="1"/>
  <c r="F2387" i="7"/>
  <c r="G2387" i="7" s="1"/>
  <c r="G2386" i="7"/>
  <c r="G2385" i="7"/>
  <c r="G2384" i="7"/>
  <c r="F2383" i="7"/>
  <c r="G2383" i="7" s="1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F2347" i="7"/>
  <c r="G2347" i="7" s="1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F2297" i="7"/>
  <c r="G2297" i="7" s="1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F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F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F2170" i="7"/>
  <c r="G2170" i="7" s="1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F2081" i="7"/>
  <c r="G2081" i="7" s="1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F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F1989" i="7"/>
  <c r="G1989" i="7" s="1"/>
  <c r="G1988" i="7"/>
  <c r="G1987" i="7"/>
  <c r="G1986" i="7"/>
  <c r="G1985" i="7"/>
  <c r="G1984" i="7"/>
  <c r="G1983" i="7"/>
  <c r="G1982" i="7"/>
  <c r="G1981" i="7"/>
  <c r="F1980" i="7"/>
  <c r="G1980" i="7" s="1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F1869" i="7"/>
  <c r="G1869" i="7" s="1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F1796" i="7"/>
  <c r="G1795" i="7"/>
  <c r="G1794" i="7"/>
  <c r="G1793" i="7"/>
  <c r="G1792" i="7"/>
  <c r="G1791" i="7"/>
  <c r="F1790" i="7"/>
  <c r="G1790" i="7" s="1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F1694" i="7"/>
  <c r="G1693" i="7"/>
  <c r="F1693" i="7"/>
  <c r="G1692" i="7"/>
  <c r="F1692" i="7"/>
  <c r="G1691" i="7"/>
  <c r="F1690" i="7"/>
  <c r="G1690" i="7" s="1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F1665" i="7"/>
  <c r="G1665" i="7" s="1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F1571" i="7"/>
  <c r="G1571" i="7" s="1"/>
  <c r="G1570" i="7"/>
  <c r="G1569" i="7"/>
  <c r="G1568" i="7"/>
  <c r="G1567" i="7"/>
  <c r="G1566" i="7"/>
  <c r="G1565" i="7"/>
  <c r="G1564" i="7"/>
  <c r="G1563" i="7"/>
  <c r="G1562" i="7"/>
  <c r="F1561" i="7"/>
  <c r="G1561" i="7" s="1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F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F1474" i="7"/>
  <c r="G1474" i="7" s="1"/>
  <c r="G1473" i="7"/>
  <c r="G1472" i="7"/>
  <c r="G1471" i="7"/>
  <c r="G1470" i="7"/>
  <c r="G1469" i="7"/>
  <c r="G1468" i="7"/>
  <c r="G1467" i="7"/>
  <c r="G1466" i="7"/>
  <c r="G1465" i="7"/>
  <c r="G1464" i="7"/>
  <c r="F1463" i="7"/>
  <c r="G1463" i="7" s="1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F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F1403" i="7"/>
  <c r="G1403" i="7" s="1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F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F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F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F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F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F1103" i="7"/>
  <c r="G1103" i="7" s="1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F1090" i="7"/>
  <c r="G1090" i="7" s="1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F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F1046" i="7"/>
  <c r="G1046" i="7" s="1"/>
  <c r="G1045" i="7"/>
  <c r="G1044" i="7"/>
  <c r="G1043" i="7"/>
  <c r="G1042" i="7"/>
  <c r="G1041" i="7"/>
  <c r="G1040" i="7"/>
  <c r="G1039" i="7"/>
  <c r="G1038" i="7"/>
  <c r="F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F997" i="7"/>
  <c r="G996" i="7"/>
  <c r="G995" i="7"/>
  <c r="G994" i="7"/>
  <c r="G993" i="7"/>
  <c r="G992" i="7"/>
  <c r="G991" i="7"/>
  <c r="G990" i="7"/>
  <c r="F989" i="7"/>
  <c r="G989" i="7" s="1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F916" i="7"/>
  <c r="G916" i="7" s="1"/>
  <c r="G915" i="7"/>
  <c r="G914" i="7"/>
  <c r="G913" i="7"/>
  <c r="G912" i="7"/>
  <c r="G911" i="7"/>
  <c r="G910" i="7"/>
  <c r="G909" i="7"/>
  <c r="G908" i="7"/>
  <c r="G907" i="7"/>
  <c r="G906" i="7"/>
  <c r="F906" i="7"/>
  <c r="G905" i="7"/>
  <c r="G904" i="7"/>
  <c r="G903" i="7"/>
  <c r="F903" i="7"/>
  <c r="G902" i="7"/>
  <c r="F901" i="7"/>
  <c r="G901" i="7" s="1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F862" i="7"/>
  <c r="G862" i="7" s="1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F789" i="7"/>
  <c r="G789" i="7" s="1"/>
  <c r="G788" i="7"/>
  <c r="G787" i="7"/>
  <c r="G786" i="7"/>
  <c r="G785" i="7"/>
  <c r="F785" i="7"/>
  <c r="G784" i="7"/>
  <c r="G783" i="7"/>
  <c r="G782" i="7"/>
  <c r="G781" i="7"/>
  <c r="G780" i="7"/>
  <c r="G779" i="7"/>
  <c r="G778" i="7"/>
  <c r="F777" i="7"/>
  <c r="G777" i="7" s="1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F675" i="7"/>
  <c r="G674" i="7"/>
  <c r="G673" i="7"/>
  <c r="G672" i="7"/>
  <c r="G671" i="7"/>
  <c r="G670" i="7"/>
  <c r="G669" i="7"/>
  <c r="G668" i="7"/>
  <c r="G667" i="7"/>
  <c r="G666" i="7"/>
  <c r="F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F552" i="7"/>
  <c r="G552" i="7" s="1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F467" i="7"/>
  <c r="G467" i="7" s="1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F438" i="7"/>
  <c r="G438" i="7" s="1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F328" i="7"/>
  <c r="G327" i="7"/>
  <c r="G326" i="7"/>
  <c r="G325" i="7"/>
  <c r="G324" i="7"/>
  <c r="G323" i="7"/>
  <c r="G322" i="7"/>
  <c r="G321" i="7"/>
  <c r="F320" i="7"/>
  <c r="G320" i="7" s="1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F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F172" i="7"/>
  <c r="G172" i="7" s="1"/>
  <c r="G171" i="7"/>
  <c r="G170" i="7"/>
  <c r="G169" i="7"/>
  <c r="G168" i="7"/>
  <c r="G167" i="7"/>
  <c r="G166" i="7"/>
  <c r="G165" i="7"/>
  <c r="G164" i="7"/>
  <c r="G163" i="7"/>
  <c r="G162" i="7"/>
  <c r="F162" i="7"/>
  <c r="G161" i="7"/>
  <c r="G160" i="7"/>
  <c r="G159" i="7"/>
  <c r="G158" i="7"/>
  <c r="G157" i="7"/>
  <c r="G156" i="7"/>
  <c r="G155" i="7"/>
  <c r="G154" i="7"/>
  <c r="F153" i="7"/>
  <c r="G153" i="7" s="1"/>
  <c r="G152" i="7"/>
  <c r="G151" i="7"/>
  <c r="F150" i="7"/>
  <c r="G150" i="7" s="1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F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F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F30" i="7"/>
  <c r="G30" i="7" s="1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F16" i="7"/>
  <c r="F15" i="7"/>
  <c r="G15" i="7" s="1"/>
  <c r="G14" i="7"/>
  <c r="G13" i="7"/>
  <c r="G12" i="7"/>
  <c r="G11" i="7"/>
  <c r="G10" i="7"/>
  <c r="G9" i="7"/>
  <c r="G8" i="7"/>
  <c r="G7" i="7"/>
  <c r="G6" i="7"/>
  <c r="G5" i="7"/>
  <c r="G4" i="7"/>
  <c r="G3" i="7"/>
  <c r="G2" i="7"/>
  <c r="G3232" i="7" l="1"/>
  <c r="E3237" i="7"/>
  <c r="F2669" i="5"/>
  <c r="F3061" i="5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  <c r="F3409" i="9"/>
  <c r="G2579" i="9"/>
</calcChain>
</file>

<file path=xl/sharedStrings.xml><?xml version="1.0" encoding="utf-8"?>
<sst xmlns="http://schemas.openxmlformats.org/spreadsheetml/2006/main" count="101506" uniqueCount="35010">
  <si>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</si>
  <si>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</si>
  <si>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</si>
  <si>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</si>
  <si>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</si>
  <si>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</si>
  <si>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</si>
  <si>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</si>
  <si>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</si>
  <si>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</si>
  <si>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</si>
  <si>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</si>
  <si>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</si>
  <si>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</si>
  <si>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</si>
  <si>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</si>
  <si>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</si>
  <si>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</si>
  <si>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</si>
  <si>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</si>
  <si>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</si>
  <si>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</si>
  <si>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</si>
  <si>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</si>
  <si>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</si>
  <si>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</si>
  <si>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</si>
  <si>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</si>
  <si>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</si>
  <si>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</si>
  <si>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</si>
  <si>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</si>
  <si>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</si>
  <si>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</si>
  <si>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</si>
  <si>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</si>
  <si>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</si>
  <si>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</si>
  <si>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</si>
  <si>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</si>
  <si>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</si>
  <si>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</si>
  <si>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</si>
  <si>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</si>
  <si>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</si>
  <si>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</si>
  <si>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</si>
  <si>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</si>
  <si>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</si>
  <si>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</si>
  <si>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</si>
  <si>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</si>
  <si>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</si>
  <si>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</si>
  <si>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</si>
  <si>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</si>
  <si>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</si>
  <si>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</si>
  <si>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</si>
  <si>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</si>
  <si>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</si>
  <si>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</si>
  <si>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</si>
  <si>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</si>
  <si>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</si>
  <si>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</si>
  <si>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</si>
  <si>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</si>
  <si>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</si>
  <si>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</si>
  <si>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</si>
  <si>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</si>
  <si>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</si>
  <si>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</si>
  <si>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</si>
  <si>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</si>
  <si>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</si>
  <si>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</si>
  <si>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</si>
  <si>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</si>
  <si>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</si>
  <si>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</si>
  <si>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</si>
  <si>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</si>
  <si>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</si>
  <si>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</si>
  <si>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</si>
  <si>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</si>
  <si>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</si>
  <si>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</si>
  <si>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</si>
  <si>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</si>
  <si>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</si>
  <si>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</si>
  <si>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</si>
  <si>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</si>
  <si>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</si>
  <si>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</si>
  <si>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</si>
  <si>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</si>
  <si>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</si>
  <si>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</si>
  <si>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</si>
  <si>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</si>
  <si>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</si>
  <si>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</si>
  <si>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</si>
  <si>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</si>
  <si>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</si>
  <si>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</si>
  <si>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</si>
  <si>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</si>
  <si>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</si>
  <si>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</si>
  <si>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</si>
  <si>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</si>
  <si>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</si>
  <si>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</si>
  <si>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</si>
  <si>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</si>
  <si>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</si>
  <si>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</si>
  <si>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</si>
  <si>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</si>
  <si>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</si>
  <si>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</si>
  <si>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</si>
  <si>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</si>
  <si>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</si>
  <si>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</si>
  <si>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</si>
  <si>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</si>
  <si>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</si>
  <si>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</si>
  <si>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</si>
  <si>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</si>
  <si>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</si>
  <si>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</si>
  <si>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</si>
  <si>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</si>
  <si>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</si>
  <si>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</si>
  <si>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</si>
  <si>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</si>
  <si>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</si>
  <si>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</si>
  <si>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</si>
  <si>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</si>
  <si>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</si>
  <si>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</si>
  <si>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</si>
  <si>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</si>
  <si>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</si>
  <si>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</si>
  <si>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</si>
  <si>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</si>
  <si>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</si>
  <si>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</si>
  <si>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</si>
  <si>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</si>
  <si>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</si>
  <si>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</si>
  <si>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</si>
  <si>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</si>
  <si>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</si>
  <si>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</si>
  <si>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</si>
  <si>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</si>
  <si>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</si>
  <si>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</si>
  <si>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</si>
  <si>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</si>
  <si>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</si>
  <si>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</si>
  <si>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</si>
  <si>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</si>
  <si>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</si>
  <si>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</si>
  <si>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</si>
  <si>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</si>
  <si>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</si>
  <si>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</si>
  <si>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</si>
  <si>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</si>
  <si>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</si>
  <si>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</si>
  <si>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</si>
  <si>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</si>
  <si>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</si>
  <si>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</si>
  <si>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</si>
  <si>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</si>
  <si>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</si>
  <si>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</si>
  <si>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</si>
  <si>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</si>
  <si>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</si>
  <si>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</si>
  <si>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</si>
  <si>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</si>
  <si>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</si>
  <si>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</si>
  <si>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</si>
  <si>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</si>
  <si>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</si>
  <si>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</si>
  <si>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</si>
  <si>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</si>
  <si>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</si>
  <si>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</si>
  <si>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</si>
  <si>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</si>
  <si>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</si>
  <si>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</si>
  <si>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</si>
  <si>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</si>
  <si>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</si>
  <si>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</si>
  <si>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</si>
  <si>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</si>
  <si>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</si>
  <si>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</si>
  <si>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</si>
  <si>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</si>
  <si>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</si>
  <si>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</si>
  <si>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</si>
  <si>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</si>
  <si>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</si>
  <si>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</si>
  <si>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</si>
  <si>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</si>
  <si>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</si>
  <si>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</si>
  <si>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</si>
  <si>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</si>
  <si>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</si>
  <si>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</si>
  <si>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</si>
  <si>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</si>
  <si>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</si>
  <si>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</si>
  <si>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</si>
  <si>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</si>
  <si>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</si>
  <si>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</si>
  <si>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</si>
  <si>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</si>
  <si>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</si>
  <si>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</si>
  <si>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</si>
  <si>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</si>
  <si>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</si>
  <si>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</si>
  <si>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</si>
  <si>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</si>
  <si>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</si>
  <si>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</si>
  <si>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</si>
  <si>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</si>
  <si>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</si>
  <si>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</si>
  <si>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</si>
  <si>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</si>
  <si>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</si>
  <si>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</si>
  <si>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</si>
  <si>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</si>
  <si>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</si>
  <si>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</si>
  <si>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</si>
  <si>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</si>
  <si>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</si>
  <si>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</si>
  <si>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</si>
  <si>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</si>
  <si>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</si>
  <si>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</si>
  <si>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</si>
  <si>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</si>
  <si>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</si>
  <si>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</si>
  <si>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</si>
  <si>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</si>
  <si>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</si>
  <si>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</si>
  <si>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</si>
  <si>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</si>
  <si>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</si>
  <si>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</si>
  <si>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</si>
  <si>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</si>
  <si>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</si>
  <si>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</si>
  <si>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</si>
  <si>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</si>
  <si>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</si>
  <si>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</si>
  <si>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</si>
  <si>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</si>
  <si>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</si>
  <si>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</si>
  <si>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</si>
  <si>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</si>
  <si>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</si>
  <si>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</si>
  <si>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</si>
  <si>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</si>
  <si>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</si>
  <si>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</si>
  <si>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</si>
  <si>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</si>
  <si>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</si>
  <si>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</si>
  <si>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</si>
  <si>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</si>
  <si>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</si>
  <si>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</si>
  <si>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</si>
  <si>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</si>
  <si>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</si>
  <si>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</si>
  <si>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</si>
  <si>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</si>
  <si>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</si>
  <si>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</si>
  <si>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</si>
  <si>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</si>
  <si>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</si>
  <si>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</si>
  <si>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</si>
  <si>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</si>
  <si>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</si>
  <si>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</si>
  <si>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</si>
  <si>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</si>
  <si>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</si>
  <si>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</si>
  <si>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</si>
  <si>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</si>
  <si>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</si>
  <si>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</si>
  <si>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</si>
  <si>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</si>
  <si>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</si>
  <si>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</si>
  <si>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</si>
  <si>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</si>
  <si>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</si>
  <si>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</si>
  <si>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</si>
  <si>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</si>
  <si>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</si>
  <si>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</si>
  <si>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</si>
  <si>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</si>
  <si>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</si>
  <si>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</si>
  <si>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</si>
  <si>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</si>
  <si>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</si>
  <si>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</si>
  <si>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</si>
  <si>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</si>
  <si>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</si>
  <si>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</si>
  <si>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</si>
  <si>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</si>
  <si>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</si>
  <si>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</si>
  <si>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</si>
  <si>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</si>
  <si>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</si>
  <si>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</si>
  <si>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</si>
  <si>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</si>
  <si>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</si>
  <si>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</si>
  <si>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</si>
  <si>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</si>
  <si>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</si>
  <si>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</si>
  <si>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</si>
  <si>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</si>
  <si>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</si>
  <si>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</si>
  <si>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</si>
  <si>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</si>
  <si>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</si>
  <si>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</si>
  <si>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</si>
  <si>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</si>
  <si>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</si>
  <si>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</si>
  <si>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</si>
  <si>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</si>
  <si>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</si>
  <si>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</si>
  <si>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</si>
  <si>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</si>
  <si>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</si>
  <si>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</si>
  <si>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</si>
  <si>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</si>
  <si>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</si>
  <si>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</si>
  <si>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</si>
  <si>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</si>
  <si>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</si>
  <si>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</si>
  <si>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</si>
  <si>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</si>
  <si>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</si>
  <si>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</si>
  <si>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</si>
  <si>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</si>
  <si>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</si>
  <si>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</si>
  <si>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</si>
  <si>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</si>
  <si>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</si>
  <si>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</si>
  <si>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</si>
  <si>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</si>
  <si>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</si>
  <si>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</si>
  <si>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</si>
  <si>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</si>
  <si>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</si>
  <si>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</si>
  <si>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</si>
  <si>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</si>
  <si>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</si>
  <si>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</si>
  <si>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</si>
  <si>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</si>
  <si>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</si>
  <si>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</si>
  <si>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</si>
  <si>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</si>
  <si>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</si>
  <si>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</si>
  <si>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</si>
  <si>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</si>
  <si>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</si>
  <si>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</si>
  <si>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</si>
  <si>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</si>
  <si>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</si>
  <si>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</si>
  <si>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</si>
  <si>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</si>
  <si>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</si>
  <si>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</si>
  <si>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</si>
  <si>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</si>
  <si>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</si>
  <si>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</si>
  <si>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</si>
  <si>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</si>
  <si>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</si>
  <si>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</si>
  <si>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</si>
  <si>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</si>
  <si>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</si>
  <si>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</si>
  <si>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</si>
  <si>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</si>
  <si>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</si>
  <si>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</si>
  <si>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</si>
  <si>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</si>
  <si>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</si>
  <si>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</si>
  <si>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</si>
  <si>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</si>
  <si>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</si>
  <si>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</si>
  <si>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</si>
  <si>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</si>
  <si>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</si>
  <si>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</si>
  <si>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</si>
  <si>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</si>
  <si>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</si>
  <si>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</si>
  <si>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</si>
  <si>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</si>
  <si>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</si>
  <si>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</si>
  <si>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</si>
  <si>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</si>
  <si>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</si>
  <si>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</si>
  <si>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</si>
  <si>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</si>
  <si>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</si>
  <si>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</si>
  <si>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</si>
  <si>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</si>
  <si>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</si>
  <si>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</si>
  <si>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</si>
  <si>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</si>
  <si>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</si>
  <si>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</si>
  <si>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</si>
  <si>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</si>
  <si>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</si>
  <si>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</si>
  <si>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</si>
  <si>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</si>
  <si>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</si>
  <si>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</si>
  <si>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</si>
  <si>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</si>
  <si>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</si>
  <si>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</si>
  <si>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</si>
  <si>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</si>
  <si>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</si>
  <si>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</si>
  <si>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</si>
  <si>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</si>
  <si>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</si>
  <si>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</si>
  <si>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</si>
  <si>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</si>
  <si>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</si>
  <si>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</si>
  <si>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</si>
  <si>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</si>
  <si>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</si>
  <si>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</si>
  <si>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</si>
  <si>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</si>
  <si>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</si>
  <si>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</si>
  <si>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</si>
  <si>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</si>
  <si>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</si>
  <si>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</si>
  <si>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</si>
  <si>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</si>
  <si>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</si>
  <si>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</si>
  <si>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</si>
  <si>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</si>
  <si>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</si>
  <si>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</si>
  <si>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</si>
  <si>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</si>
  <si>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</si>
  <si>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</si>
  <si>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</si>
  <si>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</si>
  <si>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</si>
  <si>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</si>
  <si>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</si>
  <si>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</si>
  <si>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</si>
  <si>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</si>
  <si>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</si>
  <si>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</si>
  <si>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</si>
  <si>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</si>
  <si>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</si>
  <si>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</si>
  <si>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</si>
  <si>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</si>
  <si>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</si>
  <si>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</si>
  <si>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</si>
  <si>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</si>
  <si>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</si>
  <si>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</si>
  <si>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</si>
  <si>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</si>
  <si>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</si>
  <si>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</si>
  <si>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</si>
  <si>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</si>
  <si>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</si>
  <si>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</si>
  <si>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</si>
  <si>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</si>
  <si>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</si>
  <si>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</si>
  <si>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</si>
  <si>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</si>
  <si>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</si>
  <si>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</si>
  <si>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</si>
  <si>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</si>
  <si>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</si>
  <si>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</si>
  <si>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</si>
  <si>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</si>
  <si>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</si>
  <si>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</si>
  <si>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</si>
  <si>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</si>
  <si>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</si>
  <si>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</si>
  <si>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</si>
  <si>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</si>
  <si>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</si>
  <si>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</si>
  <si>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</si>
  <si>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</si>
  <si>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</si>
  <si>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</si>
  <si>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</si>
  <si>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</si>
  <si>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</si>
  <si>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</si>
  <si>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</si>
  <si>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</si>
  <si>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</si>
  <si>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</si>
  <si>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</si>
  <si>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</si>
  <si>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</si>
  <si>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</si>
  <si>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</si>
  <si>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</si>
  <si>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</si>
  <si>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</si>
  <si>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</si>
  <si>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</si>
  <si>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</si>
  <si>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</si>
  <si>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</si>
  <si>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</si>
  <si>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</si>
  <si>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</si>
  <si>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</si>
  <si>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</si>
  <si>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</si>
  <si>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</si>
  <si>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</si>
  <si>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</si>
  <si>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</si>
  <si>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</si>
  <si>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</si>
  <si>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</si>
  <si>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</si>
  <si>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</si>
  <si>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</si>
  <si>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</si>
  <si>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</si>
  <si>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</si>
  <si>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</si>
  <si>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</si>
  <si>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</si>
  <si>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</si>
  <si>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</si>
  <si>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</si>
  <si>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</si>
  <si>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</si>
  <si>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</si>
  <si>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</si>
  <si>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</si>
  <si>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</si>
  <si>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</si>
  <si>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</si>
  <si>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</si>
  <si>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</si>
  <si>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</si>
  <si>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</si>
  <si>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</si>
  <si>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</si>
  <si>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</si>
  <si>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</si>
  <si>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</si>
  <si>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</si>
  <si>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</si>
  <si>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</si>
  <si>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</si>
  <si>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</si>
  <si>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</si>
  <si>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</si>
  <si>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</si>
  <si>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</si>
  <si>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</si>
  <si>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</si>
  <si>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</si>
  <si>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</si>
  <si>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</si>
  <si>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</si>
  <si>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</si>
  <si>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</si>
  <si>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</si>
  <si>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</si>
  <si>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</si>
  <si>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</si>
  <si>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</si>
  <si>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</si>
  <si>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</si>
  <si>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</si>
  <si>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</si>
  <si>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</si>
  <si>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</si>
  <si>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</si>
  <si>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</si>
  <si>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</si>
  <si>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</si>
  <si>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</si>
  <si>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</si>
  <si>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</si>
  <si>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</si>
  <si>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</si>
  <si>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</si>
  <si>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</si>
  <si>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</si>
  <si>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</si>
  <si>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</si>
  <si>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</si>
  <si>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</si>
  <si>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</si>
  <si>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</si>
  <si>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</si>
  <si>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</si>
  <si>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</si>
  <si>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</si>
  <si>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</si>
  <si>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</si>
  <si>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</si>
  <si>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</si>
  <si>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</si>
  <si>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</si>
  <si>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</si>
  <si>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</si>
  <si>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</si>
  <si>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</si>
  <si>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</si>
  <si>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</si>
  <si>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</si>
  <si>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</si>
  <si>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</si>
  <si>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</si>
  <si>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</si>
  <si>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</si>
  <si>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</si>
  <si>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</si>
  <si>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</si>
  <si>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</si>
  <si>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</si>
  <si>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</si>
  <si>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</si>
  <si>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</si>
  <si>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</si>
  <si>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</si>
  <si>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</si>
  <si>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</si>
  <si>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</si>
  <si>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</si>
  <si>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</si>
  <si>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</si>
  <si>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</si>
  <si>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</si>
  <si>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</si>
  <si>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</si>
  <si>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</si>
  <si>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</si>
  <si>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</si>
  <si>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</si>
  <si>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</si>
  <si>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</si>
  <si>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</si>
  <si>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</si>
  <si>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</si>
  <si>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</si>
  <si>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</si>
  <si>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</si>
  <si>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</si>
  <si>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</si>
  <si>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</si>
  <si>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</si>
  <si>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</si>
  <si>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</si>
  <si>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</si>
  <si>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</si>
  <si>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</si>
  <si>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</si>
  <si>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</si>
  <si>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</si>
  <si>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</si>
  <si>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</si>
  <si>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</si>
  <si>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</si>
  <si>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</si>
  <si>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</si>
  <si>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</si>
  <si>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</si>
  <si>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</si>
  <si>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</si>
  <si>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</si>
  <si>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</si>
  <si>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</si>
  <si>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</si>
  <si>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</si>
  <si>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</si>
  <si>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</si>
  <si>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</si>
  <si>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</si>
  <si>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</si>
  <si>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</si>
  <si>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</si>
  <si>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</si>
  <si>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</si>
  <si>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</si>
  <si>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</si>
  <si>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</si>
  <si>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</si>
  <si>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</si>
  <si>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</si>
  <si>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</si>
  <si>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</si>
  <si>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</si>
  <si>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</si>
  <si>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</si>
  <si>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</si>
  <si>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</si>
  <si>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</si>
  <si>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</si>
  <si>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</si>
  <si>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</si>
  <si>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</si>
  <si>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</si>
  <si>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</si>
  <si>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</si>
  <si>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</si>
  <si>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</si>
  <si>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</si>
  <si>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</si>
  <si>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</si>
  <si>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</si>
  <si>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</si>
  <si>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</si>
  <si>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</si>
  <si>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</si>
  <si>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</si>
  <si>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</si>
  <si>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</si>
  <si>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</si>
  <si>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</si>
  <si>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</si>
  <si>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</si>
  <si>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</si>
  <si>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</si>
  <si>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</si>
  <si>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</si>
  <si>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</si>
  <si>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</si>
  <si>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</si>
  <si>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</si>
  <si>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</si>
  <si>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</si>
  <si>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</si>
  <si>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</si>
  <si>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</si>
  <si>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</si>
  <si>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</si>
  <si>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</si>
  <si>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</si>
  <si>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</si>
  <si>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</si>
  <si>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</si>
  <si>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</si>
  <si>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</si>
  <si>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</si>
  <si>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</si>
  <si>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</si>
  <si>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</si>
  <si>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</si>
  <si>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</si>
  <si>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</si>
  <si>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</si>
  <si>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</si>
  <si>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</si>
  <si>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</si>
  <si>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</si>
  <si>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</si>
  <si>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</si>
  <si>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</si>
  <si>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</si>
  <si>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</si>
  <si>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</si>
  <si>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</si>
  <si>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</si>
  <si>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</si>
  <si>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</si>
  <si>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</si>
  <si>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</si>
  <si>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</si>
  <si>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</si>
  <si>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</si>
  <si>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</si>
  <si>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</si>
  <si>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</si>
  <si>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</si>
  <si>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</si>
  <si>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</si>
  <si>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</si>
  <si>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</si>
  <si>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</si>
  <si>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</si>
  <si>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</si>
  <si>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</si>
  <si>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</si>
  <si>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</si>
  <si>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</si>
  <si>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</si>
  <si>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</si>
  <si>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</si>
  <si>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</si>
  <si>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</si>
  <si>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</si>
  <si>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</si>
  <si>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</si>
  <si>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</si>
  <si>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</si>
  <si>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</si>
  <si>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</si>
  <si>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</si>
  <si>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</si>
  <si>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</si>
  <si>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</si>
  <si>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</si>
  <si>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</si>
  <si>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</si>
  <si>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</si>
  <si>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</si>
  <si>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</si>
  <si>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</si>
  <si>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</si>
  <si>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</si>
  <si>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</si>
  <si>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</si>
  <si>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</si>
  <si>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</si>
  <si>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</si>
  <si>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</si>
  <si>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</si>
  <si>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</si>
  <si>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</si>
  <si>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</si>
  <si>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</si>
  <si>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</si>
  <si>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</si>
  <si>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</si>
  <si>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</si>
  <si>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</si>
  <si>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</si>
  <si>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</si>
  <si>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</si>
  <si>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</si>
  <si>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</si>
  <si>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</si>
  <si>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</si>
  <si>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</si>
  <si>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</si>
  <si>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</si>
  <si>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</si>
  <si>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</si>
  <si>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</si>
  <si>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</si>
  <si>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</si>
  <si>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</si>
  <si>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</si>
  <si>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</si>
  <si>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</si>
  <si>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</si>
  <si>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</si>
  <si>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</si>
  <si>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</si>
  <si>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</si>
  <si>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</si>
  <si>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</si>
  <si>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</si>
  <si>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</si>
  <si>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</si>
  <si>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</si>
  <si>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</si>
  <si>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</si>
  <si>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</si>
  <si>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</si>
  <si>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</si>
  <si>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</si>
  <si>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</si>
  <si>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</si>
  <si>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</si>
  <si>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</si>
  <si>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</si>
  <si>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</si>
  <si>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</si>
  <si>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</si>
  <si>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</si>
  <si>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</si>
  <si>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</si>
  <si>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</si>
  <si>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</si>
  <si>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</si>
  <si>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</si>
  <si>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</si>
  <si>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</si>
  <si>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</si>
  <si>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</si>
  <si>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</si>
  <si>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</si>
  <si>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</si>
  <si>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</si>
  <si>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</si>
  <si>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</si>
  <si>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</si>
  <si>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</si>
  <si>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</si>
  <si>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</si>
  <si>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</si>
  <si>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</si>
  <si>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</si>
  <si>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</si>
  <si>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</si>
  <si>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</si>
  <si>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</si>
  <si>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</si>
  <si>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</si>
  <si>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</si>
  <si>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</si>
  <si>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</si>
  <si>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</si>
  <si>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</si>
  <si>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</si>
  <si>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</si>
  <si>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</si>
  <si>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</si>
  <si>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</si>
  <si>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</si>
  <si>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</si>
  <si>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</si>
  <si>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</si>
  <si>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</si>
  <si>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</si>
  <si>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</si>
  <si>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</si>
  <si>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</si>
  <si>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</si>
  <si>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</si>
  <si>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</si>
  <si>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</si>
  <si>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</si>
  <si>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</si>
  <si>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</si>
  <si>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</si>
  <si>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</si>
  <si>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</si>
  <si>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</si>
  <si>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</si>
  <si>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</si>
  <si>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</si>
  <si>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</si>
  <si>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</si>
  <si>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</si>
  <si>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</si>
  <si>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</si>
  <si>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</si>
  <si>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</si>
  <si>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</si>
  <si>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</si>
  <si>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</si>
  <si>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</si>
  <si>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</si>
  <si>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</si>
  <si>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</si>
  <si>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</si>
  <si>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</si>
  <si>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</si>
  <si>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</si>
  <si>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</si>
  <si>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</si>
  <si>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</si>
  <si>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</si>
  <si>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</si>
  <si>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</si>
  <si>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</si>
  <si>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</si>
  <si>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</si>
  <si>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</si>
  <si>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</si>
  <si>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</si>
  <si>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</si>
  <si>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</si>
  <si>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</si>
  <si>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</si>
  <si>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</si>
  <si>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</si>
  <si>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</si>
  <si>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</si>
  <si>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</si>
  <si>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</si>
  <si>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</si>
  <si>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</si>
  <si>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</si>
  <si>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</si>
  <si>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</si>
  <si>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</si>
  <si>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</si>
  <si>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</si>
  <si>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</si>
  <si>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</si>
  <si>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</si>
  <si>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</si>
  <si>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</si>
  <si>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</si>
  <si>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</si>
  <si>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</si>
  <si>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</si>
  <si>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</si>
  <si>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</si>
  <si>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</si>
  <si>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</si>
  <si>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</si>
  <si>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</si>
  <si>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</si>
  <si>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</si>
  <si>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</si>
  <si>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</si>
  <si>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</si>
  <si>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</si>
  <si>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</si>
  <si>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</si>
  <si>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</si>
  <si>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</si>
  <si>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</si>
  <si>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</si>
  <si>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</si>
  <si>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</si>
  <si>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</si>
  <si>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</si>
  <si>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</si>
  <si>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</si>
  <si>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</si>
  <si>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</si>
  <si>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</si>
  <si>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</si>
  <si>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</si>
  <si>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</si>
  <si>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</si>
  <si>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</si>
  <si>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</si>
  <si>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</si>
  <si>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</si>
  <si>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</si>
  <si>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</si>
  <si>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</si>
  <si>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</si>
  <si>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</si>
  <si>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</si>
  <si>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</si>
  <si>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</si>
  <si>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</si>
  <si>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</si>
  <si>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</si>
  <si>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</si>
  <si>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</si>
  <si>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</si>
  <si>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</si>
  <si>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</si>
  <si>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</si>
  <si>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</si>
  <si>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</si>
  <si>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</si>
  <si>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</si>
  <si>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</si>
  <si>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</si>
  <si>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</si>
  <si>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</si>
  <si>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</si>
  <si>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</si>
  <si>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</si>
  <si>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</si>
  <si>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</si>
  <si>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</si>
  <si>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</si>
  <si>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</si>
  <si>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</si>
  <si>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</si>
  <si>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</si>
  <si>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</si>
  <si>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</si>
  <si>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</si>
  <si>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</si>
  <si>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</si>
  <si>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</si>
  <si>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</si>
  <si>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</si>
  <si>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</si>
  <si>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</si>
  <si>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</si>
  <si>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</si>
  <si>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</si>
  <si>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</si>
  <si>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</si>
  <si>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</si>
  <si>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</si>
  <si>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</si>
  <si>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</si>
  <si>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</si>
  <si>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</si>
  <si>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</si>
  <si>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</si>
  <si>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</si>
  <si>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</si>
  <si>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</si>
  <si>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</si>
  <si>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</si>
  <si>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</si>
  <si>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</si>
  <si>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</si>
  <si>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</si>
  <si>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</si>
  <si>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</si>
  <si>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</si>
  <si>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</si>
  <si>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</si>
  <si>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</si>
  <si>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</si>
  <si>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</si>
  <si>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</si>
  <si>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</si>
  <si>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</si>
  <si>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</si>
  <si>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</si>
  <si>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</si>
  <si>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</si>
  <si>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</si>
  <si>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</si>
  <si>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</si>
  <si>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</si>
  <si>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</si>
  <si>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</si>
  <si>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</si>
  <si>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</si>
  <si>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</si>
  <si>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</si>
  <si>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</si>
  <si>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</si>
  <si>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</si>
  <si>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</si>
  <si>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</si>
  <si>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</si>
  <si>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</si>
  <si>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</si>
  <si>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</si>
  <si>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</si>
  <si>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</si>
  <si>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</si>
  <si>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</si>
  <si>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</si>
  <si>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</si>
  <si>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</si>
  <si>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</si>
  <si>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</si>
  <si>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</si>
  <si>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</si>
  <si>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</si>
  <si>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</si>
  <si>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</si>
  <si>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</si>
  <si>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</si>
  <si>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</si>
  <si>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</si>
  <si>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</si>
  <si>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</si>
  <si>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</si>
  <si>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</si>
  <si>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</si>
  <si>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</si>
  <si>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</si>
  <si>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</si>
  <si>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</si>
  <si>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</si>
  <si>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</si>
  <si>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</si>
  <si>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</si>
  <si>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</si>
  <si>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</si>
  <si>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</si>
  <si>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</si>
  <si>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</si>
  <si>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</si>
  <si>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</si>
  <si>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</si>
  <si>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</si>
  <si>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</si>
  <si>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</si>
  <si>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</si>
  <si>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</si>
  <si>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</si>
  <si>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</si>
  <si>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</si>
  <si>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</si>
  <si>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</si>
  <si>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</si>
  <si>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</si>
  <si>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</si>
  <si>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</si>
  <si>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</si>
  <si>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</si>
  <si>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</si>
  <si>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</si>
  <si>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</si>
  <si>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</si>
  <si>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</si>
  <si>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</si>
  <si>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</si>
  <si>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</si>
  <si>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</si>
  <si>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</si>
  <si>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</si>
  <si>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</si>
  <si>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</si>
  <si>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</si>
  <si>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</si>
  <si>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</si>
  <si>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</si>
  <si>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</si>
  <si>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</si>
  <si>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</si>
  <si>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</si>
  <si>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</si>
  <si>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</si>
  <si>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</si>
  <si>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</si>
  <si>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</si>
  <si>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</si>
  <si>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</si>
  <si>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</si>
  <si>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</si>
  <si>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</si>
  <si>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</si>
  <si>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</si>
  <si>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</si>
  <si>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</si>
  <si>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</si>
  <si>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</si>
  <si>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</si>
  <si>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</si>
  <si>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</si>
  <si>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</si>
  <si>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</si>
  <si>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</si>
  <si>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</si>
  <si>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</si>
  <si>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</si>
  <si>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</si>
  <si>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</si>
  <si>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</si>
  <si>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</si>
  <si>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</si>
  <si>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</si>
  <si>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</si>
  <si>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</si>
  <si>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</si>
  <si>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</si>
  <si>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</si>
  <si>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</si>
  <si>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</si>
  <si>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</si>
  <si>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</si>
  <si>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</si>
  <si>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</si>
  <si>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</si>
  <si>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</si>
  <si>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</si>
  <si>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</si>
  <si>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</si>
  <si>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</si>
  <si>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</si>
  <si>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</si>
  <si>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</si>
  <si>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</si>
  <si>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</si>
  <si>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</si>
  <si>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</si>
  <si>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</si>
  <si>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</si>
  <si>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</si>
  <si>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</si>
  <si>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</si>
  <si>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</si>
  <si>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</si>
  <si>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</si>
  <si>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</si>
  <si>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</si>
  <si>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</si>
  <si>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</si>
  <si>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</si>
  <si>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</si>
  <si>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</si>
  <si>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</si>
  <si>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</si>
  <si>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</si>
  <si>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</si>
  <si>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</si>
  <si>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</si>
  <si>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</si>
  <si>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</si>
  <si>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</si>
  <si>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</si>
  <si>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</si>
  <si>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</si>
  <si>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</si>
  <si>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</si>
  <si>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</si>
  <si>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</si>
  <si>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</si>
  <si>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</si>
  <si>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</si>
  <si>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</si>
  <si>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</si>
  <si>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</si>
  <si>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</si>
  <si>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</si>
  <si>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</si>
  <si>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</si>
  <si>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</si>
  <si>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</si>
  <si>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</si>
  <si>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</si>
  <si>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</si>
  <si>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</si>
  <si>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</si>
  <si>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</si>
  <si>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</si>
  <si>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</si>
  <si>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</si>
  <si>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</si>
  <si>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</si>
  <si>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</si>
  <si>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</si>
  <si>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</si>
  <si>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</si>
  <si>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</si>
  <si>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</si>
  <si>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</si>
  <si>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</si>
  <si>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</si>
  <si>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</si>
  <si>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</si>
  <si>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</si>
  <si>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</si>
  <si>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</si>
  <si>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</si>
  <si>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</si>
  <si>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</si>
  <si>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</si>
  <si>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</si>
  <si>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</si>
  <si>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</si>
  <si>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</si>
  <si>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</si>
  <si>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</si>
  <si>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</si>
  <si>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</si>
  <si>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</si>
  <si>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</si>
  <si>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</si>
  <si>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</si>
  <si>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</si>
  <si>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</si>
  <si>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</si>
  <si>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</si>
  <si>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</si>
  <si>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</si>
  <si>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</si>
  <si>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</si>
  <si>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</si>
  <si>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</si>
  <si>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</si>
  <si>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</si>
  <si>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</si>
  <si>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</si>
  <si>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</si>
  <si>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</si>
  <si>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</si>
  <si>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</si>
  <si>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</si>
  <si>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</si>
  <si>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</si>
  <si>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</si>
  <si>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</si>
  <si>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</si>
  <si>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</si>
  <si>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</si>
  <si>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</si>
  <si>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</si>
  <si>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</si>
  <si>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</si>
  <si>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</si>
  <si>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</si>
  <si>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</si>
  <si>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</si>
  <si>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</si>
  <si>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</si>
  <si>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</si>
  <si>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</si>
  <si>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</si>
  <si>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</si>
  <si>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</si>
  <si>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</si>
  <si>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</si>
  <si>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</si>
  <si>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</si>
  <si>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</si>
  <si>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</si>
  <si>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</si>
  <si>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</si>
  <si>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</si>
  <si>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</si>
  <si>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</si>
  <si>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</si>
  <si>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</si>
  <si>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</si>
  <si>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</si>
  <si>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</si>
  <si>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</si>
  <si>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</si>
  <si>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</si>
  <si>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</si>
  <si>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</si>
  <si>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</si>
  <si>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</si>
  <si>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</si>
  <si>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</si>
  <si>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</si>
  <si>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</si>
  <si>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</si>
  <si>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</si>
  <si>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</si>
  <si>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</si>
  <si>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</si>
  <si>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</si>
  <si>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</si>
  <si>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</si>
  <si>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</si>
  <si>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</si>
  <si>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</si>
  <si>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</si>
  <si>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</si>
  <si>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</si>
  <si>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</si>
  <si>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</si>
  <si>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</si>
  <si>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</si>
  <si>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</si>
  <si>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</si>
  <si>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</si>
  <si>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</si>
  <si>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</si>
  <si>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</si>
  <si>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</si>
  <si>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</si>
  <si>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</si>
  <si>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</si>
  <si>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</si>
  <si>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</si>
  <si>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</si>
  <si>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</si>
  <si>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</si>
  <si>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</si>
  <si>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</si>
  <si>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</si>
  <si>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</si>
  <si>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</si>
  <si>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</si>
  <si>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</si>
  <si>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</si>
  <si>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</si>
  <si>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</si>
  <si>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</si>
  <si>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</si>
  <si>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</si>
  <si>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</si>
  <si>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</si>
  <si>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</si>
  <si>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</si>
  <si>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</si>
  <si>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</si>
  <si>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</si>
  <si>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</si>
  <si>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</si>
  <si>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</si>
  <si>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</si>
  <si>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</si>
  <si>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</si>
  <si>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</si>
  <si>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</si>
  <si>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</si>
  <si>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</si>
  <si>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</si>
  <si>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</si>
  <si>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</si>
  <si>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</si>
  <si>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</si>
  <si>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</si>
  <si>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</si>
  <si>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</si>
  <si>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</si>
  <si>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</si>
  <si>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</si>
  <si>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</si>
  <si>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</si>
  <si>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</si>
  <si>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</si>
  <si>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</si>
  <si>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</si>
  <si>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</si>
  <si>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</si>
  <si>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</si>
  <si>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</si>
  <si>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</si>
  <si>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</si>
  <si>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</si>
  <si>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</si>
  <si>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</si>
  <si>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</si>
  <si>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</si>
  <si>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</si>
  <si>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</si>
  <si>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</si>
  <si>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</si>
  <si>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</si>
  <si>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</si>
  <si>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</si>
  <si>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</si>
  <si>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</si>
  <si>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</si>
  <si>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</si>
  <si>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</si>
  <si>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</si>
  <si>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</si>
  <si>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</si>
  <si>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</si>
  <si>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</si>
  <si>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</si>
  <si>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</si>
  <si>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</si>
  <si>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</si>
  <si>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</si>
  <si>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</si>
  <si>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</si>
  <si>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</si>
  <si>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</si>
  <si>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</si>
  <si>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</si>
  <si>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</si>
  <si>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</si>
  <si>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</si>
  <si>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</si>
  <si>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</si>
  <si>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</si>
  <si>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</si>
  <si>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</si>
  <si>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</si>
  <si>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</si>
  <si>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</si>
  <si>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</si>
  <si>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</si>
  <si>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</si>
  <si>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</si>
  <si>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</si>
  <si>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</si>
  <si>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</si>
  <si>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</si>
  <si>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</si>
  <si>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</si>
  <si>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</si>
  <si>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</si>
  <si>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</si>
  <si>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</si>
  <si>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</si>
  <si>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</si>
  <si>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</si>
  <si>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</si>
  <si>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</si>
  <si>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</si>
  <si>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</si>
  <si>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</si>
  <si>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</si>
  <si>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</si>
  <si>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</si>
  <si>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</si>
  <si>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</si>
  <si>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</si>
  <si>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</si>
  <si>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</si>
  <si>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</si>
  <si>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</si>
  <si>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</si>
  <si>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</si>
  <si>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</si>
  <si>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</si>
  <si>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</si>
  <si>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</si>
  <si>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</si>
  <si>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</si>
  <si>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</si>
  <si>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</si>
  <si>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</si>
  <si>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</si>
  <si>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</si>
  <si>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</si>
  <si>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</si>
  <si>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</si>
  <si>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</si>
  <si>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</si>
  <si>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</si>
  <si>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</si>
  <si>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</si>
  <si>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</si>
  <si>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</si>
  <si>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</si>
  <si>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</si>
  <si>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</si>
  <si>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</si>
  <si>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</si>
  <si>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</si>
  <si>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</si>
  <si>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</si>
  <si>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</si>
  <si>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</si>
  <si>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</si>
  <si>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</si>
  <si>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</si>
  <si>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</si>
  <si>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</si>
  <si>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</si>
  <si>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</si>
  <si>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</si>
  <si>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</si>
  <si>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</si>
  <si>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</si>
  <si>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</si>
  <si>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</si>
  <si>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</si>
  <si>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</si>
  <si>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</si>
  <si>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</si>
  <si>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</si>
  <si>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</si>
  <si>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</si>
  <si>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</si>
  <si>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</si>
  <si>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</si>
  <si>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</si>
  <si>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</si>
  <si>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</si>
  <si>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</si>
  <si>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</si>
  <si>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</si>
  <si>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</si>
  <si>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</si>
  <si>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</si>
  <si>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</si>
  <si>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</si>
  <si>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</si>
  <si>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</si>
  <si>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</si>
  <si>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</si>
  <si>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</si>
  <si>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</si>
  <si>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</si>
  <si>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</si>
  <si>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</si>
  <si>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</si>
  <si>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</si>
  <si>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</si>
  <si>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</si>
  <si>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</si>
  <si>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</si>
  <si>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</si>
  <si>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</si>
  <si>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</si>
  <si>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</si>
  <si>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</si>
  <si>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</si>
  <si>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</si>
  <si>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</si>
  <si>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</si>
  <si>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</si>
  <si>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</si>
  <si>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</si>
  <si>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</si>
  <si>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</si>
  <si>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</si>
  <si>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</si>
  <si>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</si>
  <si>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</si>
  <si>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</si>
  <si>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</si>
  <si>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</si>
  <si>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</si>
  <si>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</si>
  <si>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</si>
  <si>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</si>
  <si>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</si>
  <si>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</si>
  <si>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</si>
  <si>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</si>
  <si>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</si>
  <si>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</si>
  <si>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</si>
  <si>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</si>
  <si>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</si>
  <si>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</si>
  <si>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</si>
  <si>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</si>
  <si>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</si>
  <si>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</si>
  <si>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</si>
  <si>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</si>
  <si>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</si>
  <si>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</si>
  <si>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</si>
  <si>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</si>
  <si>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</si>
  <si>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</si>
  <si>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</si>
  <si>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</si>
  <si>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</si>
  <si>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</si>
  <si>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</si>
  <si>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</si>
  <si>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</si>
  <si>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</si>
  <si>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</si>
  <si>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</si>
  <si>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</si>
  <si>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</si>
  <si>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</si>
  <si>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</si>
  <si>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</si>
  <si>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</si>
  <si>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</si>
  <si>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</si>
  <si>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</si>
  <si>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</si>
  <si>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</si>
  <si>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</si>
  <si>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</si>
  <si>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</si>
  <si>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</si>
  <si>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</si>
  <si>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</si>
  <si>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</si>
  <si>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</si>
  <si>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</si>
  <si>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</si>
  <si>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</si>
  <si>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</si>
  <si>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</si>
  <si>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</si>
  <si>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</si>
  <si>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</si>
  <si>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</si>
  <si>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</si>
  <si>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</si>
  <si>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</si>
  <si>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</si>
  <si>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</si>
  <si>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</si>
  <si>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</si>
  <si>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</si>
  <si>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</si>
  <si>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</si>
  <si>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</si>
  <si>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</si>
  <si>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</si>
  <si>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</si>
  <si>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</si>
  <si>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</si>
  <si>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</si>
  <si>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</si>
  <si>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</si>
  <si>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</si>
  <si>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</si>
  <si>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</si>
  <si>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</si>
  <si>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</si>
  <si>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</si>
  <si>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</si>
  <si>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</si>
  <si>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</si>
  <si>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</si>
  <si>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</si>
  <si>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</si>
  <si>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</si>
  <si>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</si>
  <si>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</si>
  <si>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</si>
  <si>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</si>
  <si>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</si>
  <si>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</si>
  <si>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</si>
  <si>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</si>
  <si>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</si>
  <si>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</si>
  <si>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</si>
  <si>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</si>
  <si>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</si>
  <si>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</si>
  <si>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</si>
  <si>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</si>
  <si>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</si>
  <si>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</si>
  <si>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</si>
  <si>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</si>
  <si>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</si>
  <si>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</si>
  <si>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</si>
  <si>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</si>
  <si>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</si>
  <si>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</si>
  <si>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</si>
  <si>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</si>
  <si>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</si>
  <si>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</si>
  <si>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</si>
  <si>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</si>
  <si>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</si>
  <si>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</si>
  <si>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</si>
  <si>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</si>
  <si>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</si>
  <si>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</si>
  <si>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</si>
  <si>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</si>
  <si>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</si>
  <si>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</si>
  <si>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</si>
  <si>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</si>
  <si>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</si>
  <si>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</si>
  <si>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</si>
  <si>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</si>
  <si>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</si>
  <si>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</si>
  <si>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</si>
  <si>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</si>
  <si>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</si>
  <si>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</si>
  <si>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</si>
  <si>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</si>
  <si>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</si>
  <si>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</si>
  <si>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</si>
  <si>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</si>
  <si>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</si>
  <si>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</si>
  <si>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</si>
  <si>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</si>
  <si>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</si>
  <si>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</si>
  <si>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</si>
  <si>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</si>
  <si>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</si>
  <si>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</si>
  <si>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</si>
  <si>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</si>
  <si>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</si>
  <si>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</si>
  <si>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</si>
  <si>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</si>
  <si>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</si>
  <si>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</si>
  <si>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</si>
  <si>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</si>
  <si>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</si>
  <si>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</si>
  <si>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</si>
  <si>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</si>
  <si>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</si>
  <si>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</si>
  <si>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</si>
  <si>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</si>
  <si>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</si>
  <si>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</si>
  <si>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</si>
  <si>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</si>
  <si>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</si>
  <si>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</si>
  <si>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</si>
  <si>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</si>
  <si>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</si>
  <si>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</si>
  <si>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</si>
  <si>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</si>
  <si>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</si>
  <si>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</si>
  <si>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</si>
  <si>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</si>
  <si>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</si>
  <si>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</si>
  <si>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</si>
  <si>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</si>
  <si>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</si>
  <si>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</si>
  <si>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</si>
  <si>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</si>
  <si>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</si>
  <si>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</si>
  <si>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</si>
  <si>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</si>
  <si>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</si>
  <si>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</si>
  <si>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</si>
  <si>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</si>
  <si>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</si>
  <si>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</si>
  <si>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</si>
  <si>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</si>
  <si>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</si>
  <si>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</si>
  <si>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</si>
  <si>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</si>
  <si>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</si>
  <si>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</si>
  <si>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</si>
  <si>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</si>
  <si>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</si>
  <si>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</si>
  <si>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</si>
  <si>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</si>
  <si>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</si>
  <si>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</si>
  <si>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</si>
  <si>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</si>
  <si>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</si>
  <si>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</si>
  <si>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</si>
  <si>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</si>
  <si>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</si>
  <si>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</si>
  <si>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</si>
  <si>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</si>
  <si>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</si>
  <si>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</si>
  <si>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</si>
  <si>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</si>
  <si>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</si>
  <si>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</si>
  <si>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</si>
  <si>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</si>
  <si>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</si>
  <si>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</si>
  <si>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</si>
  <si>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</si>
  <si>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</si>
  <si>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</si>
  <si>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</si>
  <si>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</si>
  <si>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</si>
  <si>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</si>
  <si>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</si>
  <si>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</si>
  <si>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</si>
  <si>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</si>
  <si>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</si>
  <si>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</si>
  <si>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</si>
  <si>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</si>
  <si>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</si>
  <si>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</si>
  <si>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</si>
  <si>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</si>
  <si>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</si>
  <si>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</si>
  <si>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</si>
  <si>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</si>
  <si>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</si>
  <si>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</si>
  <si>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</si>
  <si>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</si>
  <si>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</si>
  <si>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</si>
  <si>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</si>
  <si>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</si>
  <si>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</si>
  <si>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</si>
  <si>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</si>
  <si>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</si>
  <si>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</si>
  <si>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</si>
  <si>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</si>
  <si>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</si>
  <si>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</si>
  <si>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</si>
  <si>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</si>
  <si>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</si>
  <si>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</si>
  <si>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</si>
  <si>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</si>
  <si>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</si>
  <si>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</si>
  <si>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</si>
  <si>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</si>
  <si>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</si>
  <si>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</si>
  <si>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</si>
  <si>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</si>
  <si>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</si>
  <si>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</si>
  <si>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</si>
  <si>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</si>
  <si>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</si>
  <si>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</si>
  <si>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</si>
  <si>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</si>
  <si>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</si>
  <si>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</si>
  <si>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</si>
  <si>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</si>
  <si>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</si>
  <si>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</si>
  <si>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</si>
  <si>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</si>
  <si>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</si>
  <si>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</si>
  <si>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</si>
  <si>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</si>
  <si>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</si>
  <si>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</si>
  <si>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</si>
  <si>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</si>
  <si>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</si>
  <si>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</si>
  <si>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</si>
  <si>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</si>
  <si>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</si>
  <si>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</si>
  <si>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</si>
  <si>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</si>
  <si>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</si>
  <si>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</si>
  <si>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</si>
  <si>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</si>
  <si>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</si>
  <si>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</si>
  <si>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</si>
  <si>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</si>
  <si>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</si>
  <si>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</si>
  <si>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</si>
  <si>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</si>
  <si>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</si>
  <si>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</si>
  <si>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</si>
  <si>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</si>
  <si>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</si>
  <si>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</si>
  <si>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</si>
  <si>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</si>
  <si>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</si>
  <si>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</si>
  <si>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</si>
  <si>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</si>
  <si>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</si>
  <si>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</si>
  <si>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</si>
  <si>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</si>
  <si>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</si>
  <si>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</si>
  <si>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</si>
  <si>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</si>
  <si>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</si>
  <si>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</si>
  <si>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</si>
  <si>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</si>
  <si>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</si>
  <si>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</si>
  <si>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</si>
  <si>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</si>
  <si>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</si>
  <si>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</si>
  <si>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</si>
  <si>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</si>
  <si>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</si>
  <si>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</si>
  <si>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</si>
  <si>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</si>
  <si>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</si>
  <si>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</si>
  <si>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</si>
  <si>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</si>
  <si>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</si>
  <si>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</si>
  <si>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</si>
  <si>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</si>
  <si>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</si>
  <si>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</si>
  <si>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</si>
  <si>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</si>
  <si>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</si>
  <si>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</si>
  <si>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</si>
  <si>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</si>
  <si>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</si>
  <si>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</si>
  <si>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</si>
  <si>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</si>
  <si>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</si>
  <si>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</si>
  <si>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</si>
  <si>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</si>
  <si>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</si>
  <si>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</si>
  <si>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</si>
  <si>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</si>
  <si>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</si>
  <si>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</si>
  <si>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</si>
  <si>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</si>
  <si>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</si>
  <si>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</si>
  <si>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</si>
  <si>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</si>
  <si>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</si>
  <si>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</si>
  <si>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</si>
  <si>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</si>
  <si>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</si>
  <si>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</si>
  <si>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</si>
  <si>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</si>
  <si>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</si>
  <si>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</si>
  <si>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</si>
  <si>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</si>
  <si>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</si>
  <si>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</si>
  <si>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</si>
  <si>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</si>
  <si>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</si>
  <si>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</si>
  <si>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</si>
  <si>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</si>
  <si>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</si>
  <si>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</si>
  <si>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</si>
  <si>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</si>
  <si>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</si>
  <si>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</si>
  <si>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</si>
  <si>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</si>
  <si>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</si>
  <si>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</si>
  <si>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</si>
  <si>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</si>
  <si>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</si>
  <si>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</si>
  <si>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</si>
  <si>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</si>
  <si>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</si>
  <si>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</si>
  <si>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</si>
  <si>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</si>
  <si>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</si>
  <si>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</si>
  <si>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</si>
  <si>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</si>
  <si>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</si>
  <si>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</si>
  <si>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</si>
  <si>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</si>
  <si>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</si>
  <si>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</si>
  <si>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</si>
  <si>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</si>
  <si>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</si>
  <si>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</si>
  <si>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</si>
  <si>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</si>
  <si>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</si>
  <si>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</si>
  <si>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</si>
  <si>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</si>
  <si>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</si>
  <si>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</si>
  <si>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</si>
  <si>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</si>
  <si>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</si>
  <si>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</si>
  <si>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</si>
  <si>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</si>
  <si>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</si>
  <si>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</si>
  <si>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</si>
  <si>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</si>
  <si>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</si>
  <si>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</si>
  <si>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</si>
  <si>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</si>
  <si>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</si>
  <si>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</si>
  <si>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</si>
  <si>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</si>
  <si>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</si>
  <si>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</si>
  <si>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</si>
  <si>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</si>
  <si>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</si>
  <si>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</si>
  <si>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</si>
  <si>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</si>
  <si>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</si>
  <si>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</si>
  <si>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</si>
  <si>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</si>
  <si>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</si>
  <si>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</si>
  <si>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</si>
  <si>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</si>
  <si>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</si>
  <si>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</si>
  <si>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</si>
  <si>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</si>
  <si>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</si>
  <si>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</si>
  <si>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</si>
  <si>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</si>
  <si>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</si>
  <si>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</si>
  <si>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</si>
  <si>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</si>
  <si>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</si>
  <si>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</si>
  <si>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</si>
  <si>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</si>
  <si>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</si>
  <si>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</si>
  <si>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</si>
  <si>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</si>
  <si>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</si>
  <si>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</si>
  <si>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</si>
  <si>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</si>
  <si>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</si>
  <si>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</si>
  <si>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</si>
  <si>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</si>
  <si>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</si>
  <si>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</si>
  <si>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</si>
  <si>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</si>
  <si>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</si>
  <si>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</si>
  <si>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</si>
  <si>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</si>
  <si>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</si>
  <si>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</si>
  <si>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</si>
  <si>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</si>
  <si>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</si>
  <si>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</si>
  <si>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</si>
  <si>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</si>
  <si>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</si>
  <si>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</si>
  <si>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</si>
  <si>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</si>
  <si>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</si>
  <si>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</si>
  <si>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</si>
  <si>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</si>
  <si>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</si>
  <si>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</si>
  <si>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</si>
  <si>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</si>
  <si>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</si>
  <si>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</si>
  <si>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</si>
  <si>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</si>
  <si>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</si>
  <si>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</si>
  <si>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</si>
  <si>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</si>
  <si>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</si>
  <si>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</si>
  <si>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</si>
  <si>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</si>
  <si>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</si>
  <si>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</si>
  <si>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</si>
  <si>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</si>
  <si>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</si>
  <si>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</si>
  <si>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</si>
  <si>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</si>
  <si>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</si>
  <si>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</si>
  <si>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</si>
  <si>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</si>
  <si>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</si>
  <si>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</si>
  <si>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</si>
  <si>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</si>
  <si>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</si>
  <si>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</si>
  <si>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</si>
  <si>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</si>
  <si>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</si>
  <si>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</si>
  <si>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</si>
  <si>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</si>
  <si>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</si>
  <si>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</si>
  <si>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</si>
  <si>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</si>
  <si>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</si>
  <si>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</si>
  <si>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</si>
  <si>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</si>
  <si>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</si>
  <si>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</si>
  <si>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</si>
  <si>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</si>
  <si>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</si>
  <si>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</si>
  <si>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</si>
  <si>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</si>
  <si>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</si>
  <si>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</si>
  <si>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</si>
  <si>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</si>
  <si>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</si>
  <si>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</si>
  <si>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</si>
  <si>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</si>
  <si>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</si>
  <si>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</si>
  <si>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</si>
  <si>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</si>
  <si>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</si>
  <si>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</si>
  <si>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</si>
  <si>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</si>
  <si>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</si>
  <si>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</si>
  <si>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</si>
  <si>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</si>
  <si>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</si>
  <si>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</si>
  <si>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</si>
  <si>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</si>
  <si>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</si>
  <si>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</si>
  <si>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</si>
  <si>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</si>
  <si>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</si>
  <si>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</si>
  <si>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</si>
  <si>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</si>
  <si>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</si>
  <si>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</si>
  <si>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</si>
  <si>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</si>
  <si>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</si>
  <si>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</si>
  <si>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</si>
  <si>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</si>
  <si>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</si>
  <si>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</si>
  <si>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</si>
  <si>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</si>
  <si>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</si>
  <si>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</si>
  <si>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</si>
  <si>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</si>
  <si>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</si>
  <si>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</si>
  <si>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</si>
  <si>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</si>
  <si>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</si>
  <si>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</si>
  <si>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</si>
  <si>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</si>
  <si>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</si>
  <si>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</si>
  <si>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</si>
  <si>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</si>
  <si>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</si>
  <si>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</si>
  <si>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</si>
  <si>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</si>
  <si>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</si>
  <si>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</si>
  <si>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</si>
  <si>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</si>
  <si>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</si>
  <si>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</si>
  <si>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</si>
  <si>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</si>
  <si>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</si>
  <si>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</si>
  <si>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</si>
  <si>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</si>
  <si>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</si>
  <si>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</si>
  <si>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</si>
  <si>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</si>
  <si>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</si>
  <si>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</si>
  <si>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</si>
  <si>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</si>
  <si>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</si>
  <si>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</si>
  <si>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</si>
  <si>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</si>
  <si>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</si>
  <si>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</si>
  <si>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</si>
  <si>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</si>
  <si>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</si>
  <si>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</si>
  <si>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</si>
  <si>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</si>
  <si>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</si>
  <si>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</si>
  <si>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</si>
  <si>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</si>
  <si>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</si>
  <si>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</si>
  <si>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</si>
  <si>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</si>
  <si>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</si>
  <si>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</si>
  <si>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</si>
  <si>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</si>
  <si>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</si>
  <si>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</si>
  <si>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</si>
  <si>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</si>
  <si>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</si>
  <si>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</si>
  <si>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</si>
  <si>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</si>
  <si>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</si>
  <si>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</si>
  <si>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</si>
  <si>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</si>
  <si>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</si>
  <si>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</si>
  <si>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</si>
  <si>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</si>
  <si>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</si>
  <si>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</si>
  <si>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</si>
  <si>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</si>
  <si>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</si>
  <si>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</si>
  <si>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</si>
  <si>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</si>
  <si>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</si>
  <si>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</si>
  <si>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</si>
  <si>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</si>
  <si>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</si>
  <si>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</si>
  <si>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</si>
  <si>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</si>
  <si>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</si>
  <si>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</si>
  <si>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</si>
  <si>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</si>
  <si>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</si>
  <si>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</si>
  <si>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</si>
  <si>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</si>
  <si>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</si>
  <si>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</si>
  <si>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</si>
  <si>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</si>
  <si>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</si>
  <si>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</si>
  <si>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</si>
  <si>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</si>
  <si>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</si>
  <si>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</si>
  <si>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</si>
  <si>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</si>
  <si>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</si>
  <si>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</si>
  <si>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</si>
  <si>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</si>
  <si>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</si>
  <si>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</si>
  <si>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</si>
  <si>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</si>
  <si>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</si>
  <si>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</si>
  <si>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</si>
  <si>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</si>
  <si>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</si>
  <si>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</si>
  <si>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</si>
  <si>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</si>
  <si>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</si>
  <si>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</si>
  <si>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</si>
  <si>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</si>
  <si>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</si>
  <si>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</si>
  <si>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</si>
  <si>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</si>
  <si>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</si>
  <si>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</si>
  <si>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</si>
  <si>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</si>
  <si>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</si>
  <si>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</si>
  <si>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</si>
  <si>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</si>
  <si>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</si>
  <si>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</si>
  <si>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</si>
  <si>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</si>
  <si>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</si>
  <si>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</si>
  <si>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</si>
  <si>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</si>
  <si>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</si>
  <si>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</si>
  <si>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</si>
  <si>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</si>
  <si>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</si>
  <si>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</si>
  <si>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</si>
  <si>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</si>
  <si>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</si>
  <si>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</si>
  <si>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</si>
  <si>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</si>
  <si>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</si>
  <si>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</si>
  <si>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</si>
  <si>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</si>
  <si>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</si>
  <si>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</si>
  <si>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</si>
  <si>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</si>
  <si>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</si>
  <si>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</si>
  <si>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</si>
  <si>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</si>
  <si>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</si>
  <si>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</si>
  <si>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</si>
  <si>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</si>
  <si>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</si>
  <si>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</si>
  <si>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</si>
  <si>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</si>
  <si>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</si>
  <si>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</si>
  <si>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</si>
  <si>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</si>
  <si>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</si>
  <si>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</si>
  <si>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</si>
  <si>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</si>
  <si>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</si>
  <si>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</si>
  <si>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</si>
  <si>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</si>
  <si>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</si>
  <si>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</si>
  <si>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</si>
  <si>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</si>
  <si>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</si>
  <si>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</si>
  <si>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</si>
  <si>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</si>
  <si>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</si>
  <si>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</si>
  <si>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</si>
  <si>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</si>
  <si>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</si>
  <si>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</si>
  <si>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</si>
  <si>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</si>
  <si>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</si>
  <si>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</si>
  <si>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</si>
  <si>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</si>
  <si>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</si>
  <si>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</si>
  <si>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</si>
  <si>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</si>
  <si>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</si>
  <si>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</si>
  <si>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</si>
  <si>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</si>
  <si>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</si>
  <si>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</si>
  <si>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</si>
  <si>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</si>
  <si>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</si>
  <si>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</si>
  <si>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</si>
  <si>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</si>
  <si>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</si>
  <si>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</si>
  <si>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</si>
  <si>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</si>
  <si>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</si>
  <si>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</si>
  <si>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</si>
  <si>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</si>
  <si>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</si>
  <si>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</si>
  <si>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</si>
  <si>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</si>
  <si>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</si>
  <si>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</si>
  <si>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</si>
  <si>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</si>
  <si>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</si>
  <si>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</si>
  <si>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</si>
  <si>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</si>
  <si>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</si>
  <si>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</si>
  <si>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</si>
  <si>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</si>
  <si>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</si>
  <si>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</si>
  <si>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</si>
  <si>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</si>
  <si>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</si>
  <si>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</si>
  <si>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</si>
  <si>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</si>
  <si>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</si>
  <si>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</si>
  <si>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</si>
  <si>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</si>
  <si>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</si>
  <si>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</si>
  <si>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</si>
  <si>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</si>
  <si>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</si>
  <si>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</si>
  <si>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</si>
  <si>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</si>
  <si>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</si>
  <si>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</si>
  <si>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</si>
  <si>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</si>
  <si>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</si>
  <si>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</si>
  <si>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</si>
  <si>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</si>
  <si>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</si>
  <si>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</si>
  <si>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</si>
  <si>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</si>
  <si>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</si>
  <si>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</si>
  <si>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</si>
  <si>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</si>
  <si>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</si>
  <si>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</si>
  <si>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</si>
  <si>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</si>
  <si>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</si>
  <si>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</si>
  <si>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</si>
  <si>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</si>
  <si>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</si>
  <si>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</si>
  <si>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</si>
  <si>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</si>
  <si>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</si>
  <si>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</si>
  <si>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</si>
  <si>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</si>
  <si>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</si>
  <si>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</si>
  <si>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</si>
  <si>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</si>
  <si>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</si>
  <si>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</si>
  <si>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</si>
  <si>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</si>
  <si>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</si>
  <si>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</si>
  <si>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</si>
  <si>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</si>
  <si>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</si>
  <si>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</si>
  <si>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</si>
  <si>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</si>
  <si>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</si>
  <si>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</si>
  <si>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</si>
  <si>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</si>
  <si>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</si>
  <si>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</si>
  <si>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</si>
  <si>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</si>
  <si>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</si>
  <si>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</si>
  <si>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</si>
  <si>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</si>
  <si>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</si>
  <si>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</si>
  <si>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</si>
  <si>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</si>
  <si>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</si>
  <si>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</si>
  <si>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</si>
  <si>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</si>
  <si>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</si>
  <si>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</si>
  <si>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</si>
  <si>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</si>
  <si>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</si>
  <si>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</si>
  <si>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</si>
  <si>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</si>
  <si>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</si>
  <si>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</si>
  <si>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</si>
  <si>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</si>
  <si>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</si>
  <si>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</si>
  <si>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</si>
  <si>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</si>
  <si>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</si>
  <si>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</si>
  <si>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</si>
  <si>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</si>
  <si>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</si>
  <si>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</si>
  <si>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</si>
  <si>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</si>
  <si>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</si>
  <si>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</si>
  <si>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</si>
  <si>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</si>
  <si>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</si>
  <si>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</si>
  <si>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</si>
  <si>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</si>
  <si>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</si>
  <si>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</si>
  <si>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</si>
  <si>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</si>
  <si>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</si>
  <si>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</si>
  <si>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</si>
  <si>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</si>
  <si>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</si>
  <si>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</si>
  <si>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</si>
  <si>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</si>
  <si>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</si>
  <si>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</si>
  <si>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</si>
  <si>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</si>
  <si>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</si>
  <si>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</si>
  <si>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</si>
  <si>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</si>
  <si>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</si>
  <si>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</si>
  <si>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</si>
  <si>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</si>
  <si>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</si>
  <si>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</si>
  <si>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</si>
  <si>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</si>
  <si>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</si>
  <si>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</si>
  <si>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</si>
  <si>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</si>
  <si>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</si>
  <si>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</si>
  <si>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</si>
  <si>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</si>
  <si>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</si>
  <si>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</si>
  <si>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</si>
  <si>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</si>
  <si>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</si>
  <si>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</si>
  <si>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</si>
  <si>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</si>
  <si>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</si>
  <si>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</si>
  <si>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</si>
  <si>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</si>
  <si>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</si>
  <si>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</si>
  <si>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</si>
  <si>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</si>
  <si>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</si>
  <si>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</si>
  <si>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</si>
  <si>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</si>
  <si>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</si>
  <si>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</si>
  <si>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</si>
  <si>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</si>
  <si>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</si>
  <si>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</si>
  <si>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</si>
  <si>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</si>
  <si>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</si>
  <si>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</si>
  <si>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</si>
  <si>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</si>
  <si>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</si>
  <si>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</si>
  <si>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</si>
  <si>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</si>
  <si>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</si>
  <si>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</si>
  <si>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</si>
  <si>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</si>
  <si>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</si>
  <si>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</si>
  <si>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</si>
  <si>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</si>
  <si>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</si>
  <si>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</si>
  <si>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</si>
  <si>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</si>
  <si>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</si>
  <si>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</si>
  <si>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</si>
  <si>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</si>
  <si>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</si>
  <si>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</si>
  <si>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</si>
  <si>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</si>
  <si>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</si>
  <si>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</si>
  <si>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</si>
  <si>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</si>
  <si>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</si>
  <si>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</si>
  <si>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</si>
  <si>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</si>
  <si>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</si>
  <si>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</si>
  <si>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</si>
  <si>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</si>
  <si>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</si>
  <si>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</si>
  <si>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</si>
  <si>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</si>
  <si>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</si>
  <si>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</si>
  <si>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</si>
  <si>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</si>
  <si>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</si>
  <si>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</si>
  <si>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</si>
  <si>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</si>
  <si>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</si>
  <si>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</si>
  <si>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</si>
  <si>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</si>
  <si>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</si>
  <si>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</si>
  <si>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</si>
  <si>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</si>
  <si>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</si>
  <si>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</si>
  <si>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</si>
  <si>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</si>
  <si>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</si>
  <si>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</si>
  <si>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</si>
  <si>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</si>
  <si>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</si>
  <si>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</si>
  <si>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</si>
  <si>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</si>
  <si>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</si>
  <si>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</si>
  <si>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</si>
  <si>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</si>
  <si>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</si>
  <si>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</si>
  <si>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</si>
  <si>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</si>
  <si>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</si>
  <si>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</si>
  <si>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</si>
  <si>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</si>
  <si>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</si>
  <si>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</si>
  <si>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</si>
  <si>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</si>
  <si>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</si>
  <si>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</si>
  <si>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</si>
  <si>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</si>
  <si>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</si>
  <si>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</si>
  <si>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</si>
  <si>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</si>
  <si>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</si>
  <si>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</si>
  <si>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</si>
  <si>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</si>
  <si>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</si>
  <si>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</si>
  <si>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</si>
  <si>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</si>
  <si>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</si>
  <si>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</si>
  <si>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</si>
  <si>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</si>
  <si>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</si>
  <si>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</si>
  <si>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</si>
  <si>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</si>
  <si>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</si>
  <si>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</si>
  <si>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</si>
  <si>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</si>
  <si>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</si>
  <si>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</si>
  <si>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</si>
  <si>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</si>
  <si>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</si>
  <si>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</si>
  <si>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</si>
  <si>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</si>
  <si>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</si>
  <si>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</si>
  <si>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</si>
  <si>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</si>
  <si>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</si>
  <si>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</si>
  <si>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</si>
  <si>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</si>
  <si>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</si>
  <si>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</si>
  <si>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</si>
  <si>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</si>
  <si>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</si>
  <si>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</si>
  <si>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</si>
  <si>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</si>
  <si>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</si>
  <si>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</si>
  <si>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</si>
  <si>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</si>
  <si>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</si>
  <si>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</si>
  <si>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</si>
  <si>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</si>
  <si>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</si>
  <si>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</si>
  <si>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</si>
  <si>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</si>
  <si>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</si>
  <si>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</si>
  <si>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</si>
  <si>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</si>
  <si>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</si>
  <si>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</si>
  <si>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</si>
  <si>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</si>
  <si>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</si>
  <si>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</si>
  <si>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</si>
  <si>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</si>
  <si>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</si>
  <si>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</si>
  <si>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</si>
  <si>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</si>
  <si>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</si>
  <si>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</si>
  <si>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</si>
  <si>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</si>
  <si>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</si>
  <si>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</si>
  <si>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</si>
  <si>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</si>
  <si>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</si>
  <si>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</si>
  <si>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</si>
  <si>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</si>
  <si>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</si>
  <si>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</si>
  <si>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</si>
  <si>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</si>
  <si>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</si>
  <si>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</si>
  <si>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</si>
  <si>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</si>
  <si>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</si>
  <si>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</si>
  <si>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</si>
  <si>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</si>
  <si>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</si>
  <si>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</si>
  <si>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</si>
  <si>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</si>
  <si>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</si>
  <si>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</si>
  <si>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</si>
  <si>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</si>
  <si>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</si>
  <si>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</si>
  <si>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</si>
  <si>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</si>
  <si>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</si>
  <si>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</si>
  <si>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</si>
  <si>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</si>
  <si>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</si>
  <si>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</si>
  <si>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</si>
  <si>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</si>
  <si>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</si>
  <si>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</si>
  <si>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</si>
  <si>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</si>
  <si>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</si>
  <si>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</si>
  <si>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</si>
  <si>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</si>
  <si>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</si>
  <si>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</si>
  <si>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</si>
  <si>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</si>
  <si>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</si>
  <si>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</si>
  <si>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</si>
  <si>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</si>
  <si>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</si>
  <si>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</si>
  <si>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</si>
  <si>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</si>
  <si>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</si>
  <si>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</si>
  <si>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</si>
  <si>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</si>
  <si>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</si>
  <si>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</si>
  <si>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</si>
  <si>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</si>
  <si>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</si>
  <si>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</si>
  <si>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</si>
  <si>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</si>
  <si>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</si>
  <si>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</si>
  <si>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</si>
  <si>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</si>
  <si>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</si>
  <si>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</si>
  <si>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</si>
  <si>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</si>
  <si>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</si>
  <si>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</si>
  <si>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</si>
  <si>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</si>
  <si>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</si>
  <si>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</si>
  <si>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</si>
  <si>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</si>
  <si>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</si>
  <si>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</si>
  <si>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</si>
  <si>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</si>
  <si>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</si>
  <si>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</si>
  <si>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</si>
  <si>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</si>
  <si>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</si>
  <si>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</si>
  <si>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</si>
  <si>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</si>
  <si>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</si>
  <si>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</si>
  <si>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</si>
  <si>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</si>
  <si>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</si>
  <si>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</si>
  <si>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</si>
  <si>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</si>
  <si>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</si>
  <si>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</si>
  <si>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</si>
  <si>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</si>
  <si>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</si>
  <si>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</si>
  <si>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</si>
  <si>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</si>
  <si>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</si>
  <si>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</si>
  <si>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</si>
  <si>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</si>
  <si>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</si>
  <si>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</si>
  <si>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</si>
  <si>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</si>
  <si>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</si>
  <si>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</si>
  <si>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</si>
  <si>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</si>
  <si>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</si>
  <si>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</si>
  <si>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</si>
  <si>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</si>
  <si>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</si>
  <si>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</si>
  <si>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</si>
  <si>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</si>
  <si>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</si>
  <si>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</si>
  <si>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</si>
  <si>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</si>
  <si>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</si>
  <si>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</si>
  <si>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</si>
  <si>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</si>
  <si>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</si>
  <si>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</si>
  <si>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</si>
  <si>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</si>
  <si>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</si>
  <si>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</si>
  <si>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</si>
  <si>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</si>
  <si>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</si>
  <si>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</si>
  <si>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</si>
  <si>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</si>
  <si>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</si>
  <si>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</si>
  <si>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</si>
  <si>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</si>
  <si>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</si>
  <si>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</si>
  <si>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</si>
  <si>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</si>
  <si>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</si>
  <si>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</si>
  <si>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</si>
  <si>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</si>
  <si>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</si>
  <si>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</si>
  <si>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</si>
  <si>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</si>
  <si>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</si>
  <si>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</si>
  <si>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</si>
  <si>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</si>
  <si>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</si>
  <si>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</si>
  <si>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</si>
  <si>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</si>
  <si>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</si>
  <si>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</si>
  <si>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</si>
  <si>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</si>
  <si>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</si>
  <si>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</si>
  <si>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</si>
  <si>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</si>
  <si>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</si>
  <si>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</si>
  <si>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</si>
  <si>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</si>
  <si>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</si>
  <si>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</si>
  <si>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</si>
  <si>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</si>
  <si>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</si>
  <si>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</si>
  <si>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</si>
  <si>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</si>
  <si>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</si>
  <si>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</si>
  <si>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</si>
  <si>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</si>
  <si>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</si>
  <si>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</si>
  <si>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</si>
  <si>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</si>
  <si>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</si>
  <si>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</si>
  <si>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</si>
  <si>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</si>
  <si>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</si>
  <si>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</si>
  <si>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</si>
  <si>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</si>
  <si>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</si>
  <si>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</si>
  <si>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</si>
  <si>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</si>
  <si>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</si>
  <si>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</si>
  <si>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</si>
  <si>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</si>
  <si>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</si>
  <si>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</si>
  <si>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</si>
  <si>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</si>
  <si>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</si>
  <si>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</si>
  <si>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</si>
  <si>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</si>
  <si>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</si>
  <si>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</si>
  <si>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</si>
  <si>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</si>
  <si>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</si>
  <si>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</si>
  <si>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</si>
  <si>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</si>
  <si>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</si>
  <si>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</si>
  <si>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</si>
  <si>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</si>
  <si>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</si>
  <si>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</si>
  <si>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</si>
  <si>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</si>
  <si>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</si>
  <si>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</si>
  <si>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</si>
  <si>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</si>
  <si>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</si>
  <si>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</si>
  <si>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</si>
  <si>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</si>
  <si>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</si>
  <si>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</si>
  <si>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</si>
  <si>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</si>
  <si>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</si>
  <si>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</si>
  <si>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</si>
  <si>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</si>
  <si>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</si>
  <si>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</si>
  <si>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</si>
  <si>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</si>
  <si>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</si>
  <si>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</si>
  <si>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</si>
  <si>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</si>
  <si>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</si>
  <si>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</si>
  <si>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</si>
  <si>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</si>
  <si>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</si>
  <si>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</si>
  <si>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</si>
  <si>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</si>
  <si>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</si>
  <si>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</si>
  <si>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</si>
  <si>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</si>
  <si>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</si>
  <si>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</si>
  <si>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</si>
  <si>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</si>
  <si>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</si>
  <si>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</si>
  <si>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</si>
  <si>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</si>
  <si>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</si>
  <si>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</si>
  <si>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</si>
  <si>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</si>
  <si>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</si>
  <si>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</si>
  <si>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</si>
  <si>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</si>
  <si>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</si>
  <si>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</si>
  <si>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</si>
  <si>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</si>
  <si>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</si>
  <si>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</si>
  <si>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</si>
  <si>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</si>
  <si>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</si>
  <si>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</si>
  <si>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</si>
  <si>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</si>
  <si>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</si>
  <si>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</si>
  <si>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</si>
  <si>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</si>
  <si>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</si>
  <si>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</si>
  <si>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</si>
  <si>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</si>
  <si>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</si>
  <si>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</si>
  <si>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</si>
  <si>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</si>
  <si>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</si>
  <si>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</si>
  <si>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</si>
  <si>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</si>
  <si>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</si>
  <si>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</si>
  <si>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</si>
  <si>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</si>
  <si>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</si>
  <si>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</si>
  <si>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</si>
  <si>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</si>
  <si>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</si>
  <si>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</si>
  <si>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</si>
  <si>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</si>
  <si>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</si>
  <si>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</si>
  <si>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</si>
  <si>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</si>
  <si>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</si>
  <si>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</si>
  <si>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</si>
  <si>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</si>
  <si>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</si>
  <si>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</si>
  <si>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</si>
  <si>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</si>
  <si>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</si>
  <si>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</si>
  <si>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</si>
  <si>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</si>
  <si>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</si>
  <si>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</si>
  <si>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</si>
  <si>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</si>
  <si>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</si>
  <si>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</si>
  <si>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</si>
  <si>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</si>
  <si>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</si>
  <si>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</si>
  <si>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</si>
  <si>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</si>
  <si>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</si>
  <si>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</si>
  <si>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</si>
  <si>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</si>
  <si>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</si>
  <si>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</si>
  <si>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</si>
  <si>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</si>
  <si>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</si>
  <si>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</si>
  <si>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</si>
  <si>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</si>
  <si>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</si>
  <si>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</si>
  <si>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</si>
  <si>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</si>
  <si>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</si>
  <si>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</si>
  <si>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</si>
  <si>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</si>
  <si>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</si>
  <si>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</si>
  <si>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</si>
  <si>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</si>
  <si>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</si>
  <si>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</si>
  <si>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</si>
  <si>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</si>
  <si>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</si>
  <si>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</si>
  <si>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</si>
  <si>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</si>
  <si>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</si>
  <si>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</si>
  <si>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</si>
  <si>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</si>
  <si>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</si>
  <si>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</si>
  <si>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</si>
  <si>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</si>
  <si>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</si>
  <si>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</si>
  <si>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</si>
  <si>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</si>
  <si>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</si>
  <si>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</si>
  <si>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</si>
  <si>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</si>
  <si>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</si>
  <si>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</si>
  <si>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</si>
  <si>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</si>
  <si>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</si>
  <si>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</si>
  <si>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</si>
  <si>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</si>
  <si>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</si>
  <si>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</si>
  <si>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</si>
  <si>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</si>
  <si>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</si>
  <si>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</si>
  <si>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</si>
  <si>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</si>
  <si>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</si>
  <si>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</si>
  <si>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</si>
  <si>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</si>
  <si>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</si>
  <si>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</si>
  <si>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</si>
  <si>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</si>
  <si>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</si>
  <si>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</si>
  <si>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</si>
  <si>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</si>
  <si>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</si>
  <si>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</si>
  <si>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</si>
  <si>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</si>
  <si>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</si>
  <si>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</si>
  <si>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</si>
  <si>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</si>
  <si>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</si>
  <si>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</si>
  <si>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</si>
  <si>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</si>
  <si>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</si>
  <si>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</si>
  <si>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</si>
  <si>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</si>
  <si>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</si>
  <si>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</si>
  <si>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</si>
  <si>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</si>
  <si>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</si>
  <si>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</si>
  <si>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</si>
  <si>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</si>
  <si>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</si>
  <si>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</si>
  <si>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</si>
  <si>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</si>
  <si>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</si>
  <si>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</si>
  <si>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</si>
  <si>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</si>
  <si>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</si>
  <si>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</si>
  <si>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</si>
  <si>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</si>
  <si>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</si>
  <si>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</si>
  <si>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</si>
  <si>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</si>
  <si>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</si>
  <si>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</si>
  <si>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</si>
  <si>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</si>
  <si>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</si>
  <si>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</si>
  <si>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</si>
  <si>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</si>
  <si>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</si>
  <si>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</si>
  <si>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</si>
  <si>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</si>
  <si>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</si>
  <si>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</si>
  <si>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</si>
  <si>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</si>
  <si>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</si>
  <si>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</si>
  <si>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</si>
  <si>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</si>
  <si>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</si>
  <si>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</si>
  <si>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</si>
  <si>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</si>
  <si>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</si>
  <si>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</si>
  <si>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</si>
  <si>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</si>
  <si>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</si>
  <si>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</si>
  <si>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</si>
  <si>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</si>
  <si>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</si>
  <si>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</si>
  <si>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</si>
  <si>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</si>
  <si>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</si>
  <si>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</si>
  <si>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</si>
  <si>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</si>
  <si>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</si>
  <si>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</si>
  <si>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</si>
  <si>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</si>
  <si>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</si>
  <si>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</si>
  <si>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</si>
  <si>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</si>
  <si>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</si>
  <si>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</si>
  <si>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</si>
  <si>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</si>
  <si>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</si>
  <si>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</si>
  <si>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</si>
  <si>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</si>
  <si>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</si>
  <si>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</si>
  <si>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</si>
  <si>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</si>
  <si>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</si>
  <si>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</si>
  <si>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</si>
  <si>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</si>
  <si>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</si>
  <si>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</si>
  <si>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</si>
  <si>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</si>
  <si>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</si>
  <si>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</si>
  <si>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</si>
  <si>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</si>
  <si>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</si>
  <si>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</si>
  <si>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</si>
  <si>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</si>
  <si>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</si>
  <si>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</si>
  <si>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</si>
  <si>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</si>
  <si>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</si>
  <si>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</si>
  <si>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</si>
  <si>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</si>
  <si>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</si>
  <si>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</si>
  <si>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</si>
  <si>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</si>
  <si>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</si>
  <si>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</si>
  <si>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</si>
  <si>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</si>
  <si>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</si>
  <si>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</si>
  <si>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</si>
  <si>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</si>
  <si>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</si>
  <si>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</si>
  <si>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</si>
  <si>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</si>
  <si>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</si>
  <si>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</si>
  <si>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</si>
  <si>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</si>
  <si>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</si>
  <si>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</si>
  <si>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</si>
  <si>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</si>
  <si>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</si>
  <si>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</si>
  <si>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</si>
  <si>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</si>
  <si>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</si>
  <si>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</si>
  <si>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</si>
  <si>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</si>
  <si>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</si>
  <si>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</si>
  <si>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</si>
  <si>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</si>
  <si>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</si>
  <si>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</si>
  <si>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</si>
  <si>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</si>
  <si>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</si>
  <si>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</si>
  <si>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</si>
  <si>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</si>
  <si>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</si>
  <si>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</si>
  <si>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</si>
  <si>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</si>
  <si>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</si>
  <si>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</si>
  <si>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</si>
  <si>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</si>
  <si>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</si>
  <si>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</si>
  <si>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</si>
  <si>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</si>
  <si>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</si>
  <si>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</si>
  <si>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</si>
  <si>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</si>
  <si>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</si>
  <si>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</si>
  <si>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</si>
  <si>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</si>
  <si>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</si>
  <si>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</si>
  <si>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</si>
  <si>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</si>
  <si>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</si>
  <si>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</si>
  <si>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</si>
  <si>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</si>
  <si>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</si>
  <si>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</si>
  <si>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</si>
  <si>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</si>
  <si>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</si>
  <si>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</si>
  <si>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</si>
  <si>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</si>
  <si>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</si>
  <si>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</si>
  <si>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</si>
  <si>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</si>
  <si>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</si>
  <si>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</si>
  <si>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</si>
  <si>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</si>
  <si>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</si>
  <si>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</si>
  <si>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</si>
  <si>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</si>
  <si>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</si>
  <si>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</si>
  <si>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</si>
  <si>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</si>
  <si>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</si>
  <si>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</si>
  <si>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</si>
  <si>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</si>
  <si>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</si>
  <si>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</si>
  <si>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</si>
  <si>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</si>
  <si>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</si>
  <si>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</si>
  <si>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</si>
  <si>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</si>
  <si>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</si>
  <si>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</si>
  <si>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</si>
  <si>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</si>
  <si>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</si>
  <si>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</si>
  <si>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</si>
  <si>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</si>
  <si>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</si>
  <si>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</si>
  <si>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</si>
  <si>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</si>
  <si>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</si>
  <si>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</si>
  <si>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</si>
  <si>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</si>
  <si>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</si>
  <si>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</si>
  <si>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</si>
  <si>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</si>
  <si>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</si>
  <si>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</si>
  <si>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</si>
  <si>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</si>
  <si>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</si>
  <si>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</si>
  <si>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</si>
  <si>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</si>
  <si>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</si>
  <si>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</si>
  <si>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</si>
  <si>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</si>
  <si>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</si>
  <si>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</si>
  <si>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</si>
  <si>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</si>
  <si>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</si>
  <si>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</si>
  <si>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</si>
  <si>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</si>
  <si>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</si>
  <si>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</si>
  <si>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</si>
  <si>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</si>
  <si>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</si>
  <si>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</si>
  <si>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</si>
  <si>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</si>
  <si>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</si>
  <si>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</si>
  <si>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</si>
  <si>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</si>
  <si>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</si>
  <si>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</si>
  <si>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</si>
  <si>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</si>
  <si>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</si>
  <si>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</si>
  <si>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</si>
  <si>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</si>
  <si>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</si>
  <si>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</si>
  <si>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</si>
  <si>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</si>
  <si>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</si>
  <si>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</si>
  <si>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</si>
  <si>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</si>
  <si>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</si>
  <si>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</si>
  <si>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</si>
  <si>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</si>
  <si>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</si>
  <si>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</si>
  <si>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</si>
  <si>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</si>
  <si>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</si>
  <si>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</si>
  <si>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</si>
  <si>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</si>
  <si>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</si>
  <si>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</si>
  <si>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</si>
  <si>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</si>
  <si>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</si>
  <si>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</si>
  <si>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</si>
  <si>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</si>
  <si>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</si>
  <si>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</si>
  <si>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</si>
  <si>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</si>
  <si>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</si>
  <si>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</si>
  <si>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</si>
  <si>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</si>
  <si>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</si>
  <si>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</si>
  <si>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</si>
  <si>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</si>
  <si>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</si>
  <si>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</si>
  <si>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</si>
  <si>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</si>
  <si>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</si>
  <si>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</si>
  <si>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</si>
  <si>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</si>
  <si>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</si>
  <si>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</si>
  <si>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</si>
  <si>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</si>
  <si>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</si>
  <si>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</si>
  <si>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</si>
  <si>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</si>
  <si>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</si>
  <si>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</si>
  <si>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</si>
  <si>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</si>
  <si>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</si>
  <si>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</si>
  <si>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</si>
  <si>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</si>
  <si>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</si>
  <si>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</si>
  <si>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</si>
  <si>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</si>
  <si>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</si>
  <si>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</si>
  <si>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</si>
  <si>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</si>
  <si>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</si>
  <si>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</si>
  <si>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</si>
  <si>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</si>
  <si>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</si>
  <si>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</si>
  <si>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</si>
  <si>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</si>
  <si>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</si>
  <si>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</si>
  <si>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</si>
  <si>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</si>
  <si>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</si>
  <si>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</si>
  <si>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</si>
  <si>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</si>
  <si>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</si>
  <si>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</si>
  <si>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</si>
  <si>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</si>
  <si>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</si>
  <si>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</si>
  <si>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</si>
  <si>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</si>
  <si>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</si>
  <si>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</si>
  <si>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</si>
  <si>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</si>
  <si>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</si>
  <si>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</si>
  <si>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</si>
  <si>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</si>
  <si>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</si>
  <si>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</si>
  <si>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</si>
  <si>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</si>
  <si>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</si>
  <si>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</si>
  <si>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</si>
  <si>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</si>
  <si>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</si>
  <si>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</si>
  <si>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</si>
  <si>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</si>
  <si>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</si>
  <si>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</si>
  <si>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</si>
  <si>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</si>
  <si>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</si>
  <si>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</si>
  <si>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</si>
  <si>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</si>
  <si>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</si>
  <si>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</si>
  <si>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</si>
  <si>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</si>
  <si>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</si>
  <si>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</si>
  <si>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</si>
  <si>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</si>
  <si>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</si>
  <si>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</si>
  <si>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</si>
  <si>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</si>
  <si>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</si>
  <si>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</si>
  <si>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</si>
  <si>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</si>
  <si>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</si>
  <si>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</si>
  <si>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</si>
  <si>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</si>
  <si>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</si>
  <si>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</si>
  <si>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</si>
  <si>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</si>
  <si>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</si>
  <si>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</si>
  <si>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</si>
  <si>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</si>
  <si>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</si>
  <si>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</si>
  <si>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</si>
  <si>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</si>
  <si>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</si>
  <si>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</si>
  <si>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</si>
  <si>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</si>
  <si>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</si>
  <si>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</si>
  <si>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</si>
  <si>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</si>
  <si>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</si>
  <si>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</si>
  <si>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</si>
  <si>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</si>
  <si>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</si>
  <si>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</si>
  <si>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</si>
  <si>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</si>
  <si>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</si>
  <si>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</si>
  <si>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</si>
  <si>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</si>
  <si>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</si>
  <si>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</si>
  <si>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</si>
  <si>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</si>
  <si>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</si>
  <si>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</si>
  <si>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</si>
  <si>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</si>
  <si>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</si>
  <si>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</si>
  <si>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</si>
  <si>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</si>
  <si>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</si>
  <si>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</si>
  <si>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</si>
  <si>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</si>
  <si>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</si>
  <si>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</si>
  <si>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</si>
  <si>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</si>
  <si>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</si>
  <si>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</si>
  <si>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</si>
  <si>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</si>
  <si>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</si>
  <si>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</si>
  <si>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</si>
  <si>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</si>
  <si>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</si>
  <si>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</si>
  <si>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</si>
  <si>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</si>
  <si>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</si>
  <si>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</si>
  <si>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</si>
  <si>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</si>
  <si>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</si>
  <si>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</si>
  <si>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</si>
  <si>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</si>
  <si>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</si>
  <si>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</si>
  <si>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</si>
  <si>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</si>
  <si>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</si>
  <si>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</si>
  <si>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</si>
  <si>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</si>
  <si>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</si>
  <si>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</si>
  <si>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</si>
  <si>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</si>
  <si>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</si>
  <si>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</si>
  <si>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</si>
  <si>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</si>
  <si>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</si>
  <si>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</si>
  <si>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</si>
  <si>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</si>
  <si>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</si>
  <si>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</si>
  <si>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</si>
  <si>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</si>
  <si>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</si>
  <si>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</si>
  <si>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</si>
  <si>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</si>
  <si>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</si>
  <si>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</si>
  <si>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</si>
  <si>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</si>
  <si>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</si>
  <si>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</si>
  <si>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</si>
  <si>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</si>
  <si>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</si>
  <si>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</si>
  <si>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</si>
  <si>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</si>
  <si>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</si>
  <si>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</si>
  <si>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</si>
  <si>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</si>
  <si>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</si>
  <si>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</si>
  <si>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</si>
  <si>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</si>
  <si>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</si>
  <si>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</si>
  <si>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</si>
  <si>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</si>
  <si>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</si>
  <si>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</si>
  <si>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</si>
  <si>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</si>
  <si>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</si>
  <si>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</si>
  <si>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</si>
  <si>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</si>
  <si>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</si>
  <si>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</si>
  <si>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</si>
  <si>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</si>
  <si>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</si>
  <si>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</si>
  <si>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</si>
  <si>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</si>
  <si>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</si>
  <si>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</si>
  <si>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</si>
  <si>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</si>
  <si>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</si>
  <si>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</si>
  <si>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</si>
  <si>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</si>
  <si>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</si>
  <si>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</si>
  <si>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</si>
  <si>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</si>
  <si>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</si>
  <si>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</si>
  <si>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</si>
  <si>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</si>
  <si>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</si>
  <si>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</si>
  <si>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</si>
  <si>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</si>
  <si>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</si>
  <si>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</si>
  <si>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</si>
  <si>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</si>
  <si>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</si>
  <si>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</si>
  <si>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</si>
  <si>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</si>
  <si>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</si>
  <si>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</si>
  <si>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</si>
  <si>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</si>
  <si>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</si>
  <si>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</si>
  <si>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</si>
  <si>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</si>
  <si>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</si>
  <si>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</si>
  <si>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</si>
  <si>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</si>
  <si>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</si>
  <si>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</si>
  <si>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</si>
  <si>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</si>
  <si>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</si>
  <si>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</si>
  <si>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</si>
  <si>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</si>
  <si>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</si>
  <si>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</si>
  <si>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</si>
  <si>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</si>
  <si>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</si>
  <si>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</si>
  <si>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</si>
  <si>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</si>
  <si>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</si>
  <si>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</si>
  <si>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</si>
  <si>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</si>
  <si>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</si>
  <si>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</si>
  <si>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</si>
  <si>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</si>
  <si>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</si>
  <si>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</si>
  <si>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</si>
  <si>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</si>
  <si>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</si>
  <si>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</si>
  <si>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</si>
  <si>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</si>
  <si>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</si>
  <si>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</si>
  <si>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</si>
  <si>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</si>
  <si>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</si>
  <si>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</si>
  <si>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</si>
  <si>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</si>
  <si>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</si>
  <si>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</si>
  <si>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</si>
  <si>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</si>
  <si>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</si>
  <si>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</si>
  <si>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</si>
  <si>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</si>
  <si>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</si>
  <si>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</si>
  <si>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</si>
  <si>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</si>
  <si>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</si>
  <si>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</si>
  <si>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</si>
  <si>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</si>
  <si>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</si>
  <si>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</si>
  <si>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</si>
  <si>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</si>
  <si>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</si>
  <si>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</si>
  <si>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</si>
  <si>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</si>
  <si>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</si>
  <si>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</si>
  <si>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</si>
  <si>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</si>
  <si>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</si>
  <si>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</si>
  <si>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</si>
  <si>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</si>
  <si>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</si>
  <si>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</si>
  <si>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</si>
  <si>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</si>
  <si>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</si>
  <si>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</si>
  <si>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</si>
  <si>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</si>
  <si>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</si>
  <si>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</si>
  <si>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</si>
  <si>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</si>
  <si>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</si>
  <si>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</si>
  <si>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</si>
  <si>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</si>
  <si>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</si>
  <si>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</si>
  <si>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</si>
  <si>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</si>
  <si>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</si>
  <si>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</si>
  <si>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</si>
  <si>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</si>
  <si>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</si>
  <si>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</si>
  <si>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</si>
  <si>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</si>
  <si>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</si>
  <si>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</si>
  <si>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</si>
  <si>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</si>
  <si>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</si>
  <si>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</si>
  <si>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</si>
  <si>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</si>
  <si>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</si>
  <si>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</si>
  <si>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</si>
  <si>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</si>
  <si>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</si>
  <si>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</si>
  <si>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</si>
  <si>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</si>
  <si>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</si>
  <si>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</si>
  <si>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</si>
  <si>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</si>
  <si>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</si>
  <si>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</si>
  <si>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</si>
  <si>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</si>
  <si>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</si>
  <si>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</si>
  <si>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</si>
  <si>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</si>
  <si>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</si>
  <si>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</si>
  <si>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</si>
  <si>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</si>
  <si>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</si>
  <si>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</si>
  <si>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</si>
  <si>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</si>
  <si>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</si>
  <si>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</si>
  <si>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</si>
  <si>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</si>
  <si>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</si>
  <si>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</si>
  <si>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</si>
  <si>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</si>
  <si>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</si>
  <si>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</si>
  <si>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</si>
  <si>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</si>
  <si>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</si>
  <si>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</si>
  <si>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</si>
  <si>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</si>
  <si>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</si>
  <si>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</si>
  <si>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</si>
  <si>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</si>
  <si>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</si>
  <si>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</si>
  <si>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</si>
  <si>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</si>
  <si>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</si>
  <si>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</si>
  <si>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</si>
  <si>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</si>
  <si>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</si>
  <si>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</si>
  <si>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</si>
  <si>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</si>
  <si>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</si>
  <si>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</si>
  <si>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</si>
  <si>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</si>
  <si>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</si>
  <si>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</si>
  <si>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</si>
  <si>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</si>
  <si>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</si>
  <si>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</si>
  <si>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</si>
  <si>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</si>
  <si>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</si>
  <si>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</si>
  <si>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</si>
  <si>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</si>
  <si>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</si>
  <si>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</si>
  <si>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</si>
  <si>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</si>
  <si>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</si>
  <si>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</si>
  <si>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</si>
  <si>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</si>
  <si>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</si>
  <si>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</si>
  <si>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</si>
  <si>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</si>
  <si>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</si>
  <si>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</si>
  <si>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</si>
  <si>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</si>
  <si>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</si>
  <si>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</si>
  <si>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</si>
  <si>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</si>
  <si>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</si>
  <si>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</si>
  <si>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</si>
  <si>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</si>
  <si>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</si>
  <si>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</si>
  <si>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</si>
  <si>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</si>
  <si>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</si>
  <si>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</si>
  <si>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</si>
  <si>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</si>
  <si>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</si>
  <si>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</si>
  <si>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</si>
  <si>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</si>
  <si>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</si>
  <si>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</si>
  <si>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</si>
  <si>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</si>
  <si>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</si>
  <si>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</si>
  <si>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</si>
  <si>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</si>
  <si>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</si>
  <si>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</si>
  <si>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</si>
  <si>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</si>
  <si>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</si>
  <si>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</si>
  <si>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</si>
  <si>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</si>
  <si>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</si>
  <si>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</si>
  <si>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</si>
  <si>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</si>
  <si>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</si>
  <si>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</si>
  <si>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</si>
  <si>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</si>
  <si>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</si>
  <si>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</si>
  <si>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</si>
  <si>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</si>
  <si>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</si>
  <si>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</si>
  <si>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</si>
  <si>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</si>
  <si>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</si>
  <si>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</si>
  <si>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</si>
  <si>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</si>
  <si>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</si>
  <si>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</si>
  <si>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</si>
  <si>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</si>
  <si>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</si>
  <si>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</si>
  <si>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</si>
  <si>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</si>
  <si>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</si>
  <si>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</si>
  <si>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</si>
  <si>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</si>
  <si>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</si>
  <si>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</si>
  <si>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</si>
  <si>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</si>
  <si>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</si>
  <si>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</si>
  <si>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</si>
  <si>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</si>
  <si>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</si>
  <si>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</si>
  <si>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</si>
  <si>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</si>
  <si>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</si>
  <si>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</si>
  <si>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</si>
  <si>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</si>
  <si>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</si>
  <si>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</si>
  <si>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</si>
  <si>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</si>
  <si>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</si>
  <si>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</si>
  <si>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</si>
  <si>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</si>
  <si>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</si>
  <si>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</si>
  <si>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</si>
  <si>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</si>
  <si>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</si>
  <si>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</si>
  <si>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</si>
  <si>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</si>
  <si>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</si>
  <si>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</si>
  <si>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</si>
  <si>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</si>
  <si>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</si>
  <si>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</si>
  <si>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</si>
  <si>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</si>
  <si>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</si>
  <si>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</si>
  <si>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</si>
  <si>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</si>
  <si>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</si>
  <si>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</si>
  <si>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</si>
  <si>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</si>
  <si>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</si>
  <si>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</si>
  <si>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</si>
  <si>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</si>
  <si>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</si>
  <si>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</si>
  <si>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</si>
  <si>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</si>
  <si>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</si>
  <si>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</si>
  <si>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</si>
  <si>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</si>
  <si>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</si>
  <si>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</si>
  <si>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</si>
  <si>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</si>
  <si>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</si>
  <si>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</si>
  <si>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</si>
  <si>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</si>
  <si>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</si>
  <si>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</si>
  <si>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</si>
  <si>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</si>
  <si>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</si>
  <si>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</si>
  <si>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</si>
  <si>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</si>
  <si>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</si>
  <si>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</si>
  <si>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</si>
  <si>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</si>
  <si>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</si>
  <si>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</si>
  <si>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</si>
  <si>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</si>
  <si>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</si>
  <si>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</si>
  <si>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</si>
  <si>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</si>
  <si>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</si>
  <si>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</si>
  <si>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</si>
  <si>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</si>
  <si>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</si>
  <si>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</si>
  <si>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</si>
  <si>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</si>
  <si>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</si>
  <si>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</si>
  <si>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</si>
  <si>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</si>
  <si>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</si>
  <si>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</si>
  <si>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</si>
  <si>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</si>
  <si>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</si>
  <si>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</si>
  <si>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</si>
  <si>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</si>
  <si>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</si>
  <si>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</si>
  <si>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</si>
  <si>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</si>
  <si>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</si>
  <si>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</si>
  <si>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</si>
  <si>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</si>
  <si>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</si>
  <si>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</si>
  <si>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</si>
  <si>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</si>
  <si>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</si>
  <si>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</si>
  <si>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</si>
  <si>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</si>
  <si>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</si>
  <si>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</si>
  <si>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</si>
  <si>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</si>
  <si>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</si>
  <si>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</si>
  <si>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</si>
  <si>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</si>
  <si>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</si>
  <si>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</si>
  <si>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</si>
  <si>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</si>
  <si>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</si>
  <si>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</si>
  <si>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</si>
  <si>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</si>
  <si>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</si>
  <si>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</si>
  <si>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</si>
  <si>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</si>
  <si>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</si>
  <si>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</si>
  <si>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</si>
  <si>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</si>
  <si>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</si>
  <si>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</si>
  <si>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</si>
  <si>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</si>
  <si>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</si>
  <si>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</si>
  <si>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</si>
  <si>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</si>
  <si>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</si>
  <si>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</si>
  <si>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</si>
  <si>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</si>
  <si>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</si>
  <si>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</si>
  <si>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</si>
  <si>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</si>
  <si>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</si>
  <si>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</si>
  <si>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</si>
  <si>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</si>
  <si>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</si>
  <si>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</si>
  <si>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</si>
  <si>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</si>
  <si>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</si>
  <si>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</si>
  <si>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</si>
  <si>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</si>
  <si>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</si>
  <si>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</si>
  <si>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</si>
  <si>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</si>
  <si>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</si>
  <si>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</si>
  <si>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</si>
  <si>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</si>
  <si>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</si>
  <si>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</si>
  <si>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</si>
  <si>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</si>
  <si>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</si>
  <si>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</si>
  <si>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</si>
  <si>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</si>
  <si>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</si>
  <si>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</si>
  <si>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</si>
  <si>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</si>
  <si>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</si>
  <si>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</si>
  <si>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</si>
  <si>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</si>
  <si>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</si>
  <si>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</si>
  <si>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</si>
  <si>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</si>
  <si>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</si>
  <si>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</si>
  <si>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</si>
  <si>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</si>
  <si>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</si>
  <si>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</si>
  <si>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</si>
  <si>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</si>
  <si>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</si>
  <si>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</si>
  <si>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</si>
  <si>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</si>
  <si>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</si>
  <si>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</si>
  <si>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</si>
  <si>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</si>
  <si>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</si>
  <si>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</si>
  <si>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</si>
  <si>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</si>
  <si>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</si>
  <si>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</si>
  <si>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</si>
  <si>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</si>
  <si>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</si>
  <si>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</si>
  <si>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</si>
  <si>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</si>
  <si>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</si>
  <si>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</si>
  <si>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</si>
  <si>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</si>
  <si>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</si>
  <si>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</si>
  <si>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</si>
  <si>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</si>
  <si>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</si>
  <si>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</si>
  <si>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</si>
  <si>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</si>
  <si>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</si>
  <si>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</si>
  <si>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</si>
  <si>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</si>
  <si>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</si>
  <si>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</si>
  <si>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</si>
  <si>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</si>
  <si>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</si>
  <si>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</si>
  <si>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</si>
  <si>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</si>
  <si>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</si>
  <si>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</si>
  <si>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</si>
  <si>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</si>
  <si>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</si>
  <si>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</si>
  <si>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</si>
  <si>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</si>
  <si>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</si>
  <si>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</si>
  <si>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</si>
  <si>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</si>
  <si>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</si>
  <si>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</si>
  <si>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</si>
  <si>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</si>
  <si>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</si>
  <si>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</si>
  <si>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</si>
  <si>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</si>
  <si>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</si>
  <si>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</si>
  <si>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</si>
  <si>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</si>
  <si>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</si>
  <si>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</si>
  <si>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</si>
  <si>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</si>
  <si>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</si>
  <si>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</si>
  <si>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</si>
  <si>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</si>
  <si>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</si>
  <si>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</si>
  <si>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</si>
  <si>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</si>
  <si>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</si>
  <si>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</si>
  <si>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</si>
  <si>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</si>
  <si>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</si>
  <si>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</si>
  <si>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</si>
  <si>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</si>
  <si>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</si>
  <si>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</si>
  <si>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</si>
  <si>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</si>
  <si>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</si>
  <si>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</si>
  <si>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</si>
  <si>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</si>
  <si>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</si>
  <si>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</si>
  <si>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</si>
  <si>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</si>
  <si>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</si>
  <si>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</si>
  <si>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</si>
  <si>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</si>
  <si>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</si>
  <si>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</si>
  <si>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</si>
  <si>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</si>
  <si>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</si>
  <si>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</si>
  <si>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</si>
  <si>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</si>
  <si>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</si>
  <si>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</si>
  <si>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</si>
  <si>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</si>
  <si>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</si>
  <si>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</si>
  <si>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</si>
  <si>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</si>
  <si>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</si>
  <si>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</si>
  <si>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</si>
  <si>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</si>
  <si>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</si>
  <si>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</si>
  <si>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</si>
  <si>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</si>
  <si>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</si>
  <si>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</si>
  <si>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</si>
  <si>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</si>
  <si>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</si>
  <si>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</si>
  <si>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</si>
  <si>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</si>
  <si>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</si>
  <si>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</si>
  <si>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</si>
  <si>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</si>
  <si>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</si>
  <si>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</si>
  <si>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</si>
  <si>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</si>
  <si>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</si>
  <si>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</si>
  <si>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</si>
  <si>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</si>
  <si>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</si>
  <si>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</si>
  <si>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</si>
  <si>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</si>
  <si>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</si>
  <si>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</si>
  <si>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</si>
  <si>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</si>
  <si>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</si>
  <si>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</si>
  <si>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</si>
  <si>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</si>
  <si>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</si>
  <si>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</si>
  <si>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</si>
  <si>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</si>
  <si>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</si>
  <si>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</si>
  <si>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</si>
  <si>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</si>
  <si>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</si>
  <si>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</si>
  <si>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</si>
  <si>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</si>
  <si>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</si>
  <si>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</si>
  <si>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</si>
  <si>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</si>
  <si>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</si>
  <si>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</si>
  <si>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</si>
  <si>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</si>
  <si>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</si>
  <si>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</si>
  <si>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</si>
  <si>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</si>
  <si>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</si>
  <si>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</si>
  <si>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</si>
  <si>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</si>
  <si>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</si>
  <si>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</si>
  <si>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</si>
  <si>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</si>
  <si>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</si>
  <si>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</si>
  <si>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</si>
  <si>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</si>
  <si>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</si>
  <si>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</si>
  <si>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</si>
  <si>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</si>
  <si>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</si>
  <si>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</si>
  <si>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</si>
  <si>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</si>
  <si>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</si>
  <si>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</si>
  <si>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</si>
  <si>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</si>
  <si>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</si>
  <si>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</si>
  <si>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</si>
  <si>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</si>
  <si>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</si>
  <si>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</si>
  <si>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</si>
  <si>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</si>
  <si>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</si>
  <si>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</si>
  <si>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</si>
  <si>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</si>
  <si>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</si>
  <si>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</si>
  <si>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</si>
  <si>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</si>
  <si>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</si>
  <si>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</si>
  <si>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</si>
  <si>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</si>
  <si>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</si>
  <si>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</si>
  <si>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</si>
  <si>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</si>
  <si>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</si>
  <si>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</si>
  <si>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</si>
  <si>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</si>
  <si>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</si>
  <si>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</si>
  <si>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</si>
  <si>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</si>
  <si>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</si>
  <si>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</si>
  <si>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</si>
  <si>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</si>
  <si>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</si>
  <si>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</si>
  <si>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</si>
  <si>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</si>
  <si>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</si>
  <si>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</si>
  <si>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</si>
  <si>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</si>
  <si>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</si>
  <si>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</si>
  <si>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</si>
  <si>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</si>
  <si>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</si>
  <si>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</si>
  <si>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</si>
  <si>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</si>
  <si>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</si>
  <si>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</si>
  <si>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</si>
  <si>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</si>
  <si>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</si>
  <si>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</si>
  <si>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</si>
  <si>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</si>
  <si>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</si>
  <si>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</si>
  <si>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</si>
  <si>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</si>
  <si>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</si>
  <si>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</si>
  <si>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</si>
  <si>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</si>
  <si>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</si>
  <si>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</si>
  <si>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</si>
  <si>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</si>
  <si>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</si>
  <si>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</si>
  <si>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</si>
  <si>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</si>
  <si>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</si>
  <si>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</si>
  <si>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</si>
  <si>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</si>
  <si>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</si>
  <si>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</si>
  <si>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</si>
  <si>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</si>
  <si>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</si>
  <si>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</si>
  <si>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</si>
  <si>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</si>
  <si>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</si>
  <si>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</si>
  <si>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</si>
  <si>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</si>
  <si>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</si>
  <si>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</si>
  <si>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</si>
  <si>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</si>
  <si>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</si>
  <si>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</si>
  <si>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</si>
  <si>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</si>
  <si>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</si>
  <si>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</si>
  <si>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</si>
  <si>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</si>
  <si>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</si>
  <si>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</si>
  <si>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</si>
  <si>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</si>
  <si>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</si>
  <si>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</si>
  <si>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</si>
  <si>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</si>
  <si>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</si>
  <si>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</si>
  <si>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</si>
  <si>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</si>
  <si>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</si>
  <si>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</si>
  <si>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</si>
  <si>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</si>
  <si>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</si>
  <si>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</si>
  <si>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</si>
  <si>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</si>
  <si>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</si>
  <si>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</si>
  <si>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</si>
  <si>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</si>
  <si>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</si>
  <si>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</si>
  <si>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</si>
  <si>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</si>
  <si>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</si>
  <si>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</si>
  <si>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</si>
  <si>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</si>
  <si>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</si>
  <si>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</si>
  <si>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</si>
  <si>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</si>
  <si>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</si>
  <si>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</si>
  <si>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</si>
  <si>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</si>
  <si>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</si>
  <si>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</si>
  <si>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</si>
  <si>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</si>
  <si>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</si>
  <si>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</si>
  <si>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</si>
  <si>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</si>
  <si>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</si>
  <si>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</si>
  <si>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</si>
  <si>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</si>
  <si>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</si>
  <si>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</si>
  <si>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</si>
  <si>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</si>
  <si>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</si>
  <si>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</si>
  <si>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</si>
  <si>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</si>
  <si>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</si>
  <si>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</si>
  <si>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</si>
  <si>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</si>
  <si>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</si>
  <si>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</si>
  <si>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</si>
  <si>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</si>
  <si>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</si>
  <si>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</si>
  <si>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</si>
  <si>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</si>
  <si>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</si>
  <si>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</si>
  <si>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</si>
  <si>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</si>
  <si>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</si>
  <si>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</si>
  <si>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</si>
  <si>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</si>
  <si>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</si>
  <si>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</si>
  <si>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</si>
  <si>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</si>
  <si>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</si>
  <si>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</si>
  <si>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</si>
  <si>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</si>
  <si>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</si>
  <si>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</si>
  <si>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</si>
  <si>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</si>
  <si>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</si>
  <si>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</si>
  <si>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</si>
  <si>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</si>
  <si>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</si>
  <si>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</si>
  <si>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</si>
  <si>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</si>
  <si>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</si>
  <si>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</si>
  <si>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</si>
  <si>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</si>
  <si>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</si>
  <si>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</si>
  <si>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</si>
  <si>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</si>
  <si>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</si>
  <si>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</si>
  <si>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</si>
  <si>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</si>
  <si>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</si>
  <si>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</si>
  <si>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</si>
  <si>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</si>
  <si>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</si>
  <si>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</si>
  <si>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</si>
  <si>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</si>
  <si>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</si>
  <si>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</si>
  <si>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</si>
  <si>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</si>
  <si>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</si>
  <si>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</si>
  <si>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</si>
  <si>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</si>
  <si>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</si>
  <si>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</si>
  <si>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</si>
  <si>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</si>
  <si>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</si>
  <si>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</si>
  <si>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</si>
  <si>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</si>
  <si>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</si>
  <si>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</si>
  <si>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</si>
  <si>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</si>
  <si>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</si>
  <si>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</si>
  <si>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</si>
  <si>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</si>
  <si>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</si>
  <si>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</si>
  <si>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</si>
  <si>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</si>
  <si>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</si>
  <si>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</si>
  <si>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</si>
  <si>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</si>
  <si>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</si>
  <si>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</si>
  <si>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</si>
  <si>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</si>
  <si>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</si>
  <si>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</si>
  <si>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</si>
  <si>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</si>
  <si>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</si>
  <si>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</si>
  <si>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</si>
  <si>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</si>
  <si>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</si>
  <si>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</si>
  <si>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</si>
  <si>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</si>
  <si>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</si>
  <si>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</si>
  <si>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</si>
  <si>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</si>
  <si>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</si>
  <si>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</si>
  <si>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</si>
  <si>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</si>
  <si>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</si>
  <si>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</si>
  <si>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</si>
  <si>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</si>
  <si>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</si>
  <si>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</si>
  <si>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</si>
  <si>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</si>
  <si>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</si>
  <si>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</si>
  <si>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</si>
  <si>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</si>
  <si>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</si>
  <si>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</si>
  <si>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</si>
  <si>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</si>
  <si>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</si>
  <si>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</si>
  <si>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</si>
  <si>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</si>
  <si>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</si>
  <si>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</si>
  <si>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</si>
  <si>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</si>
  <si>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</si>
  <si>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</si>
  <si>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</si>
  <si>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</si>
  <si>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</si>
  <si>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</si>
  <si>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</si>
  <si>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</si>
  <si>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</si>
  <si>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</si>
  <si>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</si>
  <si>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</si>
  <si>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</si>
  <si>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</si>
  <si>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</si>
  <si>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</si>
  <si>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</si>
  <si>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</si>
  <si>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</si>
  <si>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</si>
  <si>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</si>
  <si>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</si>
  <si>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</si>
  <si>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</si>
  <si>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</si>
  <si>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</si>
  <si>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</si>
  <si>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</si>
  <si>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</si>
  <si>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</si>
  <si>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</si>
  <si>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</si>
  <si>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</si>
  <si>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</si>
  <si>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</si>
  <si>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</si>
  <si>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</si>
  <si>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</si>
  <si>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</si>
  <si>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</si>
  <si>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</si>
  <si>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</si>
  <si>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</si>
  <si>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</si>
  <si>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</si>
  <si>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</si>
  <si>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</si>
  <si>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</si>
  <si>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</si>
  <si>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</si>
  <si>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</si>
  <si>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</si>
  <si>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</si>
  <si>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</si>
  <si>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</si>
  <si>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</si>
  <si>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</si>
  <si>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</si>
  <si>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</si>
  <si>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</si>
  <si>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</si>
  <si>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</si>
  <si>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</si>
  <si>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</si>
  <si>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</si>
  <si>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</si>
  <si>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</si>
  <si>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</si>
  <si>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</si>
  <si>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</si>
  <si>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</si>
  <si>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</si>
  <si>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</si>
  <si>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</si>
  <si>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</si>
  <si>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</si>
  <si>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</si>
  <si>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</si>
  <si>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</si>
  <si>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</si>
  <si>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</si>
  <si>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</si>
  <si>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</si>
  <si>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</si>
  <si>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</si>
  <si>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</si>
  <si>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</si>
  <si>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</si>
  <si>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</si>
  <si>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</si>
  <si>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</si>
  <si>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</si>
  <si>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</si>
  <si>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</si>
  <si>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</si>
  <si>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</si>
  <si>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</si>
  <si>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</si>
  <si>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</si>
  <si>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</si>
  <si>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</si>
  <si>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</si>
  <si>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</si>
  <si>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</si>
  <si>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</si>
  <si>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</si>
  <si>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</si>
  <si>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</si>
  <si>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</si>
  <si>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</si>
  <si>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</si>
  <si>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</si>
  <si>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</si>
  <si>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</si>
  <si>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</si>
  <si>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</si>
  <si>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</si>
  <si>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</si>
  <si>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</si>
  <si>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</si>
  <si>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</si>
  <si>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</si>
  <si>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</si>
  <si>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</si>
  <si>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</si>
  <si>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</si>
  <si>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</si>
  <si>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</si>
  <si>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</si>
  <si>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</si>
  <si>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</si>
  <si>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</si>
  <si>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</si>
  <si>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</si>
  <si>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</si>
  <si>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</si>
  <si>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</si>
  <si>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</si>
  <si>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</si>
  <si>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</si>
  <si>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</si>
  <si>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</si>
  <si>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</si>
  <si>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</si>
  <si>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</si>
  <si>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</si>
  <si>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</si>
  <si>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</si>
  <si>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</si>
  <si>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</si>
  <si>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</si>
  <si>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</si>
  <si>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</si>
  <si>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</si>
  <si>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</si>
  <si>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</si>
  <si>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</si>
  <si>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</si>
  <si>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</si>
  <si>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</si>
  <si>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</si>
  <si>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</si>
  <si>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</si>
  <si>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</si>
  <si>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</si>
  <si>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</si>
  <si>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</si>
  <si>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</si>
  <si>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</si>
  <si>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</si>
  <si>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</si>
  <si>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</si>
  <si>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</si>
  <si>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</si>
  <si>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</si>
  <si>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</si>
  <si>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</si>
  <si>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</si>
  <si>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</si>
  <si>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</si>
  <si>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</si>
  <si>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</si>
  <si>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</si>
  <si>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</si>
  <si>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</si>
  <si>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</si>
  <si>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</si>
  <si>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</si>
  <si>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</si>
  <si>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</si>
  <si>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</si>
  <si>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</si>
  <si>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</si>
  <si>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</si>
  <si>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</si>
  <si>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</si>
  <si>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</si>
  <si>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</si>
  <si>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</si>
  <si>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</si>
  <si>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</si>
  <si>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</si>
  <si>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</si>
  <si>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</si>
  <si>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</si>
  <si>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</si>
  <si>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</si>
  <si>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</si>
  <si>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</si>
  <si>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</si>
  <si>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</si>
  <si>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</si>
  <si>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</si>
  <si>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</si>
  <si>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</si>
  <si>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</si>
  <si>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</si>
  <si>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</si>
  <si>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</si>
  <si>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</si>
  <si>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</si>
  <si>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</si>
  <si>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</si>
  <si>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</si>
  <si>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</si>
  <si>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</si>
  <si>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</si>
  <si>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</si>
  <si>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</si>
  <si>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</si>
  <si>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</si>
  <si>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</si>
  <si>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</si>
  <si>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</si>
  <si>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</si>
  <si>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</si>
  <si>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</si>
  <si>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</si>
  <si>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</si>
  <si>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</si>
  <si>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</si>
  <si>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</si>
  <si>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</si>
  <si>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</si>
  <si>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</si>
  <si>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</si>
  <si>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</si>
  <si>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</si>
  <si>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</si>
  <si>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</si>
  <si>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</si>
  <si>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</si>
  <si>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</si>
  <si>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</si>
  <si>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</si>
  <si>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</si>
  <si>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</si>
  <si>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</si>
  <si>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</si>
  <si>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</si>
  <si>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</si>
  <si>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</si>
  <si>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</si>
  <si>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</si>
  <si>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</si>
  <si>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</si>
  <si>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</si>
  <si>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</si>
  <si>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</si>
  <si>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</si>
  <si>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</si>
  <si>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</si>
  <si>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</si>
  <si>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</si>
  <si>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</si>
  <si>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</si>
  <si>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</si>
  <si>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</si>
  <si>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</si>
  <si>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</si>
  <si>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</si>
  <si>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</si>
  <si>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</si>
  <si>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</si>
  <si>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</si>
  <si>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</si>
  <si>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</si>
  <si>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</si>
  <si>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</si>
  <si>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</si>
  <si>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</si>
  <si>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</si>
  <si>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</si>
  <si>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</si>
  <si>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</si>
  <si>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</si>
  <si>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</si>
  <si>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</si>
  <si>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</si>
  <si>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</si>
  <si>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</si>
  <si>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</si>
  <si>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</si>
  <si>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</si>
  <si>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</si>
  <si>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</si>
  <si>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</si>
  <si>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</si>
  <si>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</si>
  <si>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</si>
  <si>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</si>
  <si>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</si>
  <si>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</si>
  <si>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</si>
  <si>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</si>
  <si>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</si>
  <si>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</si>
  <si>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</si>
  <si>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</si>
  <si>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</si>
  <si>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</si>
  <si>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</si>
  <si>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</si>
  <si>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</si>
  <si>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</si>
  <si>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</si>
  <si>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</si>
  <si>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</si>
  <si>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</si>
  <si>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</si>
  <si>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</si>
  <si>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</si>
  <si>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</si>
  <si>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</si>
  <si>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</si>
  <si>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</si>
  <si>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</si>
  <si>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</si>
  <si>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</si>
  <si>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</si>
  <si>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</si>
  <si>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</si>
  <si>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</si>
  <si>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</si>
  <si>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</si>
  <si>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</si>
  <si>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</si>
  <si>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</si>
  <si>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</si>
  <si>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</si>
  <si>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</si>
  <si>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</si>
  <si>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</si>
  <si>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</si>
  <si>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</si>
  <si>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</si>
  <si>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</si>
  <si>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</si>
  <si>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</si>
  <si>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</si>
  <si>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</si>
  <si>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</si>
  <si>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</si>
  <si>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</si>
  <si>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</si>
  <si>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</si>
  <si>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</si>
  <si>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</si>
  <si>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</si>
  <si>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</si>
  <si>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</si>
  <si>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</si>
  <si>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</si>
  <si>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</si>
  <si>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</si>
  <si>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</si>
  <si>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</si>
  <si>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</si>
  <si>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</si>
  <si>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</si>
  <si>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</si>
  <si>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</si>
  <si>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</si>
  <si>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</si>
  <si>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</si>
  <si>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</si>
  <si>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</si>
  <si>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</si>
  <si>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</si>
  <si>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</si>
  <si>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</si>
  <si>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</si>
  <si>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</si>
  <si>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</si>
  <si>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</si>
  <si>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</si>
  <si>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</si>
  <si>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</si>
  <si>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</si>
  <si>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</si>
  <si>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</si>
  <si>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</si>
  <si>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</si>
  <si>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</si>
  <si>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</si>
  <si>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</si>
  <si>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</si>
  <si>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</si>
  <si>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</si>
  <si>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</si>
  <si>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</si>
  <si>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</si>
  <si>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</si>
  <si>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</si>
  <si>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</si>
  <si>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</si>
  <si>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</si>
  <si>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</si>
  <si>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</si>
  <si>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</si>
  <si>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</si>
  <si>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</si>
  <si>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</si>
  <si>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</si>
  <si>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</si>
  <si>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</si>
  <si>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</si>
  <si>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</si>
  <si>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</si>
  <si>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</si>
  <si>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</si>
  <si>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</si>
  <si>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</si>
  <si>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</si>
  <si>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</si>
  <si>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</si>
  <si>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</si>
  <si>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</si>
  <si>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</si>
  <si>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</si>
  <si>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</si>
  <si>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</si>
  <si>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</si>
  <si>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</si>
  <si>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</si>
  <si>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</si>
  <si>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</si>
  <si>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</si>
  <si>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</si>
  <si>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</si>
  <si>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</si>
  <si>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</si>
  <si>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</si>
  <si>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</si>
  <si>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</si>
  <si>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</si>
  <si>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</si>
  <si>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</si>
  <si>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</si>
  <si>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</si>
  <si>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</si>
  <si>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</si>
  <si>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</si>
  <si>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</si>
  <si>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</si>
  <si>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</si>
  <si>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</si>
  <si>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</si>
  <si>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</si>
  <si>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</si>
  <si>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</si>
  <si>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</si>
  <si>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</si>
  <si>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</si>
  <si>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</si>
  <si>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</si>
  <si>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</si>
  <si>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</si>
  <si>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</si>
  <si>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</si>
  <si>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</si>
  <si>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</si>
  <si>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</si>
  <si>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</si>
  <si>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</si>
  <si>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</si>
  <si>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</si>
  <si>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</si>
  <si>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</si>
  <si>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</si>
  <si>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</si>
  <si>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</si>
  <si>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</si>
  <si>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</si>
  <si>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</si>
  <si>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</si>
  <si>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</si>
  <si>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</si>
  <si>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</si>
  <si>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</si>
  <si>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</si>
  <si>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</si>
  <si>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</si>
  <si>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</si>
  <si>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</si>
  <si>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</si>
  <si>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</si>
  <si>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</si>
  <si>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</si>
  <si>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</si>
  <si>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</si>
  <si>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</si>
  <si>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</si>
  <si>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</si>
  <si>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</si>
  <si>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</si>
  <si>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</si>
  <si>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</si>
  <si>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</si>
  <si>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</si>
  <si>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</si>
  <si>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</si>
  <si>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</si>
  <si>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</si>
  <si>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</si>
  <si>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</si>
  <si>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</si>
  <si>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</si>
  <si>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</si>
  <si>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</si>
  <si>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</si>
  <si>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</si>
  <si>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</si>
  <si>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</si>
  <si>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</si>
  <si>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</si>
  <si>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</si>
  <si>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</si>
  <si>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</si>
  <si>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</si>
  <si>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</si>
  <si>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</si>
  <si>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</si>
  <si>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</si>
  <si>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</si>
  <si>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</si>
  <si>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</si>
  <si>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</si>
  <si>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</si>
  <si>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</si>
  <si>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</si>
  <si>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</si>
  <si>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</si>
  <si>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</si>
  <si>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</si>
  <si>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</si>
  <si>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</si>
  <si>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</si>
  <si>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</si>
  <si>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</si>
  <si>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</si>
  <si>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</si>
  <si>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</si>
  <si>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</si>
  <si>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</si>
  <si>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</si>
  <si>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</si>
  <si>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</si>
  <si>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</si>
  <si>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</si>
  <si>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</si>
  <si>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</si>
  <si>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</si>
  <si>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</si>
  <si>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</si>
  <si>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</si>
  <si>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</si>
  <si>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</si>
  <si>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</si>
  <si>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</si>
  <si>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</si>
  <si>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</si>
  <si>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</si>
  <si>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</si>
  <si>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</si>
  <si>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</si>
  <si>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</si>
  <si>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</si>
  <si>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</si>
  <si>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</si>
  <si>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</si>
  <si>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</si>
  <si>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</si>
  <si>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</si>
  <si>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</si>
  <si>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</si>
  <si>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</si>
  <si>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</si>
  <si>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</si>
  <si>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</si>
  <si>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</si>
  <si>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</si>
  <si>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</si>
  <si>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</si>
  <si>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</si>
  <si>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</si>
  <si>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</si>
  <si>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</si>
  <si>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</si>
  <si>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</si>
  <si>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</si>
  <si>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</si>
  <si>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</si>
  <si>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</si>
  <si>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</si>
  <si>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</si>
  <si>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</si>
  <si>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</si>
  <si>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</si>
  <si>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</si>
  <si>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</si>
  <si>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</si>
  <si>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</si>
  <si>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</si>
  <si>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</si>
  <si>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</si>
  <si>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</si>
  <si>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</si>
  <si>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</si>
  <si>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</si>
  <si>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</si>
  <si>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</si>
  <si>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</si>
  <si>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</si>
  <si>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</si>
  <si>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</si>
  <si>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</si>
  <si>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</si>
  <si>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</si>
  <si>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</si>
  <si>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</si>
  <si>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</si>
  <si>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</si>
  <si>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</si>
  <si>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</si>
  <si>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</si>
  <si>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</si>
  <si>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</si>
  <si>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</si>
  <si>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</si>
  <si>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</si>
  <si>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</si>
  <si>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</si>
  <si>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</si>
  <si>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</si>
  <si>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</si>
  <si>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</si>
  <si>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</si>
  <si>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</si>
  <si>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</si>
  <si>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</si>
  <si>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</si>
  <si>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</si>
  <si>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</si>
  <si>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</si>
  <si>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</si>
  <si>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</si>
  <si>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</si>
  <si>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</si>
  <si>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</si>
  <si>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</si>
  <si>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</si>
  <si>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</si>
  <si>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</si>
  <si>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</si>
  <si>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</si>
  <si>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</si>
  <si>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</si>
  <si>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</si>
  <si>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</si>
  <si>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</si>
  <si>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</si>
  <si>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</si>
  <si>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</si>
  <si>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</si>
  <si>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</si>
  <si>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</si>
  <si>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</si>
  <si>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</si>
  <si>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</si>
  <si>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</si>
  <si>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</si>
  <si>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</si>
  <si>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</si>
  <si>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</si>
  <si>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</si>
  <si>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</si>
  <si>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</si>
  <si>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</si>
  <si>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</si>
  <si>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</si>
  <si>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</si>
  <si>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</si>
  <si>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</si>
  <si>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</si>
  <si>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</si>
  <si>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</si>
  <si>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</si>
  <si>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</si>
  <si>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</si>
  <si>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</si>
  <si>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</si>
  <si>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</si>
  <si>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</si>
  <si>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</si>
  <si>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</si>
  <si>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</si>
  <si>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</si>
  <si>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</si>
  <si>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</si>
  <si>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</si>
  <si>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</si>
  <si>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</si>
  <si>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</si>
  <si>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</si>
  <si>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</si>
  <si>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</si>
  <si>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</si>
  <si>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</si>
  <si>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</si>
  <si>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</si>
  <si>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</si>
  <si>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</si>
  <si>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</si>
  <si>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</si>
  <si>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</si>
  <si>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</si>
  <si>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</si>
  <si>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</si>
  <si>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</si>
  <si>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</si>
  <si>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</si>
  <si>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</si>
  <si>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</si>
  <si>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</si>
  <si>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</si>
  <si>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</si>
  <si>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</si>
  <si>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</si>
  <si>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</si>
  <si>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</si>
  <si>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</si>
  <si>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</si>
  <si>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</si>
  <si>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</si>
  <si>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</si>
  <si>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</si>
  <si>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</si>
  <si>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</si>
  <si>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</si>
  <si>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</si>
  <si>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</si>
  <si>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</si>
  <si>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</si>
  <si>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</si>
  <si>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</si>
  <si>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</si>
  <si>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</si>
  <si>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</si>
  <si>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</si>
  <si>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</si>
  <si>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</si>
  <si>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</si>
  <si>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</si>
  <si>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</si>
  <si>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</si>
  <si>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</si>
  <si>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</si>
  <si>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</si>
  <si>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</si>
  <si>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</si>
  <si>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</si>
  <si>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</si>
  <si>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</si>
  <si>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</si>
  <si>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</si>
  <si>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</si>
  <si>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</si>
  <si>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</si>
  <si>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</si>
  <si>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</si>
  <si>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</si>
  <si>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</si>
  <si>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</si>
  <si>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</si>
  <si>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</si>
  <si>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</si>
  <si>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</si>
  <si>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</si>
  <si>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</si>
  <si>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</si>
  <si>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</si>
  <si>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</si>
  <si>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</si>
  <si>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</si>
  <si>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</si>
  <si>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</si>
  <si>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</si>
  <si>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</si>
  <si>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</si>
  <si>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</si>
  <si>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</si>
  <si>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</si>
  <si>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</si>
  <si>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</si>
  <si>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</si>
  <si>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</si>
  <si>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</si>
  <si>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</si>
  <si>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</si>
  <si>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</si>
  <si>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</si>
  <si>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</si>
  <si>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</si>
  <si>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</si>
  <si>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</si>
  <si>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</si>
  <si>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</si>
  <si>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</si>
  <si>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</si>
  <si>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</si>
  <si>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</si>
  <si>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</si>
  <si>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</si>
  <si>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</si>
  <si>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</si>
  <si>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</si>
  <si>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</si>
  <si>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</si>
  <si>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</si>
  <si>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</si>
  <si>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</si>
  <si>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</si>
  <si>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</si>
  <si>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</si>
  <si>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</si>
  <si>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</si>
  <si>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</si>
  <si>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</si>
  <si>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</si>
  <si>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</si>
  <si>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</si>
  <si>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</si>
  <si>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</si>
  <si>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</si>
  <si>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</si>
  <si>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</si>
  <si>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</si>
  <si>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</si>
  <si>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</si>
  <si>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</si>
  <si>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</si>
  <si>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</si>
  <si>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</si>
  <si>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</si>
  <si>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</si>
  <si>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</si>
  <si>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</si>
  <si>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</si>
  <si>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</si>
  <si>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</si>
  <si>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</si>
  <si>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</si>
  <si>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</si>
  <si>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</si>
  <si>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</si>
  <si>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</si>
  <si>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</si>
  <si>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</si>
  <si>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</si>
  <si>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</si>
  <si>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</si>
  <si>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</si>
  <si>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</si>
  <si>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</si>
  <si>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</si>
  <si>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</si>
  <si>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</si>
  <si>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</si>
  <si>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</si>
  <si>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</si>
  <si>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</si>
  <si>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</si>
  <si>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</si>
  <si>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</si>
  <si>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</si>
  <si>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</si>
  <si>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</si>
  <si>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</si>
  <si>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</si>
  <si>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</si>
  <si>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</si>
  <si>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</si>
  <si>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</si>
  <si>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</si>
  <si>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</si>
  <si>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</si>
  <si>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</si>
  <si>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</si>
  <si>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</si>
  <si>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</si>
  <si>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</si>
  <si>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</si>
  <si>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</si>
  <si>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</si>
  <si>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</si>
  <si>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</si>
  <si>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</si>
  <si>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</si>
  <si>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</si>
  <si>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</si>
  <si>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</si>
  <si>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</si>
  <si>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</si>
  <si>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</si>
  <si>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</si>
  <si>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</si>
  <si>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</si>
  <si>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</si>
  <si>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</si>
  <si>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</si>
  <si>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</si>
  <si>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</si>
  <si>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</si>
  <si>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</si>
  <si>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</si>
  <si>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</si>
  <si>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</si>
  <si>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</si>
  <si>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</si>
  <si>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</si>
  <si>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</si>
  <si>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</si>
  <si>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</si>
  <si>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</si>
  <si>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</si>
  <si>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</si>
  <si>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</si>
  <si>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</si>
  <si>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</si>
  <si>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</si>
  <si>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</si>
  <si>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</si>
  <si>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</si>
  <si>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</si>
  <si>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</si>
  <si>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</si>
  <si>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</si>
  <si>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</si>
  <si>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</si>
  <si>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</si>
  <si>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</si>
  <si>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</si>
  <si>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</si>
  <si>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</si>
  <si>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</si>
  <si>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</si>
  <si>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</si>
  <si>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</si>
  <si>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</si>
  <si>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</si>
  <si>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</si>
  <si>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</si>
  <si>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</si>
  <si>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</si>
  <si>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</si>
  <si>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</si>
  <si>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</si>
  <si>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</si>
  <si>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</si>
  <si>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</si>
  <si>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</si>
  <si>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</si>
  <si>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</si>
  <si>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</si>
  <si>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</si>
  <si>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</si>
  <si>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</si>
  <si>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</si>
  <si>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</si>
  <si>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</si>
  <si>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</si>
  <si>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</si>
  <si>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</si>
  <si>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</si>
  <si>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</si>
  <si>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</si>
  <si>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</si>
  <si>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</si>
  <si>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</si>
  <si>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</si>
  <si>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</si>
  <si>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</si>
  <si>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</si>
  <si>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</si>
  <si>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</si>
  <si>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</si>
  <si>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</si>
  <si>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</si>
  <si>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</si>
  <si>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</si>
  <si>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</si>
  <si>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</si>
  <si>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</si>
  <si>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</si>
  <si>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</si>
  <si>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</si>
  <si>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</si>
  <si>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</si>
  <si>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</si>
  <si>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</si>
  <si>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</si>
  <si>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</si>
  <si>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</si>
  <si>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</si>
  <si>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</si>
  <si>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</si>
  <si>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</si>
  <si>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</si>
  <si>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</si>
  <si>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</si>
  <si>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</si>
  <si>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</si>
  <si>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</si>
  <si>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</si>
  <si>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</si>
  <si>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</si>
  <si>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</si>
  <si>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</si>
  <si>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</si>
  <si>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</si>
  <si>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</si>
  <si>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</si>
  <si>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</si>
  <si>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</si>
  <si>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</si>
  <si>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</si>
  <si>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</si>
  <si>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</si>
  <si>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</si>
  <si>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</si>
  <si>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</si>
  <si>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</si>
  <si>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</si>
  <si>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</si>
  <si>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</si>
  <si>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</si>
  <si>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</si>
  <si>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</si>
  <si>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</si>
  <si>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</si>
  <si>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</si>
  <si>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</si>
  <si>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</si>
  <si>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</si>
  <si>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</si>
  <si>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</si>
  <si>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</si>
  <si>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</si>
  <si>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</si>
  <si>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</si>
  <si>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</si>
  <si>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</si>
  <si>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</si>
  <si>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</si>
  <si>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</si>
  <si>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</si>
  <si>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</si>
  <si>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</si>
  <si>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</si>
  <si>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</si>
  <si>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</si>
  <si>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</si>
  <si>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</si>
  <si>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</si>
  <si>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</si>
  <si>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</si>
  <si>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</si>
  <si>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</si>
  <si>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</si>
  <si>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</si>
  <si>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</si>
  <si>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</si>
  <si>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</si>
  <si>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</si>
  <si>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</si>
  <si>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</si>
  <si>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</si>
  <si>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</si>
  <si>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</si>
  <si>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</si>
  <si>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</si>
  <si>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</si>
  <si>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</si>
  <si>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</si>
  <si>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</si>
  <si>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</si>
  <si>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</si>
  <si>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</si>
  <si>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</si>
  <si>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</si>
  <si>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</si>
  <si>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</si>
  <si>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</si>
  <si>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</si>
  <si>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</si>
  <si>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</si>
  <si>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</si>
  <si>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</si>
  <si>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</si>
  <si>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</si>
  <si>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</si>
  <si>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</si>
  <si>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</si>
  <si>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</si>
  <si>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</si>
  <si>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</si>
  <si>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</si>
  <si>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</si>
  <si>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</si>
  <si>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</si>
  <si>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</si>
  <si>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</si>
  <si>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</si>
  <si>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</si>
  <si>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</si>
  <si>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</si>
  <si>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</si>
  <si>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</si>
  <si>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</si>
  <si>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</si>
  <si>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</si>
  <si>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</si>
  <si>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</si>
  <si>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</si>
  <si>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</si>
  <si>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</si>
  <si>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</si>
  <si>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</si>
  <si>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</si>
  <si>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</si>
  <si>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</si>
  <si>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</si>
  <si>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</si>
  <si>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</si>
  <si>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</si>
  <si>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</si>
  <si>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</si>
  <si>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</si>
  <si>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</si>
  <si>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</si>
  <si>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</si>
  <si>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</si>
  <si>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</si>
  <si>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</si>
  <si>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</si>
  <si>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</si>
  <si>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</si>
  <si>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</si>
  <si>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</si>
  <si>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</si>
  <si>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</si>
  <si>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</si>
  <si>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</si>
  <si>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</si>
  <si>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</si>
  <si>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</si>
  <si>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</si>
  <si>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</si>
  <si>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</si>
  <si>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</si>
  <si>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</si>
  <si>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</si>
  <si>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</si>
  <si>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</si>
  <si>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</si>
  <si>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</si>
  <si>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</si>
  <si>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</si>
  <si>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</si>
  <si>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</si>
  <si>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</si>
  <si>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</si>
  <si>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</si>
  <si>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</si>
  <si>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</si>
  <si>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</si>
  <si>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</si>
  <si>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</si>
  <si>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</si>
  <si>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</si>
  <si>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</si>
  <si>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</si>
  <si>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</si>
  <si>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</si>
  <si>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</si>
  <si>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</si>
  <si>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</si>
  <si>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</si>
  <si>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</si>
  <si>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</si>
  <si>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</si>
  <si>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</si>
  <si>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</si>
  <si>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</si>
  <si>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</si>
  <si>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</si>
  <si>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</si>
  <si>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</si>
  <si>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</si>
  <si>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</si>
  <si>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</si>
  <si>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</si>
  <si>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</si>
  <si>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</si>
  <si>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</si>
  <si>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</si>
  <si>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</si>
  <si>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</si>
  <si>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</si>
  <si>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</si>
  <si>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</si>
  <si>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</si>
  <si>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</si>
  <si>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</si>
  <si>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</si>
  <si>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</si>
  <si>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</si>
  <si>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</si>
  <si>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</si>
  <si>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</si>
  <si>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</si>
  <si>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</si>
  <si>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</si>
  <si>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</si>
  <si>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</si>
  <si>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</si>
  <si>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</si>
  <si>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</si>
  <si>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</si>
  <si>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</si>
  <si>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</si>
  <si>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</si>
  <si>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</si>
  <si>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</si>
  <si>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</si>
  <si>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</si>
  <si>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</si>
  <si>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</si>
  <si>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</si>
  <si>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</si>
  <si>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</si>
  <si>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</si>
  <si>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</si>
  <si>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</si>
  <si>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</si>
  <si>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</si>
  <si>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</si>
  <si>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</si>
  <si>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</si>
  <si>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</si>
  <si>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</si>
  <si>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</si>
  <si>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</si>
  <si>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</si>
  <si>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</si>
  <si>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</si>
  <si>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</si>
  <si>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</si>
  <si>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</si>
  <si>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</si>
  <si>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</si>
  <si>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</si>
  <si>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</si>
  <si>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</si>
  <si>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</si>
  <si>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</si>
  <si>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</si>
  <si>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</si>
  <si>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</si>
  <si>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</si>
  <si>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</si>
  <si>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</si>
  <si>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</si>
  <si>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</si>
  <si>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</si>
  <si>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</si>
  <si>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</si>
  <si>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</si>
  <si>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</si>
  <si>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</si>
  <si>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</si>
  <si>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</si>
  <si>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</si>
  <si>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</si>
  <si>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</si>
  <si>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</si>
  <si>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</si>
  <si>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</si>
  <si>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</si>
  <si>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</si>
  <si>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</si>
  <si>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</si>
  <si>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</si>
  <si>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</si>
  <si>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</si>
  <si>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</si>
  <si>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</si>
  <si>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</si>
  <si>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</si>
  <si>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</si>
  <si>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</si>
  <si>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</si>
  <si>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</si>
  <si>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</si>
  <si>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</si>
  <si>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</si>
  <si>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</si>
  <si>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</si>
  <si>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</si>
  <si>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</si>
  <si>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</si>
  <si>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</si>
  <si>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</si>
  <si>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</si>
  <si>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</si>
  <si>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</si>
  <si>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</si>
  <si>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</si>
  <si>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</si>
  <si>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</si>
  <si>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</si>
  <si>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</si>
  <si>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</si>
  <si>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</si>
  <si>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</si>
  <si>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</si>
  <si>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</si>
  <si>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</si>
  <si>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</si>
  <si>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</si>
  <si>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</si>
  <si>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</si>
  <si>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</si>
  <si>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</si>
  <si>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</si>
  <si>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</si>
  <si>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</si>
  <si>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</si>
  <si>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</si>
  <si>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</si>
  <si>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</si>
  <si>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</si>
  <si>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</si>
  <si>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</si>
  <si>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</si>
  <si>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</si>
  <si>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</si>
  <si>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</si>
  <si>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</si>
  <si>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</si>
  <si>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</si>
  <si>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</si>
  <si>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</si>
  <si>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</si>
  <si>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</si>
  <si>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</si>
  <si>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</si>
  <si>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</si>
  <si>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</si>
  <si>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</si>
  <si>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</si>
  <si>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</si>
  <si>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</si>
  <si>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</si>
  <si>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</si>
  <si>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</si>
  <si>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</si>
  <si>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</si>
  <si>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</si>
  <si>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</si>
  <si>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</si>
  <si>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</si>
  <si>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</si>
  <si>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</si>
  <si>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</si>
  <si>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</si>
  <si>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</si>
  <si>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</si>
  <si>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</si>
  <si>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</si>
  <si>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</si>
  <si>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</si>
  <si>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</si>
  <si>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</si>
  <si>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</si>
  <si>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</si>
  <si>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</si>
  <si>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</si>
  <si>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</si>
  <si>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</si>
  <si>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</si>
  <si>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</si>
  <si>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</si>
  <si>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</si>
  <si>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</si>
  <si>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</si>
  <si>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</si>
  <si>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</si>
  <si>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</si>
  <si>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</si>
  <si>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</si>
  <si>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</si>
  <si>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</si>
  <si>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</si>
  <si>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</si>
  <si>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</si>
  <si>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</si>
  <si>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</si>
  <si>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</si>
  <si>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</si>
  <si>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</si>
  <si>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</si>
  <si>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</si>
  <si>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</si>
  <si>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</si>
  <si>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</si>
  <si>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</si>
  <si>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</si>
  <si>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</si>
  <si>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</si>
  <si>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</si>
  <si>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</si>
  <si>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</si>
  <si>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</si>
  <si>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</si>
  <si>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</si>
  <si>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</si>
  <si>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</si>
  <si>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</si>
  <si>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</si>
  <si>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</si>
  <si>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</si>
  <si>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</si>
  <si>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</si>
  <si>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</si>
  <si>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</si>
  <si>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</si>
  <si>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</si>
  <si>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</si>
  <si>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</si>
  <si>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</si>
  <si>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</si>
  <si>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</si>
  <si>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</si>
  <si>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</si>
  <si>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</si>
  <si>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</si>
  <si>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</si>
  <si>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</si>
  <si>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</si>
  <si>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</si>
  <si>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</si>
  <si>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</si>
  <si>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</si>
  <si>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</si>
  <si>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</si>
  <si>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</si>
  <si>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</si>
  <si>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</si>
  <si>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</si>
  <si>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</si>
  <si>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</si>
  <si>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</si>
  <si>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</si>
  <si>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</si>
  <si>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</si>
  <si>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</si>
  <si>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</si>
  <si>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</si>
  <si>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</si>
  <si>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</si>
  <si>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</si>
  <si>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</si>
  <si>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</si>
  <si>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</si>
  <si>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</si>
  <si>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</si>
  <si>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</si>
  <si>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</si>
  <si>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</si>
  <si>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</si>
  <si>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</si>
  <si>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</si>
  <si>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</si>
  <si>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</si>
  <si>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</si>
  <si>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</si>
  <si>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</si>
  <si>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</si>
  <si>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</si>
  <si>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</si>
  <si>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</si>
  <si>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</si>
  <si>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</si>
  <si>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</si>
  <si>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</si>
  <si>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</si>
  <si>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</si>
  <si>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</si>
  <si>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</si>
  <si>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</si>
  <si>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</si>
  <si>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</si>
  <si>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</si>
  <si>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</si>
  <si>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</si>
  <si>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</si>
  <si>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</si>
  <si>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</si>
  <si>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</si>
  <si>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</si>
  <si>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</si>
  <si>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</si>
  <si>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</si>
  <si>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</si>
  <si>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</si>
  <si>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</si>
  <si>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</si>
  <si>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</si>
  <si>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</si>
  <si>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</si>
  <si>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</si>
  <si>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</si>
  <si>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</si>
  <si>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</si>
  <si>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</si>
  <si>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</si>
  <si>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</si>
  <si>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</si>
  <si>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</si>
  <si>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</si>
  <si>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</si>
  <si>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</si>
  <si>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</si>
  <si>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</si>
  <si>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</si>
  <si>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</si>
  <si>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</si>
  <si>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</si>
  <si>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</si>
  <si>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</si>
  <si>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</si>
  <si>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</si>
  <si>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</si>
  <si>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</si>
  <si>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</si>
  <si>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</si>
  <si>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</si>
  <si>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</si>
  <si>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</si>
  <si>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</si>
  <si>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</si>
  <si>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</si>
  <si>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</si>
  <si>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</si>
  <si>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</si>
  <si>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</si>
  <si>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</si>
  <si>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</si>
  <si>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</si>
  <si>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</si>
  <si>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</si>
  <si>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</si>
  <si>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</si>
  <si>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</si>
  <si>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</si>
  <si>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</si>
  <si>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</si>
  <si>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</si>
  <si>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</si>
  <si>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</si>
  <si>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</si>
  <si>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</si>
  <si>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</si>
  <si>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</si>
  <si>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</si>
  <si>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</si>
  <si>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</si>
  <si>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</si>
  <si>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</si>
  <si>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</si>
  <si>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</si>
  <si>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</si>
  <si>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</si>
  <si>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</si>
  <si>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</si>
  <si>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</si>
  <si>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</si>
  <si>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</si>
  <si>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</si>
  <si>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</si>
  <si>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</si>
  <si>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</si>
  <si>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</si>
  <si>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</si>
  <si>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</si>
  <si>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</si>
  <si>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</si>
  <si>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</si>
  <si>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</si>
  <si>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</si>
  <si>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</si>
  <si>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</si>
  <si>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</si>
  <si>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</si>
  <si>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</si>
  <si>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</si>
  <si>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</si>
  <si>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</si>
  <si>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</si>
  <si>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</si>
  <si>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</si>
  <si>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</si>
  <si>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</si>
  <si>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</si>
  <si>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</si>
  <si>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</si>
  <si>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</si>
  <si>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</si>
  <si>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</si>
  <si>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</si>
  <si>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</si>
  <si>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</si>
  <si>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</si>
  <si>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</si>
  <si>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</si>
  <si>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</si>
  <si>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</si>
  <si>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</si>
  <si>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</si>
  <si>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</si>
  <si>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</si>
  <si>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</si>
  <si>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</si>
  <si>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</si>
  <si>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</si>
  <si>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</si>
  <si>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</si>
  <si>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</si>
  <si>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</si>
  <si>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</si>
  <si>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</si>
  <si>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</si>
  <si>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</si>
  <si>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</si>
  <si>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</si>
  <si>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</si>
  <si>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</si>
  <si>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</si>
  <si>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</si>
  <si>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</si>
  <si>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</si>
  <si>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</si>
  <si>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</si>
  <si>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</si>
  <si>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</si>
  <si>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</si>
  <si>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</si>
  <si>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</si>
  <si>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</si>
  <si>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</si>
  <si>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</si>
  <si>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</si>
  <si>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</si>
  <si>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</si>
  <si>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</si>
  <si>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</si>
  <si>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</si>
  <si>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</si>
  <si>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</si>
  <si>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</si>
  <si>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</si>
  <si>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</si>
  <si>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</si>
  <si>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</si>
  <si>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</si>
  <si>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</si>
  <si>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</si>
  <si>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</si>
  <si>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</si>
  <si>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</si>
  <si>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</si>
  <si>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</si>
  <si>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</si>
  <si>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</si>
  <si>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</si>
  <si>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</si>
  <si>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</si>
  <si>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</si>
  <si>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</si>
  <si>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</si>
  <si>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</si>
  <si>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</si>
  <si>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</si>
  <si>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</si>
  <si>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</si>
  <si>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</si>
  <si>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</si>
  <si>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</si>
  <si>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</si>
  <si>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</si>
  <si>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</si>
  <si>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</si>
  <si>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</si>
  <si>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</si>
  <si>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</si>
  <si>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</si>
  <si>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</si>
  <si>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</si>
  <si>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</si>
  <si>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</si>
  <si>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</si>
  <si>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</si>
  <si>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</si>
  <si>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</si>
  <si>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</si>
  <si>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</si>
  <si>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</si>
  <si>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</si>
  <si>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</si>
  <si>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</si>
  <si>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</si>
  <si>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</si>
  <si>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</si>
  <si>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</si>
  <si>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</si>
  <si>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</si>
  <si>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</si>
  <si>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</si>
  <si>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</si>
  <si>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</si>
  <si>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</si>
  <si>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</si>
  <si>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</si>
  <si>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</si>
  <si>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</si>
  <si>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</si>
  <si>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</si>
  <si>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</si>
  <si>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</si>
  <si>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</si>
  <si>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</si>
  <si>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</si>
  <si>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</si>
  <si>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</si>
  <si>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</si>
  <si>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</si>
  <si>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</si>
  <si>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</si>
  <si>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</si>
  <si>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</si>
  <si>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</si>
  <si>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</si>
  <si>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</si>
  <si>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</si>
  <si>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</si>
  <si>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</si>
  <si>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</si>
  <si>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</si>
  <si>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</si>
  <si>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</si>
  <si>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</si>
  <si>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</si>
  <si>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</si>
  <si>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</si>
  <si>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</si>
  <si>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</si>
  <si>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</si>
  <si>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</si>
  <si>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</si>
  <si>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</si>
  <si>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</si>
  <si>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</si>
  <si>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</si>
  <si>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</si>
  <si>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</si>
  <si>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</si>
  <si>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</si>
  <si>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</si>
  <si>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</si>
  <si>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</si>
  <si>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</si>
  <si>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</si>
  <si>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</si>
  <si>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</si>
  <si>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</si>
  <si>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</si>
  <si>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</si>
  <si>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</si>
  <si>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</si>
  <si>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</si>
  <si>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</si>
  <si>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</si>
  <si>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</si>
  <si>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</si>
  <si>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</si>
  <si>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</si>
  <si>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</si>
  <si>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</si>
  <si>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</si>
  <si>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</si>
  <si>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</si>
  <si>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</si>
  <si>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</si>
  <si>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</si>
  <si>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</si>
  <si>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</si>
  <si>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</si>
  <si>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</si>
  <si>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</si>
  <si>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</si>
  <si>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</si>
  <si>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</si>
  <si>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</si>
  <si>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</si>
  <si>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</si>
  <si>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</si>
  <si>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</si>
  <si>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</si>
  <si>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</si>
  <si>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</si>
  <si>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</si>
  <si>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</si>
  <si>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</si>
  <si>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</si>
  <si>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</si>
  <si>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</si>
  <si>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</si>
  <si>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</si>
  <si>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</si>
  <si>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</si>
  <si>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</si>
  <si>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</si>
  <si>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</si>
  <si>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</si>
  <si>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</si>
  <si>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</si>
  <si>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</si>
  <si>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</si>
  <si>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</si>
  <si>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</si>
  <si>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</si>
  <si>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</si>
  <si>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</si>
  <si>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</si>
  <si>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</si>
  <si>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</si>
  <si>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</si>
  <si>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</si>
  <si>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</si>
  <si>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</si>
  <si>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</si>
  <si>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</si>
  <si>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</si>
  <si>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</si>
  <si>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</si>
  <si>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</si>
  <si>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</si>
  <si>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</si>
  <si>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</si>
  <si>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</si>
  <si>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</si>
  <si>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</si>
  <si>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</si>
  <si>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</si>
  <si>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</si>
  <si>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</si>
  <si>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</si>
  <si>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</si>
  <si>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</si>
  <si>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</si>
  <si>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</si>
  <si>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</si>
  <si>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</si>
  <si>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</si>
  <si>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</si>
  <si>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</si>
  <si>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</si>
  <si>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</si>
  <si>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</si>
  <si>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</si>
  <si>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</si>
  <si>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</si>
  <si>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</si>
  <si>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</si>
  <si>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</si>
  <si>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</si>
  <si>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</si>
  <si>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</si>
  <si>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</si>
  <si>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</si>
  <si>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</si>
  <si>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</si>
  <si>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</si>
  <si>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</si>
  <si>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</si>
  <si>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</si>
  <si>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</si>
  <si>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</si>
  <si>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</si>
  <si>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</si>
  <si>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</si>
  <si>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</si>
  <si>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</si>
  <si>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</si>
  <si>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</si>
  <si>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</si>
  <si>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</si>
  <si>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</si>
  <si>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</si>
  <si>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</si>
  <si>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</si>
  <si>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</si>
  <si>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</si>
  <si>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</si>
  <si>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</si>
  <si>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</si>
  <si>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</si>
  <si>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</si>
  <si>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</si>
  <si>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</si>
  <si>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</si>
  <si>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</si>
  <si>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</si>
  <si>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</si>
  <si>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</si>
  <si>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</si>
  <si>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</si>
  <si>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</si>
  <si>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</si>
  <si>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</si>
  <si>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</si>
  <si>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</si>
  <si>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</si>
  <si>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</si>
  <si>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</si>
  <si>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</si>
  <si>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</si>
  <si>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</si>
  <si>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</si>
  <si>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</si>
  <si>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</si>
  <si>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</si>
  <si>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</si>
  <si>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</si>
  <si>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</si>
  <si>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</si>
  <si>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</si>
  <si>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</si>
  <si>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</si>
  <si>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</si>
  <si>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</si>
  <si>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</si>
  <si>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</si>
  <si>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</si>
  <si>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</si>
  <si>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</si>
  <si>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</si>
  <si>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</si>
  <si>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</si>
  <si>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</si>
  <si>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</si>
  <si>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</si>
  <si>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</si>
  <si>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</si>
  <si>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</si>
  <si>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</si>
  <si>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</si>
  <si>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</si>
  <si>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</si>
  <si>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</si>
  <si>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</si>
  <si>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</si>
  <si>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</si>
  <si>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</si>
  <si>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</si>
  <si>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</si>
  <si>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</si>
  <si>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</si>
  <si>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</si>
  <si>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</si>
  <si>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</si>
  <si>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</si>
  <si>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</si>
  <si>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</si>
  <si>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</si>
  <si>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</si>
  <si>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</si>
  <si>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</si>
  <si>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</si>
  <si>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</si>
  <si>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</si>
  <si>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</si>
  <si>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</si>
  <si>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</si>
  <si>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</si>
  <si>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</si>
  <si>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</si>
  <si>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</si>
  <si>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</si>
  <si>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</si>
  <si>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</si>
  <si>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</si>
  <si>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</si>
  <si>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</si>
  <si>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</si>
  <si>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</si>
  <si>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</si>
  <si>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</si>
  <si>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</si>
  <si>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</si>
  <si>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</si>
  <si>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</si>
  <si>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</si>
  <si>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</si>
  <si>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</si>
  <si>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</si>
  <si>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</si>
  <si>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</si>
  <si>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</si>
  <si>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</si>
  <si>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</si>
  <si>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</si>
  <si>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</si>
  <si>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</si>
  <si>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</si>
  <si>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</si>
  <si>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</si>
  <si>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</si>
  <si>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</si>
  <si>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</si>
  <si>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</si>
  <si>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</si>
  <si>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</si>
  <si>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</si>
  <si>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</si>
  <si>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</si>
  <si>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</si>
  <si>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</si>
  <si>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</si>
  <si>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</si>
  <si>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</si>
  <si>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</si>
  <si>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</si>
  <si>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</si>
  <si>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</si>
  <si>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</si>
  <si>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</si>
  <si>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</si>
  <si>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</si>
  <si>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</si>
  <si>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</si>
  <si>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</si>
  <si>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</si>
  <si>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</si>
  <si>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</si>
  <si>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</si>
  <si>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</si>
  <si>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</si>
  <si>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</si>
  <si>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</si>
  <si>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</si>
  <si>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</si>
  <si>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</si>
  <si>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</si>
  <si>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</si>
  <si>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</si>
  <si>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</si>
  <si>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</si>
  <si>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</si>
  <si>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</si>
  <si>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</si>
  <si>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</si>
  <si>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</si>
  <si>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</si>
  <si>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</si>
  <si>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</si>
  <si>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</si>
  <si>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</si>
  <si>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</si>
  <si>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</si>
  <si>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</si>
  <si>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</si>
  <si>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</si>
  <si>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</si>
  <si>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</si>
  <si>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</si>
  <si>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</si>
  <si>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</si>
  <si>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</si>
  <si>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</si>
  <si>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</si>
  <si>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</si>
  <si>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</si>
  <si>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</si>
  <si>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</si>
  <si>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</si>
  <si>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</si>
  <si>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</si>
  <si>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</si>
  <si>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</si>
  <si>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</si>
  <si>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</si>
  <si>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</si>
  <si>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</si>
  <si>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</si>
  <si>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</si>
  <si>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</si>
  <si>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</si>
  <si>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</si>
  <si>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</si>
  <si>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</si>
  <si>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</si>
  <si>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</si>
  <si>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</si>
  <si>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</si>
  <si>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</si>
  <si>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</si>
  <si>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</si>
  <si>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</si>
  <si>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</si>
  <si>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</si>
  <si>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</si>
  <si>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</si>
  <si>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</si>
  <si>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</si>
  <si>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</si>
  <si>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</si>
  <si>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</si>
  <si>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</si>
  <si>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</si>
  <si>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</si>
  <si>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</si>
  <si>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</si>
  <si>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</si>
  <si>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</si>
  <si>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</si>
  <si>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</si>
  <si>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</si>
  <si>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</si>
  <si>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</si>
  <si>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</si>
  <si>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</si>
  <si>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</si>
  <si>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</si>
  <si>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</si>
  <si>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</si>
  <si>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</si>
  <si>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</si>
  <si>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</si>
  <si>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</si>
  <si>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</si>
  <si>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</si>
  <si>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</si>
  <si>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</si>
  <si>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</si>
  <si>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</si>
  <si>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</si>
  <si>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</si>
  <si>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</si>
  <si>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</si>
  <si>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</si>
  <si>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</si>
  <si>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</si>
  <si>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</si>
  <si>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</si>
  <si>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</si>
  <si>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</si>
  <si>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</si>
  <si>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</si>
  <si>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</si>
  <si>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</si>
  <si>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</si>
  <si>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</si>
  <si>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</si>
  <si>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</si>
  <si>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</si>
  <si>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</si>
  <si>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</si>
  <si>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</si>
  <si>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</si>
  <si>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</si>
  <si>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</si>
  <si>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</si>
  <si>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</si>
  <si>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</si>
  <si>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</si>
  <si>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</si>
  <si>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</si>
  <si>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</si>
  <si>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</si>
  <si>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</si>
  <si>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</si>
  <si>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</si>
  <si>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</si>
  <si>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</si>
  <si>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</si>
  <si>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</si>
  <si>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</si>
  <si>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</si>
  <si>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</si>
  <si>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</si>
  <si>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</si>
  <si>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</si>
  <si>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</si>
  <si>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</si>
  <si>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</si>
  <si>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</si>
  <si>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</si>
  <si>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</si>
  <si>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</si>
  <si>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</si>
  <si>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</si>
  <si>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</si>
  <si>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</si>
  <si>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</si>
  <si>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</si>
  <si>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</si>
  <si>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</si>
  <si>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</si>
  <si>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</si>
  <si>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</si>
  <si>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</si>
  <si>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</si>
  <si>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</si>
  <si>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</si>
  <si>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</si>
  <si>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</si>
  <si>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</si>
  <si>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</si>
  <si>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</si>
  <si>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</si>
  <si>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</si>
  <si>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</si>
  <si>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</si>
  <si>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</si>
  <si>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</si>
  <si>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</si>
  <si>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</si>
  <si>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</si>
  <si>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</si>
  <si>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</si>
  <si>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</si>
  <si>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</si>
  <si>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</si>
  <si>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</si>
  <si>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</si>
  <si>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</si>
  <si>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</si>
  <si>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</si>
  <si>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</si>
  <si>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</si>
  <si>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</si>
  <si>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</si>
  <si>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</si>
  <si>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</si>
  <si>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</si>
  <si>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</si>
  <si>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</si>
  <si>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</si>
  <si>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</si>
  <si>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</si>
  <si>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</si>
  <si>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</si>
  <si>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</si>
  <si>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</si>
  <si>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</si>
  <si>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</si>
  <si>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</si>
  <si>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</si>
  <si>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</si>
  <si>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</si>
  <si>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</si>
  <si>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</si>
  <si>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</si>
  <si>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</si>
  <si>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</si>
  <si>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</si>
  <si>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</si>
  <si>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</si>
  <si>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</si>
  <si>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</si>
  <si>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</si>
  <si>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</si>
  <si>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</si>
  <si>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</si>
  <si>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</si>
  <si>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</si>
  <si>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</si>
  <si>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</si>
  <si>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</si>
  <si>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</si>
  <si>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</si>
  <si>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</si>
  <si>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</si>
  <si>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</si>
  <si>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</si>
  <si>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</si>
  <si>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</si>
  <si>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</si>
  <si>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</si>
  <si>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</si>
  <si>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</si>
  <si>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</si>
  <si>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</si>
  <si>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</si>
  <si>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</si>
  <si>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</si>
  <si>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</si>
  <si>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</si>
  <si>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</si>
  <si>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</si>
  <si>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</si>
  <si>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</si>
  <si>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</si>
  <si>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</si>
  <si>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</si>
  <si>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</si>
  <si>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</si>
  <si>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</si>
  <si>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</si>
  <si>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</si>
  <si>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</si>
  <si>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</si>
  <si>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</si>
  <si>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</si>
  <si>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</si>
  <si>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</si>
  <si>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</si>
  <si>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</si>
  <si>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</si>
  <si>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</si>
  <si>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</si>
  <si>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</si>
  <si>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</si>
  <si>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</si>
  <si>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</si>
  <si>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</si>
  <si>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</si>
  <si>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</si>
  <si>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</si>
  <si>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</si>
  <si>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</si>
  <si>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</si>
  <si>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</si>
  <si>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</si>
  <si>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</si>
  <si>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</si>
  <si>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</si>
  <si>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</si>
  <si>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</si>
  <si>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</si>
  <si>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</si>
  <si>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</si>
  <si>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</si>
  <si>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</si>
  <si>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</si>
  <si>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</si>
  <si>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</si>
  <si>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</si>
  <si>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</si>
  <si>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</si>
  <si>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</si>
  <si>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</si>
  <si>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</si>
  <si>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</si>
  <si>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</si>
  <si>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</si>
  <si>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</si>
  <si>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</si>
  <si>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</si>
  <si>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</si>
  <si>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</si>
  <si>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</si>
  <si>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</si>
  <si>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</si>
  <si>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</si>
  <si>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</si>
  <si>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</si>
  <si>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</si>
  <si>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</si>
  <si>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</si>
  <si>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</si>
  <si>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</si>
  <si>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</si>
  <si>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</si>
  <si>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</si>
  <si>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</si>
  <si>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</si>
  <si>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</si>
  <si>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</si>
  <si>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</si>
  <si>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</si>
  <si>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</si>
  <si>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</si>
  <si>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</si>
  <si>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</si>
  <si>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</si>
  <si>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</si>
  <si>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</si>
  <si>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</si>
  <si>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</si>
  <si>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</si>
  <si>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</si>
  <si>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</si>
  <si>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</si>
  <si>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</si>
  <si>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</si>
  <si>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</si>
  <si>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</si>
  <si>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</si>
  <si>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</si>
  <si>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</si>
  <si>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</si>
  <si>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</si>
  <si>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</si>
  <si>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</si>
  <si>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</si>
  <si>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</si>
  <si>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</si>
  <si>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</si>
  <si>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</si>
  <si>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</si>
  <si>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</si>
  <si>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</si>
  <si>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</si>
  <si>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</si>
  <si>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</si>
  <si>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</si>
  <si>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</si>
  <si>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</si>
  <si>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</si>
  <si>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</si>
  <si>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</si>
  <si>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</si>
  <si>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</si>
  <si>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</si>
  <si>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</si>
  <si>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</si>
  <si>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</si>
  <si>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</si>
  <si>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</si>
  <si>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</si>
  <si>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</si>
  <si>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</si>
  <si>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</si>
  <si>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</si>
  <si>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</si>
  <si>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</si>
  <si>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</si>
  <si>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</si>
  <si>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</si>
  <si>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</si>
  <si>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</si>
  <si>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</si>
  <si>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</si>
  <si>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</si>
  <si>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</si>
  <si>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</si>
  <si>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</si>
  <si>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</si>
  <si>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</si>
  <si>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</si>
  <si>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</si>
  <si>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</si>
  <si>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</si>
  <si>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</si>
  <si>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</si>
  <si>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</si>
  <si>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</si>
  <si>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</si>
  <si>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</si>
  <si>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</si>
  <si>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</si>
  <si>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</si>
  <si>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</si>
  <si>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</si>
  <si>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</si>
  <si>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</si>
  <si>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</si>
  <si>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</si>
  <si>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</si>
  <si>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</si>
  <si>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</si>
  <si>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</si>
  <si>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</si>
  <si>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</si>
  <si>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</si>
  <si>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</si>
  <si>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</si>
  <si>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</si>
  <si>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</si>
  <si>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</si>
  <si>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</si>
  <si>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</si>
  <si>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</si>
  <si>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</si>
  <si>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</si>
  <si>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</si>
  <si>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</si>
  <si>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</si>
  <si>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</si>
  <si>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</si>
  <si>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</si>
  <si>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</si>
  <si>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</si>
  <si>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</si>
  <si>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</si>
  <si>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</si>
  <si>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</si>
  <si>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</si>
  <si>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</si>
  <si>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</si>
  <si>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</si>
  <si>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</si>
  <si>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</si>
  <si>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</si>
  <si>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</si>
  <si>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</si>
  <si>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</si>
  <si>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</si>
  <si>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</si>
  <si>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</si>
  <si>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</si>
  <si>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</si>
  <si>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</si>
  <si>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</si>
  <si>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</si>
  <si>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</si>
  <si>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</si>
  <si>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</si>
  <si>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</si>
  <si>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</si>
  <si>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</si>
  <si>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</si>
  <si>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</si>
  <si>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</si>
  <si>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</si>
  <si>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</si>
  <si>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</si>
  <si>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</si>
  <si>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</si>
  <si>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</si>
  <si>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</si>
  <si>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</si>
  <si>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</si>
  <si>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</si>
  <si>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</si>
  <si>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</si>
  <si>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</si>
  <si>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</si>
  <si>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</si>
  <si>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</si>
  <si>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</si>
  <si>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</si>
  <si>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</si>
  <si>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</si>
  <si>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</si>
  <si>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</si>
  <si>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</si>
  <si>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</si>
  <si>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</si>
  <si>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</si>
  <si>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</si>
  <si>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</si>
  <si>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</si>
  <si>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</si>
  <si>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</si>
  <si>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</si>
  <si>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</si>
  <si>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</si>
  <si>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</si>
  <si>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</si>
  <si>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</si>
  <si>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</si>
  <si>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</si>
  <si>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</si>
  <si>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</si>
  <si>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</si>
  <si>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</si>
  <si>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</si>
  <si>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</si>
  <si>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</si>
  <si>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</si>
  <si>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</si>
  <si>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</si>
  <si>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</si>
  <si>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</si>
  <si>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</si>
  <si>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</si>
  <si>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</si>
  <si>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</si>
  <si>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</si>
  <si>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</si>
  <si>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</si>
  <si>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</si>
  <si>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</si>
  <si>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</si>
  <si>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</si>
  <si>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</si>
  <si>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</si>
  <si>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</si>
  <si>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</si>
  <si>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</si>
  <si>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</si>
  <si>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</si>
  <si>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</si>
  <si>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</si>
  <si>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</si>
  <si>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</si>
  <si>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</si>
  <si>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</si>
  <si>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</si>
  <si>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</si>
  <si>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</si>
  <si>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</si>
  <si>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</si>
  <si>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</si>
  <si>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</si>
  <si>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</si>
  <si>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</si>
  <si>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</si>
  <si>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</si>
  <si>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</si>
  <si>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</si>
  <si>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</si>
  <si>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</si>
  <si>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</si>
  <si>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</si>
  <si>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</si>
  <si>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</si>
  <si>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</si>
  <si>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</si>
  <si>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</si>
  <si>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</si>
  <si>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</si>
  <si>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</si>
  <si>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</si>
  <si>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</si>
  <si>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</si>
  <si>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</si>
  <si>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</si>
  <si>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</si>
  <si>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</si>
  <si>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</si>
  <si>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</si>
  <si>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</si>
  <si>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</si>
  <si>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</si>
  <si>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</si>
  <si>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</si>
  <si>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</si>
  <si>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</si>
  <si>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</si>
  <si>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</si>
  <si>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</si>
  <si>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</si>
  <si>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</si>
  <si>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</si>
  <si>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</si>
  <si>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</si>
  <si>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</si>
  <si>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</si>
  <si>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</si>
  <si>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</si>
  <si>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</si>
  <si>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</si>
  <si>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</si>
  <si>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</si>
  <si>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</si>
  <si>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</si>
  <si>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</si>
  <si>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</si>
  <si>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</si>
  <si>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</si>
  <si>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</si>
  <si>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</si>
  <si>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</si>
  <si>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</si>
  <si>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</si>
  <si>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</si>
  <si>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</si>
  <si>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</si>
  <si>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</si>
  <si>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</si>
  <si>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</si>
  <si>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</si>
  <si>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</si>
  <si>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</si>
  <si>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</si>
  <si>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</si>
  <si>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</si>
  <si>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</si>
  <si>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</si>
  <si>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</si>
  <si>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</si>
  <si>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</si>
  <si>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</si>
  <si>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</si>
  <si>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</si>
  <si>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</si>
  <si>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</si>
  <si>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</si>
  <si>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</si>
  <si>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</si>
  <si>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</si>
  <si>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</si>
  <si>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</si>
  <si>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</si>
  <si>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</si>
  <si>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</si>
  <si>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</si>
  <si>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</si>
  <si>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</si>
  <si>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</si>
  <si>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</si>
  <si>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</si>
  <si>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</si>
  <si>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</si>
  <si>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</si>
  <si>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</si>
  <si>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</si>
  <si>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</si>
  <si>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</si>
  <si>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</si>
  <si>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</si>
  <si>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</si>
  <si>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</si>
  <si>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</si>
  <si>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</si>
  <si>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</si>
  <si>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</si>
  <si>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</si>
  <si>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</si>
  <si>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</si>
  <si>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</si>
  <si>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</si>
  <si>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</si>
  <si>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</si>
  <si>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</si>
  <si>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</si>
  <si>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</si>
  <si>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</si>
  <si>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</si>
  <si>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</si>
  <si>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</si>
  <si>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</si>
  <si>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</si>
  <si>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</si>
  <si>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</si>
  <si>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</si>
  <si>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</si>
  <si>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</si>
  <si>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</si>
  <si>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</si>
  <si>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</si>
  <si>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</si>
  <si>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</si>
  <si>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</si>
  <si>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</si>
  <si>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</si>
  <si>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</si>
  <si>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</si>
  <si>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</si>
  <si>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</si>
  <si>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</si>
  <si>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</si>
  <si>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</si>
  <si>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</si>
  <si>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</si>
  <si>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</si>
  <si>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</si>
  <si>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</si>
  <si>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</si>
  <si>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</si>
  <si>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</si>
  <si>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</si>
  <si>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</si>
  <si>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</si>
  <si>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</si>
  <si>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</si>
  <si>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</si>
  <si>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</si>
  <si>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</si>
  <si>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</si>
  <si>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</si>
  <si>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</si>
  <si>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</si>
  <si>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</si>
  <si>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</si>
  <si>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</si>
  <si>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</si>
  <si>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</si>
  <si>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</si>
  <si>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</si>
  <si>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</si>
  <si>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</si>
  <si>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</si>
  <si>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</si>
  <si>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</si>
  <si>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</si>
  <si>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</si>
  <si>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</si>
  <si>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</si>
  <si>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</si>
  <si>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</si>
  <si>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</si>
  <si>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</si>
  <si>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</si>
  <si>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</si>
  <si>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</si>
  <si>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</si>
  <si>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</si>
  <si>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</si>
  <si>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</si>
  <si>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</si>
  <si>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</si>
  <si>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</si>
  <si>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</si>
  <si>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</si>
  <si>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</si>
  <si>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</si>
  <si>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</si>
  <si>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</si>
  <si>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</si>
  <si>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</si>
  <si>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</si>
  <si>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</si>
  <si>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</si>
  <si>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</si>
  <si>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</si>
  <si>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</si>
  <si>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</si>
  <si>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</si>
  <si>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</si>
  <si>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</si>
  <si>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</si>
  <si>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</si>
  <si>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</si>
  <si>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</si>
  <si>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</si>
  <si>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</si>
  <si>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</si>
  <si>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</si>
  <si>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</si>
  <si>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</si>
  <si>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</si>
  <si>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</si>
  <si>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</si>
  <si>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</si>
  <si>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</si>
  <si>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</si>
  <si>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</si>
  <si>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</si>
  <si>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</si>
  <si>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</si>
  <si>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</si>
  <si>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</si>
  <si>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</si>
  <si>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</si>
  <si>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</si>
  <si>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</si>
  <si>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</si>
  <si>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</si>
  <si>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</si>
  <si>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</si>
  <si>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</si>
  <si>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</si>
  <si>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</si>
  <si>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</si>
  <si>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</si>
  <si>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</si>
  <si>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</si>
  <si>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</si>
  <si>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</si>
  <si>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</si>
  <si>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</si>
  <si>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</si>
  <si>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</si>
  <si>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</si>
  <si>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</si>
  <si>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</si>
  <si>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</si>
  <si>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</si>
  <si>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</si>
  <si>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</si>
  <si>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</si>
  <si>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</si>
  <si>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</si>
  <si>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</si>
  <si>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</si>
  <si>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</si>
  <si>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</si>
  <si>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</si>
  <si>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</si>
  <si>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</si>
  <si>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</si>
  <si>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</si>
  <si>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</si>
  <si>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</si>
  <si>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</si>
  <si>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</si>
  <si>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</si>
  <si>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</si>
  <si>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</si>
  <si>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</si>
  <si>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</si>
  <si>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</si>
  <si>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</si>
  <si>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</si>
  <si>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</si>
  <si>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</si>
  <si>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</si>
  <si>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</si>
  <si>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</si>
  <si>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</si>
  <si>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</si>
  <si>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</si>
  <si>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</si>
  <si>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</si>
  <si>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</si>
  <si>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</si>
  <si>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</si>
  <si>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</si>
  <si>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</si>
  <si>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</si>
  <si>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</si>
  <si>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</si>
  <si>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</si>
  <si>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</si>
  <si>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</si>
  <si>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</si>
  <si>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</si>
  <si>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</si>
  <si>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</si>
  <si>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</si>
  <si>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</si>
  <si>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</si>
  <si>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</si>
  <si>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</si>
  <si>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</si>
  <si>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</si>
  <si>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</si>
  <si>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</si>
  <si>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</si>
  <si>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</si>
  <si>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</si>
  <si>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</si>
  <si>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</si>
  <si>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</si>
  <si>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</si>
  <si>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</si>
  <si>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</si>
  <si>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</si>
  <si>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</si>
  <si>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</si>
  <si>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</si>
  <si>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</si>
  <si>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</si>
  <si>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</si>
  <si>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</si>
  <si>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</si>
  <si>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</si>
  <si>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</si>
  <si>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</si>
  <si>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</si>
  <si>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</si>
  <si>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</si>
  <si>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</si>
  <si>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</si>
  <si>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</si>
  <si>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</si>
  <si>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</si>
  <si>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</si>
  <si>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</si>
  <si>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</si>
  <si>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</si>
  <si>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</si>
  <si>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</si>
  <si>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</si>
  <si>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</si>
  <si>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</si>
  <si>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</si>
  <si>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</si>
  <si>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</si>
  <si>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</si>
  <si>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</si>
  <si>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</si>
  <si>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</si>
  <si>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</si>
  <si>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</si>
  <si>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</si>
  <si>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</si>
  <si>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</si>
  <si>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</si>
  <si>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</si>
  <si>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</si>
  <si>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</si>
  <si>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</si>
  <si>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</si>
  <si>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</si>
  <si>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</si>
  <si>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</si>
  <si>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</si>
  <si>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</si>
  <si>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</si>
  <si>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</si>
  <si>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</si>
  <si>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</si>
  <si>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</si>
  <si>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</si>
  <si>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</si>
  <si>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</si>
  <si>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</si>
  <si>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</si>
  <si>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</si>
  <si>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</si>
  <si>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</si>
  <si>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</si>
  <si>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</si>
  <si>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</si>
  <si>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</si>
  <si>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</si>
  <si>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</si>
  <si>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</si>
  <si>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</si>
  <si>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</si>
  <si>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</si>
  <si>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</si>
  <si>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</si>
  <si>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</si>
  <si>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</si>
  <si>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</si>
  <si>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</si>
  <si>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</si>
  <si>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</si>
  <si>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</si>
  <si>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</si>
  <si>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</si>
  <si>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</si>
  <si>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</si>
  <si>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</si>
  <si>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</si>
  <si>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</si>
  <si>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</si>
  <si>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</si>
  <si>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</si>
  <si>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</si>
  <si>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</si>
  <si>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</si>
  <si>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</si>
  <si>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</si>
  <si>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</si>
  <si>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</si>
  <si>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</si>
  <si>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</si>
  <si>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</si>
  <si>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</si>
  <si>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</si>
  <si>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</si>
  <si>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</si>
  <si>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</si>
  <si>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</si>
  <si>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</si>
  <si>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</si>
  <si>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</si>
  <si>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</si>
  <si>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</si>
  <si>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</si>
  <si>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</si>
  <si>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</si>
  <si>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</si>
  <si>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</si>
  <si>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</si>
  <si>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</si>
  <si>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</si>
  <si>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</si>
  <si>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</si>
  <si>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</si>
  <si>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</si>
  <si>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</si>
  <si>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</si>
  <si>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</si>
  <si>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</si>
  <si>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</si>
  <si>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</si>
  <si>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</si>
  <si>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</si>
  <si>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</si>
  <si>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</si>
  <si>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</si>
  <si>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</si>
  <si>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</si>
  <si>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</si>
  <si>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</si>
  <si>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</si>
  <si>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</si>
  <si>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</si>
  <si>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</si>
  <si>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</si>
  <si>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</si>
  <si>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</si>
  <si>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</si>
  <si>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</si>
  <si>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</si>
  <si>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</si>
  <si>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</si>
  <si>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</si>
  <si>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</si>
  <si>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</si>
  <si>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</si>
  <si>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</si>
  <si>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</si>
  <si>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</si>
  <si>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</si>
  <si>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</si>
  <si>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</si>
  <si>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</si>
  <si>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</si>
  <si>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</si>
  <si>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</si>
  <si>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</si>
  <si>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</si>
  <si>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</si>
  <si>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</si>
  <si>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</si>
  <si>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</si>
  <si>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</si>
  <si>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</si>
  <si>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</si>
  <si>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</si>
  <si>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</si>
  <si>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</si>
  <si>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</si>
  <si>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</si>
  <si>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</si>
  <si>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</si>
  <si>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</si>
  <si>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</si>
  <si>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</si>
  <si>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</si>
  <si>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</si>
  <si>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</si>
  <si>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</si>
  <si>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</si>
  <si>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</si>
  <si>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</si>
  <si>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</si>
  <si>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</si>
  <si>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</si>
  <si>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</si>
  <si>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</si>
  <si>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</si>
  <si>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</si>
  <si>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</si>
  <si>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</si>
  <si>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</si>
  <si>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</si>
  <si>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</si>
  <si>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</si>
  <si>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</si>
  <si>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</si>
  <si>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</si>
  <si>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</si>
  <si>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</si>
  <si>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</si>
  <si>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</si>
  <si>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</si>
  <si>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</si>
  <si>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</si>
  <si>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</si>
  <si>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</si>
  <si>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</si>
  <si>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</si>
  <si>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</si>
  <si>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</si>
  <si>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</si>
  <si>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</si>
  <si>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</si>
  <si>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</si>
  <si>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</si>
  <si>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</si>
  <si>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</si>
  <si>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</si>
  <si>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</si>
  <si>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</si>
  <si>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</si>
  <si>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</si>
  <si>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</si>
  <si>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</si>
  <si>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</si>
  <si>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</si>
  <si>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</si>
  <si>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</si>
  <si>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</si>
  <si>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</si>
  <si>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</si>
  <si>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</si>
  <si>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</si>
  <si>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</si>
  <si>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</si>
  <si>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</si>
  <si>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</si>
  <si>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</si>
  <si>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</si>
  <si>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</si>
  <si>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</si>
  <si>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</si>
  <si>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</si>
  <si>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</si>
  <si>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</si>
  <si>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</si>
  <si>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</si>
  <si>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</si>
  <si>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</si>
  <si>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</si>
  <si>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</si>
  <si>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</si>
  <si>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</si>
  <si>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</si>
  <si>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</si>
  <si>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</si>
  <si>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</si>
  <si>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</si>
  <si>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</si>
  <si>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</si>
  <si>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</si>
  <si>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</si>
  <si>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</si>
  <si>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</si>
  <si>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</si>
  <si>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</si>
  <si>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</si>
  <si>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</si>
  <si>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</si>
  <si>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</si>
  <si>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</si>
  <si>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</si>
  <si>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</si>
  <si>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</si>
  <si>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</si>
  <si>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</si>
  <si>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</si>
  <si>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</si>
  <si>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</si>
  <si>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</si>
  <si>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</si>
  <si>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</si>
  <si>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</si>
  <si>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</si>
  <si>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</si>
  <si>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</si>
  <si>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</si>
  <si>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</si>
  <si>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</si>
  <si>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</si>
  <si>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</si>
  <si>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</si>
  <si>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</si>
  <si>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</si>
  <si>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</si>
  <si>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</si>
  <si>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</si>
  <si>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</si>
  <si>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</si>
  <si>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</si>
  <si>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</si>
  <si>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</si>
  <si>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</si>
  <si>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</si>
  <si>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</si>
  <si>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</si>
  <si>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</si>
  <si>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</si>
  <si>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</si>
  <si>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</si>
  <si>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</si>
  <si>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</si>
  <si>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</si>
  <si>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</si>
  <si>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</si>
  <si>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</si>
  <si>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</si>
  <si>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</si>
  <si>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</si>
  <si>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</si>
  <si>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</si>
  <si>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</si>
  <si>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</si>
  <si>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</si>
  <si>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</si>
  <si>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</si>
  <si>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</si>
  <si>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</si>
  <si>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</si>
  <si>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</si>
  <si>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</si>
  <si>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</si>
  <si>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</si>
  <si>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</si>
  <si>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</si>
  <si>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</si>
  <si>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</si>
  <si>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</si>
  <si>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</si>
  <si>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</si>
  <si>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</si>
  <si>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</si>
  <si>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</si>
  <si>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</si>
  <si>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</si>
  <si>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</si>
  <si>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</si>
  <si>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</si>
  <si>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</si>
  <si>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</si>
  <si>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</si>
  <si>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</si>
  <si>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</si>
  <si>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</si>
  <si>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</si>
  <si>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</si>
  <si>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</si>
  <si>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</si>
  <si>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</si>
  <si>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</si>
  <si>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</si>
  <si>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</si>
  <si>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</si>
  <si>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</si>
  <si>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</si>
  <si>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</si>
  <si>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</si>
  <si>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</si>
  <si>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</si>
  <si>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</si>
  <si>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</si>
  <si>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</si>
  <si>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</si>
  <si>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</si>
  <si>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</si>
  <si>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</si>
  <si>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</si>
  <si>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</si>
  <si>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</si>
  <si>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</si>
  <si>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</si>
  <si>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</si>
  <si>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</si>
  <si>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</si>
  <si>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</si>
  <si>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</si>
  <si>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</si>
  <si>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</si>
  <si>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</si>
  <si>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</si>
  <si>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</si>
  <si>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</si>
  <si>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</si>
  <si>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</si>
  <si>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</si>
  <si>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</si>
  <si>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</si>
  <si>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</si>
  <si>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</si>
  <si>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</si>
  <si>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</si>
  <si>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</si>
  <si>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</si>
  <si>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</si>
  <si>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</si>
  <si>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</si>
  <si>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</si>
  <si>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</si>
  <si>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</si>
  <si>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</si>
  <si>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</si>
  <si>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</si>
  <si>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</si>
  <si>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</si>
  <si>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</si>
  <si>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</si>
  <si>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</si>
  <si>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</si>
  <si>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</si>
  <si>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</si>
  <si>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</si>
  <si>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</si>
  <si>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</si>
  <si>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</si>
  <si>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</si>
  <si>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</si>
  <si>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</si>
  <si>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</si>
  <si>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</si>
  <si>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</si>
  <si>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</si>
  <si>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</si>
  <si>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</si>
  <si>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</si>
  <si>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</si>
  <si>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</si>
  <si>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</si>
  <si>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</si>
  <si>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</si>
  <si>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</si>
  <si>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</si>
  <si>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</si>
  <si>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</si>
  <si>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</si>
  <si>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</si>
  <si>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</si>
  <si>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</si>
  <si>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</si>
  <si>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</si>
  <si>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</si>
  <si>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</si>
  <si>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</si>
  <si>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</si>
  <si>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</si>
  <si>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</si>
  <si>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</si>
  <si>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</si>
  <si>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</si>
  <si>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</si>
  <si>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</si>
  <si>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</si>
  <si>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</si>
  <si>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</si>
  <si>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</si>
  <si>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</si>
  <si>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</si>
  <si>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</si>
  <si>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</si>
  <si>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</si>
  <si>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</si>
  <si>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</si>
  <si>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</si>
  <si>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</si>
  <si>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</si>
  <si>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</si>
  <si>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</si>
  <si>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</si>
  <si>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</si>
  <si>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</si>
  <si>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</si>
  <si>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</si>
  <si>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</si>
  <si>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</si>
  <si>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</si>
  <si>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</si>
  <si>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</si>
  <si>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</si>
  <si>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</si>
  <si>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</si>
  <si>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</si>
  <si>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</si>
  <si>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</si>
  <si>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</si>
  <si>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</si>
  <si>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</si>
  <si>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</si>
  <si>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</si>
  <si>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</si>
  <si>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</si>
  <si>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</si>
  <si>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</si>
  <si>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</si>
  <si>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</si>
  <si>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</si>
  <si>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</si>
  <si>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</si>
  <si>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</si>
  <si>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</si>
  <si>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</si>
  <si>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</si>
  <si>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</si>
  <si>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</si>
  <si>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</si>
  <si>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</si>
  <si>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</si>
  <si>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</si>
  <si>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</si>
  <si>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</si>
  <si>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</si>
  <si>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</si>
  <si>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</si>
  <si>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</si>
  <si>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</si>
  <si>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</si>
  <si>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</si>
  <si>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</si>
  <si>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</si>
  <si>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</si>
  <si>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</si>
  <si>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</si>
  <si>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</si>
  <si>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</si>
  <si>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</si>
  <si>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</si>
  <si>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</si>
  <si>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</si>
  <si>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</si>
  <si>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</si>
  <si>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</si>
  <si>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</si>
  <si>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</si>
  <si>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</si>
  <si>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</si>
  <si>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</si>
  <si>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</si>
  <si>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</si>
  <si>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</si>
  <si>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</si>
  <si>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</si>
  <si>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</si>
  <si>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</si>
  <si>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</si>
  <si>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</si>
  <si>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</si>
  <si>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</si>
  <si>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</si>
  <si>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</si>
  <si>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</si>
  <si>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</si>
  <si>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</si>
  <si>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</si>
  <si>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</si>
  <si>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</si>
  <si>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</si>
  <si>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</si>
  <si>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</si>
  <si>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</si>
  <si>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</si>
  <si>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</si>
  <si>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</si>
  <si>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</si>
  <si>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</si>
  <si>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</si>
  <si>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</si>
  <si>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</si>
  <si>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</si>
  <si>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</si>
  <si>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</si>
  <si>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</si>
  <si>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</si>
  <si>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</si>
  <si>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</si>
  <si>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</si>
  <si>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</si>
  <si>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</si>
  <si>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</si>
  <si>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</si>
  <si>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</si>
  <si>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</si>
  <si>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</si>
  <si>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</si>
  <si>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</si>
  <si>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</si>
  <si>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</si>
  <si>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</si>
  <si>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</si>
  <si>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</si>
  <si>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</si>
  <si>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</si>
  <si>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</si>
  <si>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</si>
  <si>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</si>
  <si>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</si>
  <si>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</si>
  <si>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</si>
  <si>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</si>
  <si>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</si>
  <si>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</si>
  <si>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</si>
  <si>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</si>
  <si>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</si>
  <si>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</si>
  <si>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</si>
  <si>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</si>
  <si>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</si>
  <si>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</si>
  <si>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</si>
  <si>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</si>
  <si>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</si>
  <si>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</si>
  <si>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</si>
  <si>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</si>
  <si>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</si>
  <si>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</si>
  <si>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</si>
  <si>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</si>
  <si>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</si>
  <si>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</si>
  <si>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</si>
  <si>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</si>
  <si>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</si>
  <si>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</si>
  <si>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</si>
  <si>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</si>
  <si>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</si>
  <si>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</si>
  <si>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</si>
  <si>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</si>
  <si>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</si>
  <si>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</si>
  <si>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</si>
  <si>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</si>
  <si>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</si>
  <si>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</si>
  <si>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</si>
  <si>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</si>
  <si>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</si>
  <si>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</si>
  <si>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</si>
  <si>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</si>
  <si>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</si>
  <si>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</si>
  <si>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</si>
  <si>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</si>
  <si>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</si>
  <si>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</si>
  <si>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</si>
  <si>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</si>
  <si>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</si>
  <si>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</si>
  <si>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</si>
  <si>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</si>
  <si>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</si>
  <si>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</si>
  <si>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</si>
  <si>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</si>
  <si>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</si>
  <si>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</si>
  <si>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</si>
  <si>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</si>
  <si>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</si>
  <si>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</si>
  <si>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</si>
  <si>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</si>
  <si>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</si>
  <si>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</si>
  <si>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</si>
  <si>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</si>
  <si>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</si>
  <si>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</si>
  <si>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</si>
  <si>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</si>
  <si>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</si>
  <si>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</si>
  <si>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</si>
  <si>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</si>
  <si>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</si>
  <si>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</si>
  <si>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</si>
  <si>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</si>
  <si>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</si>
  <si>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</si>
  <si>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</si>
  <si>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</si>
  <si>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</si>
  <si>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</si>
  <si>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</si>
  <si>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</si>
  <si>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</si>
  <si>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</si>
  <si>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</si>
  <si>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</si>
  <si>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</si>
  <si>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</si>
  <si>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</si>
  <si>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</si>
  <si>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</si>
  <si>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</si>
  <si>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</si>
  <si>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</si>
  <si>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</si>
  <si>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</si>
  <si>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</si>
  <si>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</si>
  <si>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</si>
  <si>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</si>
  <si>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</si>
  <si>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</si>
  <si>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</si>
  <si>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</si>
  <si>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</si>
  <si>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</si>
  <si>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</si>
  <si>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</si>
  <si>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</si>
  <si>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</si>
  <si>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</si>
  <si>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</si>
  <si>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</si>
  <si>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</si>
  <si>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</si>
  <si>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</si>
  <si>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</si>
  <si>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</si>
  <si>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</si>
  <si>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</si>
  <si>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</si>
  <si>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</si>
  <si>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</si>
  <si>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</si>
  <si>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</si>
  <si>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</si>
  <si>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</si>
  <si>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</si>
  <si>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</si>
  <si>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</si>
  <si>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</si>
  <si>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</si>
  <si>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</si>
  <si>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</si>
  <si>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</si>
  <si>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</si>
  <si>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</si>
  <si>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</si>
  <si>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</si>
  <si>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</si>
  <si>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</si>
  <si>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</si>
  <si>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</si>
  <si>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</si>
  <si>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</si>
  <si>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</si>
  <si>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</si>
  <si>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</si>
  <si>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</si>
  <si>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</si>
  <si>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</si>
  <si>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</si>
  <si>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</si>
  <si>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</si>
  <si>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</si>
  <si>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</si>
  <si>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</si>
  <si>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</si>
  <si>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</si>
  <si>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</si>
  <si>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</si>
  <si>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</si>
  <si>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</si>
  <si>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</si>
  <si>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</si>
  <si>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</si>
  <si>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</si>
  <si>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</si>
  <si>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</si>
  <si>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</si>
  <si>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</si>
  <si>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</si>
  <si>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</si>
  <si>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</si>
  <si>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</si>
  <si>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</si>
  <si>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</si>
  <si>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</si>
  <si>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</si>
  <si>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</si>
  <si>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</si>
  <si>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</si>
  <si>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</si>
  <si>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</si>
  <si>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</si>
  <si>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</si>
  <si>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</si>
  <si>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</si>
  <si>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</si>
  <si>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</si>
  <si>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</si>
  <si>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</si>
  <si>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</si>
  <si>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</si>
  <si>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</si>
  <si>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</si>
  <si>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</si>
  <si>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</si>
  <si>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</si>
  <si>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</si>
  <si>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</si>
  <si>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</si>
  <si>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</si>
  <si>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</si>
  <si>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</si>
  <si>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</si>
  <si>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</si>
  <si>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</si>
  <si>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</si>
  <si>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</si>
  <si>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</si>
  <si>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</si>
  <si>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</si>
  <si>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</si>
  <si>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</si>
  <si>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</si>
  <si>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</si>
  <si>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</si>
  <si>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</si>
  <si>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</si>
  <si>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</si>
  <si>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</si>
  <si>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</si>
  <si>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</si>
  <si>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</si>
  <si>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</si>
  <si>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</si>
  <si>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</si>
  <si>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</si>
  <si>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</si>
  <si>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</si>
  <si>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</si>
  <si>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</si>
  <si>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</si>
  <si>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</si>
  <si>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</si>
  <si>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</si>
  <si>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</si>
  <si>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</si>
  <si>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</si>
  <si>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</si>
  <si>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</si>
  <si>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</si>
  <si>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</si>
  <si>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</si>
  <si>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</si>
  <si>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</si>
  <si>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</si>
  <si>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</si>
  <si>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</si>
  <si>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</si>
  <si>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</si>
  <si>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</si>
  <si>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</si>
  <si>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</si>
  <si>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</si>
  <si>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</si>
  <si>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</si>
  <si>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</si>
  <si>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</si>
  <si>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</si>
  <si>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</si>
  <si>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</si>
  <si>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</si>
  <si>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</si>
  <si>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</si>
  <si>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</si>
  <si>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</si>
  <si>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</si>
  <si>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</si>
  <si>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</si>
  <si>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</si>
  <si>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</si>
  <si>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</si>
  <si>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</si>
  <si>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</si>
  <si>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</si>
  <si>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</si>
  <si>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</si>
  <si>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</si>
  <si>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</si>
  <si>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</si>
  <si>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</si>
  <si>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</si>
  <si>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</si>
  <si>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</si>
  <si>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</si>
  <si>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</si>
  <si>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</si>
  <si>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</si>
  <si>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</si>
  <si>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</si>
  <si>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</si>
  <si>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</si>
  <si>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</si>
  <si>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</si>
  <si>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</si>
  <si>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</si>
  <si>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</si>
  <si>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</si>
  <si>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</si>
  <si>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</si>
  <si>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</si>
  <si>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</si>
  <si>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</si>
  <si>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</si>
  <si>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</si>
  <si>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</si>
  <si>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</si>
  <si>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</si>
  <si>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</si>
  <si>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</si>
  <si>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</si>
  <si>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</si>
  <si>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</si>
  <si>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</si>
  <si>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</si>
  <si>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</si>
  <si>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</si>
  <si>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</si>
  <si>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</si>
  <si>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</si>
  <si>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</si>
  <si>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</si>
  <si>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</si>
  <si>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</si>
  <si>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</si>
  <si>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</si>
  <si>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</si>
  <si>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</si>
  <si>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</si>
  <si>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</si>
  <si>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</si>
  <si>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</si>
  <si>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</si>
  <si>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</si>
  <si>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</si>
  <si>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</si>
  <si>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</si>
  <si>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</si>
  <si>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</si>
  <si>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</si>
  <si>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</si>
  <si>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</si>
  <si>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</si>
  <si>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</si>
  <si>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</si>
  <si>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</si>
  <si>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</si>
  <si>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</si>
  <si>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</si>
  <si>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</si>
  <si>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</si>
  <si>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</si>
  <si>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</si>
  <si>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</si>
  <si>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</si>
  <si>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</si>
  <si>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</si>
  <si>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</si>
  <si>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</si>
  <si>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</si>
  <si>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</si>
  <si>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</si>
  <si>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</si>
  <si>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</si>
  <si>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</si>
  <si>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</si>
  <si>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</si>
  <si>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</si>
  <si>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</si>
  <si>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</si>
  <si>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</si>
  <si>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</si>
  <si>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</si>
  <si>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</si>
  <si>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</si>
  <si>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</si>
  <si>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</si>
  <si>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</si>
  <si>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</si>
  <si>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</si>
  <si>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</si>
  <si>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</si>
  <si>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</si>
  <si>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</si>
  <si>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</si>
  <si>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</si>
  <si>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</si>
  <si>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</si>
  <si>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</si>
  <si>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</si>
  <si>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</si>
  <si>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</si>
  <si>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</si>
  <si>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</si>
  <si>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</si>
  <si>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</si>
  <si>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</si>
  <si>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</si>
  <si>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</si>
  <si>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</si>
  <si>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</si>
  <si>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</si>
  <si>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</si>
  <si>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</si>
  <si>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</si>
  <si>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</si>
  <si>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</si>
  <si>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</si>
  <si>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</si>
  <si>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</si>
  <si>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</si>
  <si>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</si>
  <si>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</si>
  <si>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</si>
  <si>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</si>
  <si>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</si>
  <si>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</si>
  <si>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</si>
  <si>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</si>
  <si>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</si>
  <si>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</si>
  <si>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</si>
  <si>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</si>
  <si>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</si>
  <si>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</si>
  <si>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</si>
  <si>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</si>
  <si>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</si>
  <si>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</si>
  <si>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</si>
  <si>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</si>
  <si>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</si>
  <si>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</si>
  <si>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</si>
  <si>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</si>
  <si>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</si>
  <si>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</si>
  <si>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</si>
  <si>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</si>
  <si>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</si>
  <si>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</si>
  <si>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</si>
  <si>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</si>
  <si>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</si>
  <si>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</si>
  <si>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</si>
  <si>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</si>
  <si>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</si>
  <si>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</si>
  <si>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</si>
  <si>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</si>
  <si>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</si>
  <si>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</si>
  <si>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</si>
  <si>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</si>
  <si>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</si>
  <si>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</si>
  <si>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</si>
  <si>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</si>
  <si>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</si>
  <si>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</si>
  <si>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</si>
  <si>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</si>
  <si>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</si>
  <si>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</si>
  <si>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</si>
  <si>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</si>
  <si>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</si>
  <si>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</si>
  <si>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</si>
  <si>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</si>
  <si>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</si>
  <si>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</si>
  <si>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</si>
  <si>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</si>
  <si>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</si>
  <si>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</si>
  <si>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</si>
  <si>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</si>
  <si>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</si>
  <si>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</si>
  <si>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</si>
  <si>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</si>
  <si>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</si>
  <si>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</si>
  <si>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</si>
  <si>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</si>
  <si>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</si>
  <si>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</si>
  <si>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</si>
  <si>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</si>
  <si>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</si>
  <si>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</si>
  <si>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</si>
  <si>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</si>
  <si>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</si>
  <si>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</si>
  <si>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</si>
  <si>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</si>
  <si>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</si>
  <si>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</si>
  <si>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</si>
  <si>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</si>
  <si>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</si>
  <si>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</si>
  <si>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</si>
  <si>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</si>
  <si>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</si>
  <si>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</si>
  <si>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</si>
  <si>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</si>
  <si>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</si>
  <si>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</si>
  <si>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</si>
  <si>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</si>
  <si>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</si>
  <si>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</si>
  <si>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</si>
  <si>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</si>
  <si>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</si>
  <si>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</si>
  <si>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</si>
  <si>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</si>
  <si>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</si>
  <si>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</si>
  <si>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</si>
  <si>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</si>
  <si>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</si>
  <si>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</si>
  <si>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</si>
  <si>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</si>
  <si>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</si>
  <si>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</si>
  <si>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</si>
  <si>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</si>
  <si>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</si>
  <si>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</si>
  <si>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</si>
  <si>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</si>
  <si>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</si>
  <si>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</si>
  <si>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</si>
  <si>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</si>
  <si>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</si>
  <si>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</si>
  <si>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</si>
  <si>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</si>
  <si>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</si>
  <si>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</si>
  <si>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</si>
  <si>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</si>
  <si>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</si>
  <si>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</si>
  <si>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</si>
  <si>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</si>
  <si>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</si>
  <si>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</si>
  <si>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</si>
  <si>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</si>
  <si>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</si>
  <si>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</si>
  <si>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</si>
  <si>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</si>
  <si>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</si>
  <si>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</si>
  <si>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</si>
  <si>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</si>
  <si>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</si>
  <si>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</si>
  <si>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</si>
  <si>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</si>
  <si>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</si>
  <si>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</si>
  <si>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</si>
  <si>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</si>
  <si>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</si>
  <si>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</si>
  <si>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</si>
  <si>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</si>
  <si>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</si>
  <si>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</si>
  <si>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</si>
  <si>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</si>
  <si>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</si>
  <si>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</si>
  <si>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</si>
  <si>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</si>
  <si>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</si>
  <si>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</si>
  <si>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</si>
  <si>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</si>
  <si>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</si>
  <si>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</si>
  <si>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</si>
  <si>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</si>
  <si>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</si>
  <si>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</si>
  <si>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</si>
  <si>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</si>
  <si>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</si>
  <si>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</si>
  <si>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</si>
  <si>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</si>
  <si>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</si>
  <si>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</si>
  <si>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</si>
  <si>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</si>
  <si>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</si>
  <si>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</si>
  <si>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</si>
  <si>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</si>
  <si>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</si>
  <si>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</si>
  <si>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</si>
  <si>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</si>
  <si>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</si>
  <si>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</si>
  <si>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</si>
  <si>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</si>
  <si>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</si>
  <si>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</si>
  <si>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</si>
  <si>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</si>
  <si>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</si>
  <si>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</si>
  <si>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</si>
  <si>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</si>
  <si>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</si>
  <si>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</si>
  <si>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</si>
  <si>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</si>
  <si>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</si>
  <si>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</si>
  <si>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</si>
  <si>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</si>
  <si>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</si>
  <si>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</si>
  <si>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</si>
  <si>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</si>
  <si>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</si>
  <si>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</si>
  <si>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</si>
  <si>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</si>
  <si>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</si>
  <si>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</si>
  <si>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</si>
  <si>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</si>
  <si>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</si>
  <si>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</si>
  <si>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</si>
  <si>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</si>
  <si>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</si>
  <si>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</si>
  <si>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</si>
  <si>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</si>
  <si>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</si>
  <si>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</si>
  <si>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</si>
  <si>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</si>
  <si>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</si>
  <si>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</si>
  <si>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</si>
  <si>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</si>
  <si>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</si>
  <si>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</si>
  <si>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</si>
  <si>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</si>
  <si>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</si>
  <si>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</si>
  <si>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</si>
  <si>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</si>
  <si>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</si>
  <si>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</si>
  <si>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</si>
  <si>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</si>
  <si>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</si>
  <si>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</si>
  <si>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</si>
  <si>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</si>
  <si>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</si>
  <si>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</si>
  <si>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</si>
  <si>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</si>
  <si>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</si>
  <si>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</si>
  <si>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</si>
  <si>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</si>
  <si>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</si>
  <si>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</si>
  <si>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</si>
  <si>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</si>
  <si>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</si>
  <si>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</si>
  <si>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</si>
  <si>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</si>
  <si>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</si>
  <si>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</si>
  <si>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</si>
  <si>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</si>
  <si>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</si>
  <si>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</si>
  <si>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</si>
  <si>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</si>
  <si>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</si>
  <si>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</si>
  <si>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</si>
  <si>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</si>
  <si>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</si>
  <si>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</si>
  <si>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</si>
  <si>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</si>
  <si>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</si>
  <si>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</si>
  <si>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</si>
  <si>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</si>
  <si>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</si>
  <si>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</si>
  <si>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</si>
  <si>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</si>
  <si>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</si>
  <si>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</si>
  <si>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</si>
  <si>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</si>
  <si>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</si>
  <si>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</si>
  <si>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</si>
  <si>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</si>
  <si>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</si>
  <si>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</si>
  <si>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</si>
  <si>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</si>
  <si>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</si>
  <si>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</si>
  <si>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</si>
  <si>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</si>
  <si>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</si>
  <si>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</si>
  <si>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</si>
  <si>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</si>
  <si>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</si>
  <si>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</si>
  <si>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</si>
  <si>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</si>
  <si>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</si>
  <si>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</si>
  <si>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</si>
  <si>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</si>
  <si>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</si>
  <si>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</si>
  <si>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</si>
  <si>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</si>
  <si>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</si>
  <si>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</si>
  <si>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</si>
  <si>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</si>
  <si>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</si>
  <si>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</si>
  <si>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</si>
  <si>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</si>
  <si>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</si>
  <si>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</si>
  <si>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</si>
  <si>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</si>
  <si>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</si>
  <si>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</si>
  <si>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</si>
  <si>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</si>
  <si>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</si>
  <si>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</si>
  <si>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</si>
  <si>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</si>
  <si>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</si>
  <si>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</si>
  <si>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</si>
  <si>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</si>
  <si>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</si>
  <si>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</si>
  <si>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</si>
  <si>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</si>
  <si>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</si>
  <si>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</si>
  <si>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</si>
  <si>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</si>
  <si>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</si>
  <si>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</si>
  <si>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</si>
  <si>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</si>
  <si>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</si>
  <si>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</si>
  <si>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</si>
  <si>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</si>
  <si>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</si>
  <si>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</si>
  <si>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</si>
  <si>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</si>
  <si>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</si>
  <si>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</si>
  <si>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</si>
  <si>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</si>
  <si>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</si>
  <si>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</si>
  <si>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</si>
  <si>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</si>
  <si>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</si>
  <si>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</si>
  <si>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</si>
  <si>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</si>
  <si>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</si>
  <si>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</si>
  <si>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</si>
  <si>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</si>
  <si>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</si>
  <si>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</si>
  <si>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</si>
  <si>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</si>
  <si>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</si>
  <si>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</si>
  <si>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</si>
  <si>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</si>
  <si>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</si>
  <si>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</si>
  <si>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</si>
  <si>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</si>
  <si>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</si>
  <si>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</si>
  <si>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</si>
  <si>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</si>
  <si>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</si>
  <si>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</si>
  <si>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</si>
  <si>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</si>
  <si>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</si>
  <si>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</si>
  <si>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</si>
  <si>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</si>
  <si>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</si>
  <si>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</si>
  <si>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</si>
  <si>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</si>
  <si>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</si>
  <si>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</si>
  <si>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</si>
  <si>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</si>
  <si>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</si>
  <si>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</si>
  <si>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</si>
  <si>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</si>
  <si>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</si>
  <si>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</si>
  <si>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</si>
  <si>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</si>
  <si>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</si>
  <si>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</si>
  <si>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</si>
  <si>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</si>
  <si>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</si>
  <si>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</si>
  <si>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</si>
  <si>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</si>
  <si>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</si>
  <si>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</si>
  <si>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</si>
  <si>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</si>
  <si>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</si>
  <si>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</si>
  <si>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</si>
  <si>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</si>
  <si>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</si>
  <si>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</si>
  <si>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</si>
  <si>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</si>
  <si>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</si>
  <si>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</si>
  <si>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</si>
  <si>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</si>
  <si>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</si>
  <si>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</si>
  <si>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</si>
  <si>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</si>
  <si>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</si>
  <si>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</si>
  <si>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</si>
  <si>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</si>
  <si>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</si>
  <si>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</si>
  <si>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</si>
  <si>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</si>
  <si>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</si>
  <si>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</si>
  <si>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</si>
  <si>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</si>
  <si>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</si>
  <si>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</si>
  <si>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</si>
  <si>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</si>
  <si>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</si>
  <si>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</si>
  <si>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</si>
  <si>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</si>
  <si>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</si>
  <si>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</si>
  <si>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</si>
  <si>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</si>
  <si>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</si>
  <si>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</si>
  <si>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</si>
  <si>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</si>
  <si>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</si>
  <si>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</si>
  <si>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</si>
  <si>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</si>
  <si>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</si>
  <si>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</si>
  <si>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</si>
  <si>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</si>
  <si>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</si>
  <si>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</si>
  <si>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</si>
  <si>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</si>
  <si>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</si>
  <si>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</si>
  <si>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</si>
  <si>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</si>
  <si>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</si>
  <si>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</si>
  <si>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</si>
  <si>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</si>
  <si>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</si>
  <si>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</si>
  <si>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</si>
  <si>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</si>
  <si>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</si>
  <si>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</si>
  <si>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</si>
  <si>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</si>
  <si>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</si>
  <si>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</si>
  <si>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</si>
  <si>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</si>
  <si>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</si>
  <si>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</si>
  <si>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</si>
  <si>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</si>
  <si>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</si>
  <si>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</si>
  <si>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</si>
  <si>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</si>
  <si>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</si>
  <si>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</si>
  <si>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</si>
  <si>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</si>
  <si>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</si>
  <si>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</si>
  <si>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</si>
  <si>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</si>
  <si>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</si>
  <si>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</si>
  <si>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</si>
  <si>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</si>
  <si>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</si>
  <si>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</si>
  <si>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</si>
  <si>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</si>
  <si>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</si>
  <si>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</si>
  <si>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</si>
  <si>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</si>
  <si>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</si>
  <si>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</si>
  <si>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</si>
  <si>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</si>
  <si>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</si>
  <si>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</si>
  <si>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</si>
  <si>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</si>
  <si>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</si>
  <si>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</si>
  <si>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</si>
  <si>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</si>
  <si>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</si>
  <si>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</si>
  <si>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</si>
  <si>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</si>
  <si>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</si>
  <si>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</si>
  <si>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</si>
  <si>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</si>
  <si>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</si>
  <si>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</si>
  <si>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</si>
  <si>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</si>
  <si>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</si>
  <si>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</si>
  <si>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</si>
  <si>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</si>
  <si>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</si>
  <si>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</si>
  <si>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</si>
  <si>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</si>
  <si>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</si>
  <si>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</si>
  <si>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</si>
  <si>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</si>
  <si>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</si>
  <si>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</si>
  <si>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</si>
  <si>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</si>
  <si>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</si>
  <si>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</si>
  <si>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</si>
  <si>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</si>
  <si>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</si>
  <si>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</si>
  <si>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</si>
  <si>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</si>
  <si>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</si>
  <si>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</si>
  <si>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</si>
  <si>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</si>
  <si>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</si>
  <si>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</si>
  <si>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</si>
  <si>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</si>
  <si>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</si>
  <si>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</si>
  <si>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</si>
  <si>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</si>
  <si>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</si>
  <si>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</si>
  <si>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</si>
  <si>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</si>
  <si>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</si>
  <si>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</si>
  <si>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</si>
  <si>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</si>
  <si>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</si>
  <si>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</si>
  <si>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</si>
  <si>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</si>
  <si>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</si>
  <si>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</si>
  <si>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</si>
  <si>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</si>
  <si>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</si>
  <si>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</si>
  <si>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</si>
  <si>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</si>
  <si>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</si>
  <si>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</si>
  <si>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</si>
  <si>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</si>
  <si>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</si>
  <si>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</si>
  <si>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</si>
  <si>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</si>
  <si>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</si>
  <si>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</si>
  <si>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</si>
  <si>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</si>
  <si>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</si>
  <si>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</si>
  <si>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</si>
  <si>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</si>
  <si>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</si>
  <si>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</si>
  <si>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</si>
  <si>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</si>
  <si>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</si>
  <si>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</si>
  <si>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</si>
  <si>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</si>
  <si>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</si>
  <si>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</si>
  <si>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</si>
  <si>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</si>
  <si>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</si>
  <si>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</si>
  <si>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</si>
  <si>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</si>
  <si>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</si>
  <si>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</si>
  <si>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</si>
  <si>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</si>
  <si>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</si>
  <si>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</si>
  <si>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</si>
  <si>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</si>
  <si>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</si>
  <si>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</si>
  <si>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</si>
  <si>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</si>
  <si>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</si>
  <si>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</si>
  <si>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</si>
  <si>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</si>
  <si>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</si>
  <si>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</si>
  <si>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</si>
  <si>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</si>
  <si>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</si>
  <si>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</si>
  <si>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</si>
  <si>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</si>
  <si>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</si>
  <si>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</si>
  <si>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</si>
  <si>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</si>
  <si>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</si>
  <si>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</si>
  <si>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</si>
  <si>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</si>
  <si>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</si>
  <si>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</si>
  <si>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</si>
  <si>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</si>
  <si>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</si>
  <si>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</si>
  <si>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</si>
  <si>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</si>
  <si>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</si>
  <si>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</si>
  <si>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</si>
  <si>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</si>
  <si>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</si>
  <si>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</si>
  <si>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</si>
  <si>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</si>
  <si>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</si>
  <si>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</si>
  <si>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</si>
  <si>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</si>
  <si>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</si>
  <si>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</si>
  <si>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</si>
  <si>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</si>
  <si>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</si>
  <si>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</si>
  <si>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</si>
  <si>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</si>
  <si>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</si>
  <si>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</si>
  <si>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</si>
  <si>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</si>
  <si>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</si>
  <si>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</si>
  <si>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</si>
  <si>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</si>
  <si>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</si>
  <si>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</si>
  <si>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</si>
  <si>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</si>
  <si>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</si>
  <si>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</si>
  <si>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</si>
  <si>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</si>
  <si>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</si>
  <si>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</si>
  <si>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</si>
  <si>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</si>
  <si>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</si>
  <si>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</si>
  <si>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</si>
  <si>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</si>
  <si>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</si>
  <si>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</si>
  <si>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</si>
  <si>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</si>
  <si>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</si>
  <si>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</si>
  <si>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</si>
  <si>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</si>
  <si>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</si>
  <si>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</si>
  <si>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</si>
  <si>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</si>
  <si>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</si>
  <si>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</si>
  <si>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</si>
  <si>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</si>
  <si>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</si>
  <si>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</si>
  <si>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</si>
  <si>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</si>
  <si>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</si>
  <si>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</si>
  <si>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</si>
  <si>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</si>
  <si>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</si>
  <si>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</si>
  <si>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</si>
  <si>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</si>
  <si>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</si>
  <si>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</si>
  <si>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</si>
  <si>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</si>
  <si>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</si>
  <si>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</si>
  <si>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</si>
  <si>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</si>
  <si>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</si>
  <si>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</si>
  <si>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</si>
  <si>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</si>
  <si>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</si>
  <si>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</si>
  <si>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</si>
  <si>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</si>
  <si>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</si>
  <si>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</si>
  <si>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</si>
  <si>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</si>
  <si>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</si>
  <si>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</si>
  <si>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</si>
  <si>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</si>
  <si>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</si>
  <si>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</si>
  <si>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</si>
  <si>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</si>
  <si>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</si>
  <si>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</si>
  <si>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</si>
  <si>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</si>
  <si>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</si>
  <si>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</si>
  <si>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</si>
  <si>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</si>
  <si>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</si>
  <si>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</si>
  <si>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</si>
  <si>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</si>
  <si>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</si>
  <si>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</si>
  <si>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</si>
  <si>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</si>
  <si>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</si>
  <si>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</si>
  <si>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</si>
  <si>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</si>
  <si>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</si>
  <si>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</si>
  <si>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</si>
  <si>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</si>
  <si>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</si>
  <si>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</si>
  <si>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</si>
  <si>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</si>
  <si>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</si>
  <si>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</si>
  <si>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</si>
  <si>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</si>
  <si>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</si>
  <si>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</si>
  <si>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</si>
  <si>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</si>
  <si>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</si>
  <si>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</si>
  <si>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</si>
  <si>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</si>
  <si>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</si>
  <si>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</si>
  <si>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</si>
  <si>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</si>
  <si>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</si>
  <si>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</si>
  <si>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</si>
  <si>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</si>
  <si>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</si>
  <si>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</si>
  <si>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</si>
  <si>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</si>
  <si>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</si>
  <si>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</si>
  <si>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</si>
  <si>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</si>
  <si>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</si>
  <si>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</si>
  <si>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</si>
  <si>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</si>
  <si>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</si>
  <si>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</si>
  <si>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</si>
  <si>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</si>
  <si>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</si>
  <si>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</si>
  <si>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</si>
  <si>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</si>
  <si>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</si>
  <si>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</si>
  <si>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</si>
  <si>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</si>
  <si>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</si>
  <si>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</si>
  <si>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</si>
  <si>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</si>
  <si>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</si>
  <si>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</si>
  <si>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</si>
  <si>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</si>
  <si>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</si>
  <si>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</si>
  <si>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</si>
  <si>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</si>
  <si>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</si>
  <si>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</si>
  <si>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</si>
  <si>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</si>
  <si>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</si>
  <si>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</si>
  <si>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</si>
  <si>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</si>
  <si>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</si>
  <si>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</si>
  <si>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</si>
  <si>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</si>
  <si>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</si>
  <si>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</si>
  <si>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</si>
  <si>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</si>
  <si>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</si>
  <si>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</si>
  <si>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</si>
  <si>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</si>
  <si>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</si>
  <si>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</si>
  <si>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</si>
  <si>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</si>
  <si>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</si>
  <si>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</si>
  <si>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</si>
  <si>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</si>
  <si>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</si>
  <si>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</si>
  <si>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</si>
  <si>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</si>
  <si>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</si>
  <si>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</si>
  <si>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</si>
  <si>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</si>
  <si>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</si>
  <si>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</si>
  <si>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</si>
  <si>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</si>
  <si>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</si>
  <si>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</si>
  <si>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</si>
  <si>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</si>
  <si>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</si>
  <si>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</si>
  <si>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</si>
  <si>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</si>
  <si>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</si>
  <si>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</si>
  <si>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</si>
  <si>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</si>
  <si>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</si>
  <si>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</si>
  <si>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</si>
  <si>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</si>
  <si>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</si>
  <si>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</si>
  <si>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</si>
  <si>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</si>
  <si>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</si>
  <si>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</si>
  <si>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</si>
  <si>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</si>
  <si>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</si>
  <si>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</si>
  <si>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</si>
  <si>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</si>
  <si>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</si>
  <si>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</si>
  <si>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</si>
  <si>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</si>
  <si>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</si>
  <si>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</si>
  <si>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</si>
  <si>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</si>
  <si>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</si>
  <si>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</si>
  <si>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</si>
  <si>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</si>
  <si>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</si>
  <si>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</si>
  <si>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</si>
  <si>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</si>
  <si>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</si>
  <si>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</si>
  <si>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</si>
  <si>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</si>
  <si>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</si>
  <si>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</si>
  <si>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</si>
  <si>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</si>
  <si>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</si>
  <si>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</si>
  <si>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</si>
  <si>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</si>
  <si>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</si>
  <si>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</si>
  <si>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</si>
  <si>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</si>
  <si>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</si>
  <si>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</si>
  <si>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</si>
  <si>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</si>
  <si>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</si>
  <si>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</si>
  <si>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</si>
  <si>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</si>
  <si>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</si>
  <si>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</si>
  <si>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</si>
  <si>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</si>
  <si>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</si>
  <si>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</si>
  <si>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</si>
  <si>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</si>
  <si>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</si>
  <si>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</si>
  <si>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</si>
  <si>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</si>
  <si>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</si>
  <si>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</si>
  <si>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</si>
  <si>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</si>
  <si>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</si>
  <si>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</si>
  <si>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</si>
  <si>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</si>
  <si>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</si>
  <si>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</si>
  <si>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</si>
  <si>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</si>
  <si>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</si>
  <si>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</si>
  <si>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</si>
  <si>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</si>
  <si>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</si>
  <si>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</si>
  <si>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</si>
  <si>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</si>
  <si>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</si>
  <si>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</si>
  <si>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</si>
  <si>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</si>
  <si>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</si>
  <si>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</si>
  <si>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</si>
  <si>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</si>
  <si>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</si>
  <si>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</si>
  <si>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</si>
  <si>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</si>
  <si>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</si>
  <si>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</si>
  <si>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</si>
  <si>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</si>
  <si>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</si>
  <si>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</si>
  <si>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</si>
  <si>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</si>
  <si>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</si>
  <si>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</si>
  <si>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</si>
  <si>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</si>
  <si>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</si>
  <si>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</si>
  <si>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</si>
  <si>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</si>
  <si>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</si>
  <si>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</si>
  <si>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</si>
  <si>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</si>
  <si>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</si>
  <si>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</si>
  <si>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</si>
  <si>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</si>
  <si>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</si>
  <si>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</si>
  <si>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</si>
  <si>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</si>
  <si>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</si>
  <si>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</si>
  <si>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</si>
  <si>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</si>
  <si>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</si>
  <si>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</si>
  <si>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</si>
  <si>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</si>
  <si>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</si>
  <si>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</si>
  <si>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</si>
  <si>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</si>
  <si>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</si>
  <si>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</si>
  <si>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</si>
  <si>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</si>
  <si>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</si>
  <si>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</si>
  <si>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</si>
  <si>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</si>
  <si>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</si>
  <si>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</si>
  <si>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</si>
  <si>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</si>
  <si>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</si>
  <si>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</si>
  <si>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</si>
  <si>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</si>
  <si>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</si>
  <si>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</si>
  <si>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</si>
  <si>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</si>
  <si>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</si>
  <si>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</si>
  <si>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</si>
  <si>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</si>
  <si>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</si>
  <si>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</si>
  <si>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</si>
  <si>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</si>
  <si>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</si>
  <si>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</si>
  <si>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</si>
  <si>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</si>
  <si>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</si>
  <si>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</si>
  <si>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</si>
  <si>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</si>
  <si>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</si>
  <si>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</si>
  <si>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</si>
  <si>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</si>
  <si>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</si>
  <si>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</si>
  <si>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</si>
  <si>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</si>
  <si>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</si>
  <si>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</si>
  <si>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</si>
  <si>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</si>
  <si>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</si>
  <si>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</si>
  <si>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</si>
  <si>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</si>
  <si>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</si>
  <si>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</si>
  <si>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</si>
  <si>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</si>
  <si>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</si>
  <si>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</si>
  <si>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</si>
  <si>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</si>
  <si>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</si>
  <si>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</si>
  <si>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</si>
  <si>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</si>
  <si>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</si>
  <si>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</si>
  <si>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</si>
  <si>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</si>
  <si>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</si>
  <si>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</si>
  <si>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</si>
  <si>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</si>
  <si>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</si>
  <si>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</si>
  <si>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</si>
  <si>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</si>
  <si>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</si>
  <si>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</si>
  <si>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</si>
  <si>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</si>
  <si>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</si>
  <si>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</si>
  <si>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</si>
  <si>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</si>
  <si>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</si>
  <si>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</si>
  <si>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</si>
  <si>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</si>
  <si>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</si>
  <si>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</si>
  <si>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</si>
  <si>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</si>
  <si>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</si>
  <si>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</si>
  <si>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</si>
  <si>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</si>
  <si>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</si>
  <si>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</si>
  <si>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</si>
  <si>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</si>
  <si>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</si>
  <si>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</si>
  <si>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</si>
  <si>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</si>
  <si>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</si>
  <si>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</si>
  <si>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</si>
  <si>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</si>
  <si>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</si>
  <si>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</si>
  <si>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</si>
  <si>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</si>
  <si>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</si>
  <si>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</si>
  <si>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</si>
  <si>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</si>
  <si>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</si>
  <si>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</si>
  <si>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</si>
  <si>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</si>
  <si>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</si>
  <si>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</si>
  <si>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</si>
  <si>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</si>
  <si>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</si>
  <si>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</si>
  <si>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</si>
  <si>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</si>
  <si>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</si>
  <si>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</si>
  <si>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</si>
  <si>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</si>
  <si>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</si>
  <si>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</si>
  <si>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</si>
  <si>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</si>
  <si>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</si>
  <si>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</si>
  <si>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</si>
  <si>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</si>
  <si>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</si>
  <si>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</si>
  <si>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</si>
  <si>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</si>
  <si>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</si>
  <si>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</si>
  <si>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</si>
  <si>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</si>
  <si>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</si>
  <si>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</si>
  <si>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</si>
  <si>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</si>
  <si>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</si>
  <si>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</si>
  <si>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</si>
  <si>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</si>
  <si>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</si>
  <si>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</si>
  <si>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</si>
  <si>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</si>
  <si>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</si>
  <si>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</si>
  <si>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</si>
  <si>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</si>
  <si>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</si>
  <si>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</si>
  <si>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</si>
  <si>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</si>
  <si>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</si>
  <si>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</si>
  <si>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</si>
  <si>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</si>
  <si>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</si>
  <si>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</si>
  <si>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</si>
  <si>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</si>
  <si>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</si>
  <si>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</si>
  <si>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</si>
  <si>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</si>
  <si>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</si>
  <si>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</si>
  <si>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</si>
  <si>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</si>
  <si>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</si>
  <si>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</si>
  <si>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</si>
  <si>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</si>
  <si>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</si>
  <si>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</si>
  <si>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</si>
  <si>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</si>
  <si>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</si>
  <si>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</si>
  <si>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</si>
  <si>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</si>
  <si>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</si>
  <si>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</si>
  <si>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</si>
  <si>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</si>
  <si>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</si>
  <si>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</si>
  <si>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</si>
  <si>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</si>
  <si>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</si>
  <si>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</si>
  <si>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</si>
  <si>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</si>
  <si>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</si>
  <si>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</si>
  <si>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</si>
  <si>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</si>
  <si>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</si>
  <si>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</si>
  <si>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</si>
  <si>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</si>
  <si>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</si>
  <si>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</si>
  <si>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</si>
  <si>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</si>
  <si>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</si>
  <si>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</si>
  <si>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</si>
  <si>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</si>
  <si>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</si>
  <si>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</si>
  <si>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</si>
  <si>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</si>
  <si>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</si>
  <si>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</si>
  <si>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</si>
  <si>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</si>
  <si>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</si>
  <si>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</si>
  <si>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</si>
  <si>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</si>
  <si>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</si>
  <si>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</si>
  <si>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</si>
  <si>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</si>
  <si>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</si>
  <si>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</si>
  <si>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</si>
  <si>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</si>
  <si>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</si>
  <si>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</si>
  <si>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</si>
  <si>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</si>
  <si>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</si>
  <si>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</si>
  <si>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</si>
  <si>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</si>
  <si>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</si>
  <si>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</si>
  <si>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</si>
  <si>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</si>
  <si>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</si>
  <si>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</si>
  <si>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</si>
  <si>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</si>
  <si>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</si>
  <si>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</si>
  <si>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</si>
  <si>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</si>
  <si>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</si>
  <si>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</si>
  <si>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</si>
  <si>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</si>
  <si>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</si>
  <si>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</si>
  <si>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</si>
  <si>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</si>
  <si>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</si>
  <si>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</si>
  <si>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</si>
  <si>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</si>
  <si>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</si>
  <si>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</si>
  <si>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</si>
  <si>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</si>
  <si>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</si>
  <si>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</si>
  <si>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</si>
  <si>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</si>
  <si>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</si>
  <si>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</si>
  <si>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</si>
  <si>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</si>
  <si>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</si>
  <si>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</si>
  <si>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</si>
  <si>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</si>
  <si>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</si>
  <si>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</si>
  <si>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</si>
  <si>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</si>
  <si>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</si>
  <si>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</si>
  <si>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</si>
  <si>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</si>
  <si>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</si>
  <si>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</si>
  <si>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</si>
  <si>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</si>
  <si>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</si>
  <si>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</si>
  <si>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</si>
  <si>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</si>
  <si>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</si>
  <si>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</si>
  <si>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</si>
  <si>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</si>
  <si>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</si>
  <si>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</si>
  <si>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</si>
  <si>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</si>
  <si>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</si>
  <si>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</si>
  <si>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</si>
  <si>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</si>
  <si>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</si>
  <si>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</si>
  <si>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</si>
  <si>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</si>
  <si>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</si>
  <si>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</si>
  <si>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</si>
  <si>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</si>
  <si>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</si>
  <si>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</si>
  <si>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</si>
  <si>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</si>
  <si>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</si>
  <si>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</si>
  <si>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</si>
  <si>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</si>
  <si>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</si>
  <si>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</si>
  <si>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</si>
  <si>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</si>
  <si>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</si>
  <si>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</si>
  <si>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</si>
  <si>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</si>
  <si>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</si>
  <si>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</si>
  <si>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</si>
  <si>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</si>
  <si>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</si>
  <si>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</si>
  <si>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</si>
  <si>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</si>
  <si>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</si>
  <si>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</si>
  <si>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</si>
  <si>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</si>
  <si>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</si>
  <si>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</si>
  <si>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</si>
  <si>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</si>
  <si>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</si>
  <si>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</si>
  <si>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</si>
  <si>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</si>
  <si>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</si>
  <si>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</si>
  <si>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</si>
  <si>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</si>
  <si>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</si>
  <si>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</si>
  <si>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</si>
  <si>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</si>
  <si>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</si>
  <si>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</si>
  <si>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</si>
  <si>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</si>
  <si>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</si>
  <si>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</si>
  <si>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</si>
  <si>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</si>
  <si>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</si>
  <si>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</si>
  <si>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</si>
  <si>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</si>
  <si>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</si>
  <si>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</si>
  <si>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</si>
  <si>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</si>
  <si>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</si>
  <si>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</si>
  <si>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</si>
  <si>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</si>
  <si>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</si>
  <si>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</si>
  <si>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</si>
  <si>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</si>
  <si>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</si>
  <si>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</si>
  <si>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</si>
  <si>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</si>
  <si>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</si>
  <si>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</si>
  <si>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</si>
  <si>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</si>
  <si>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</si>
  <si>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</si>
  <si>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</si>
  <si>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</si>
  <si>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</si>
  <si>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</si>
  <si>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</si>
  <si>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</si>
  <si>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</si>
  <si>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</si>
  <si>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</si>
  <si>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</si>
  <si>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</si>
  <si>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</si>
  <si>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</si>
  <si>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</si>
  <si>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</si>
  <si>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</si>
  <si>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</si>
  <si>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</si>
  <si>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</si>
  <si>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</si>
  <si>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</si>
  <si>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</si>
  <si>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</si>
  <si>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</si>
  <si>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</si>
  <si>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</si>
  <si>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</si>
  <si>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</si>
  <si>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</si>
  <si>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</si>
  <si>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</si>
  <si>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</si>
  <si>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</si>
  <si>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</si>
  <si>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</si>
  <si>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</si>
  <si>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</si>
  <si>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</si>
  <si>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</si>
  <si>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</si>
  <si>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</si>
  <si>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</si>
  <si>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</si>
  <si>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</si>
  <si>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</si>
  <si>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</si>
  <si>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</si>
  <si>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</si>
  <si>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</si>
  <si>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</si>
  <si>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</si>
  <si>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</si>
  <si>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</si>
  <si>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</si>
  <si>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</si>
  <si>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</si>
  <si>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</si>
  <si>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</si>
  <si>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</si>
  <si>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</si>
  <si>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</si>
  <si>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</si>
  <si>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</si>
  <si>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</si>
  <si>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</si>
  <si>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</si>
  <si>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</si>
  <si>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</si>
  <si>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</si>
  <si>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</si>
  <si>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</si>
  <si>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</si>
  <si>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</si>
  <si>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</si>
  <si>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</si>
  <si>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</si>
  <si>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</si>
  <si>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</si>
  <si>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</si>
  <si>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</si>
  <si>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</si>
  <si>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</si>
  <si>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</si>
  <si>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</si>
  <si>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</si>
  <si>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</si>
  <si>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</si>
  <si>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</si>
  <si>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</si>
  <si>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</si>
  <si>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</si>
  <si>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</si>
  <si>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</si>
  <si>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</si>
  <si>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</si>
  <si>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</si>
  <si>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</si>
  <si>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</si>
  <si>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</si>
  <si>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</si>
  <si>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</si>
  <si>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</si>
  <si>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</si>
  <si>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</si>
  <si>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</si>
  <si>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</si>
  <si>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</si>
  <si>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</si>
  <si>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</si>
  <si>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</si>
  <si>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</si>
  <si>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</si>
  <si>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</si>
  <si>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</si>
  <si>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</si>
  <si>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</si>
  <si>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</si>
  <si>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</si>
  <si>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</si>
  <si>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</si>
  <si>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</si>
  <si>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</si>
  <si>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</si>
  <si>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</si>
  <si>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</si>
  <si>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</si>
  <si>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</si>
  <si>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</si>
  <si>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</si>
  <si>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</si>
  <si>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</si>
  <si>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</si>
  <si>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</si>
  <si>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</si>
  <si>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</si>
  <si>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</si>
  <si>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</si>
  <si>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</si>
  <si>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</si>
  <si>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</si>
  <si>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</si>
  <si>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</si>
  <si>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</si>
  <si>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</si>
  <si>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</si>
  <si>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</si>
  <si>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</si>
  <si>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</si>
  <si>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</si>
  <si>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</si>
  <si>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</si>
  <si>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</si>
  <si>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</si>
  <si>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</si>
  <si>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</si>
  <si>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</si>
  <si>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</si>
  <si>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</si>
  <si>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</si>
  <si>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</si>
  <si>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</si>
  <si>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</si>
  <si>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</si>
  <si>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</si>
  <si>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</si>
  <si>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</si>
  <si>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</si>
  <si>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</si>
  <si>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</si>
  <si>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</si>
  <si>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</si>
  <si>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</si>
  <si>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</si>
  <si>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</si>
  <si>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</si>
  <si>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</si>
  <si>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</si>
  <si>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</si>
  <si>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</si>
  <si>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</si>
  <si>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</si>
  <si>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</si>
  <si>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</si>
  <si>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</si>
  <si>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</si>
  <si>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</si>
  <si>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</si>
  <si>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</si>
  <si>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</si>
  <si>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</si>
  <si>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</si>
  <si>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</si>
  <si>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</si>
  <si>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</si>
  <si>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</si>
  <si>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</si>
  <si>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</si>
  <si>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</si>
  <si>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</si>
  <si>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</si>
  <si>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</si>
  <si>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</si>
  <si>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</si>
  <si>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</si>
  <si>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</si>
  <si>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</si>
  <si>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</si>
  <si>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</si>
  <si>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</si>
  <si>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</si>
  <si>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</si>
  <si>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</si>
  <si>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</si>
  <si>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</si>
  <si>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</si>
  <si>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</si>
  <si>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</si>
  <si>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</si>
  <si>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</si>
  <si>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</si>
  <si>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</si>
  <si>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</si>
  <si>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</si>
  <si>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</si>
  <si>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</si>
  <si>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</si>
  <si>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</si>
  <si>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</si>
  <si>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</si>
  <si>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</si>
  <si>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</si>
  <si>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</si>
  <si>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</si>
  <si>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</si>
  <si>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</si>
  <si>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</si>
  <si>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</si>
  <si>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</si>
  <si>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</si>
  <si>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</si>
  <si>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</si>
  <si>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</si>
  <si>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</si>
  <si>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</si>
  <si>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</si>
  <si>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</si>
  <si>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</si>
  <si>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</si>
  <si>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</si>
  <si>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</si>
  <si>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</si>
  <si>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</si>
  <si>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</si>
  <si>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</si>
  <si>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</si>
  <si>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</si>
  <si>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</si>
  <si>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</si>
  <si>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</si>
  <si>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</si>
  <si>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</si>
  <si>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</si>
  <si>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</si>
  <si>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</si>
  <si>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</si>
  <si>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</si>
  <si>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</si>
  <si>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</si>
  <si>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</si>
  <si>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</si>
  <si>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</si>
  <si>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</si>
  <si>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</si>
  <si>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</si>
  <si>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</si>
  <si>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</si>
  <si>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</si>
  <si>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</si>
  <si>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</si>
  <si>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</si>
  <si>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</si>
  <si>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</si>
  <si>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</si>
  <si>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</si>
  <si>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</si>
  <si>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</si>
  <si>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</si>
  <si>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</si>
  <si>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</si>
  <si>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</si>
  <si>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</si>
  <si>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</si>
  <si>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</si>
  <si>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</si>
  <si>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</si>
  <si>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</si>
  <si>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</si>
  <si>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</si>
  <si>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</si>
  <si>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</si>
  <si>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</si>
  <si>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</si>
  <si>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</si>
  <si>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</si>
  <si>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</si>
  <si>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</si>
  <si>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</si>
  <si>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</si>
  <si>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</si>
  <si>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</si>
  <si>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</si>
  <si>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</si>
  <si>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</si>
  <si>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</si>
  <si>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</si>
  <si>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</si>
  <si>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</si>
  <si>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</si>
  <si>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</si>
  <si>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</si>
  <si>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</si>
  <si>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</si>
  <si>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</si>
  <si>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</si>
  <si>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</si>
  <si>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</si>
  <si>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</si>
  <si>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</si>
  <si>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</si>
  <si>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</si>
  <si>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</si>
  <si>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</si>
  <si>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</si>
  <si>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</si>
  <si>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</si>
  <si>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</si>
  <si>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</si>
  <si>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</si>
  <si>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</si>
  <si>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</si>
  <si>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</si>
  <si>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</si>
  <si>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</si>
  <si>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</si>
  <si>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</si>
  <si>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</si>
  <si>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</si>
  <si>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</si>
  <si>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</si>
  <si>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</si>
  <si>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</si>
  <si>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</si>
  <si>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</si>
  <si>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</si>
  <si>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</si>
  <si>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</si>
  <si>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</si>
  <si>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</si>
  <si>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</si>
  <si>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</si>
  <si>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</si>
  <si>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</si>
  <si>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</si>
  <si>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</si>
  <si>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</si>
  <si>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</si>
  <si>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</si>
  <si>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</si>
  <si>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</si>
  <si>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</si>
  <si>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</si>
  <si>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</si>
  <si>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</si>
  <si>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</si>
  <si>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</si>
  <si>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</si>
  <si>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</si>
  <si>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</si>
  <si>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</si>
  <si>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</si>
  <si>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</si>
  <si>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</si>
  <si>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</si>
  <si>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</si>
  <si>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</si>
  <si>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</si>
  <si>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</si>
  <si>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</si>
  <si>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</si>
  <si>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</si>
  <si>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</si>
  <si>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</si>
  <si>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</si>
  <si>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</si>
  <si>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</si>
  <si>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</si>
  <si>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</si>
  <si>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</si>
  <si>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</si>
  <si>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</si>
  <si>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</si>
  <si>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</si>
  <si>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</si>
  <si>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</si>
  <si>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</si>
  <si>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</si>
  <si>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</si>
  <si>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</si>
  <si>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</si>
  <si>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</si>
  <si>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</si>
  <si>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</si>
  <si>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</si>
  <si>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</si>
  <si>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</si>
  <si>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</si>
  <si>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</si>
  <si>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</si>
  <si>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</si>
  <si>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</si>
  <si>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</si>
  <si>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</si>
  <si>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</si>
  <si>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</si>
  <si>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</si>
  <si>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</si>
  <si>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</si>
  <si>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</si>
  <si>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</si>
  <si>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</si>
  <si>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</si>
  <si>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</si>
  <si>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</si>
  <si>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</si>
  <si>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</si>
  <si>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</si>
  <si>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</si>
  <si>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</si>
  <si>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</si>
  <si>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</si>
  <si>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</si>
  <si>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</si>
  <si>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</si>
  <si>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</si>
  <si>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</si>
  <si>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</si>
  <si>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</si>
  <si>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</si>
  <si>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</si>
  <si>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</si>
  <si>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</si>
  <si>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</si>
  <si>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</si>
  <si>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</si>
  <si>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</si>
  <si>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</si>
  <si>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</si>
  <si>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</si>
  <si>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</si>
  <si>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</si>
  <si>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</si>
  <si>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</si>
  <si>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</si>
  <si>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</si>
  <si>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</si>
  <si>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</si>
  <si>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</si>
  <si>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</si>
  <si>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</si>
  <si>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</si>
  <si>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</si>
  <si>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</si>
  <si>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</si>
  <si>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</si>
  <si>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</si>
  <si>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</si>
  <si>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</si>
  <si>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</si>
  <si>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</si>
  <si>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</si>
  <si>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</si>
  <si>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</si>
  <si>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</si>
  <si>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</si>
  <si>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</si>
  <si>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</si>
  <si>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</si>
  <si>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</si>
  <si>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</si>
  <si>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</si>
  <si>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</si>
  <si>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</si>
  <si>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</si>
  <si>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</si>
  <si>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</si>
  <si>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</si>
  <si>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</si>
  <si>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</si>
  <si>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</si>
  <si>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</si>
  <si>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</si>
  <si>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</si>
  <si>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</si>
  <si>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</si>
  <si>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</si>
  <si>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</si>
  <si>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</si>
  <si>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</si>
  <si>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</si>
  <si>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</si>
  <si>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</si>
  <si>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</si>
  <si>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</si>
  <si>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</si>
  <si>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</si>
  <si>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</si>
  <si>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</si>
  <si>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</si>
  <si>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</si>
  <si>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</si>
  <si>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</si>
  <si>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</si>
  <si>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</si>
  <si>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</si>
  <si>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</si>
  <si>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</si>
  <si>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</si>
  <si>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</si>
  <si>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</si>
  <si>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</si>
  <si>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</si>
  <si>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</si>
  <si>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</si>
  <si>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</si>
  <si>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</si>
  <si>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</si>
  <si>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</si>
  <si>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</si>
  <si>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</si>
  <si>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</si>
  <si>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</si>
  <si>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</si>
  <si>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</si>
  <si>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</si>
  <si>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</si>
  <si>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</si>
  <si>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</si>
  <si>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</si>
  <si>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</si>
  <si>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</si>
  <si>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</si>
  <si>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</si>
  <si>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</si>
  <si>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</si>
  <si>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</si>
  <si>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</si>
  <si>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</si>
  <si>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</si>
  <si>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</si>
  <si>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</si>
  <si>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</si>
  <si>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</si>
  <si>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</si>
  <si>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</si>
  <si>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</si>
  <si>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</si>
  <si>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</si>
  <si>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</si>
  <si>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</si>
  <si>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</si>
  <si>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</si>
  <si>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</si>
  <si>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</si>
  <si>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</si>
  <si>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</si>
  <si>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</si>
  <si>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</si>
  <si>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</si>
  <si>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</si>
  <si>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</si>
  <si>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</si>
  <si>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</si>
  <si>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</si>
  <si>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</si>
  <si>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</si>
  <si>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</si>
  <si>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</si>
  <si>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</si>
  <si>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</si>
  <si>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</si>
  <si>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</si>
  <si>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</si>
  <si>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</si>
  <si>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</si>
  <si>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</si>
  <si>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</si>
  <si>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</si>
  <si>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</si>
  <si>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</si>
  <si>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</si>
  <si>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</si>
  <si>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</si>
  <si>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</si>
  <si>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</si>
  <si>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</si>
  <si>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</si>
  <si>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</si>
  <si>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</si>
  <si>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</si>
  <si>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</si>
  <si>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</si>
  <si>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</si>
  <si>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</si>
  <si>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</si>
  <si>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</si>
  <si>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</si>
  <si>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</si>
  <si>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</si>
  <si>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</si>
  <si>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</si>
  <si>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</si>
  <si>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</si>
  <si>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</si>
  <si>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</si>
  <si>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</si>
  <si>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</si>
  <si>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</si>
  <si>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</si>
  <si>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</si>
  <si>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</si>
  <si>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</si>
  <si>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</si>
  <si>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</si>
  <si>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</si>
  <si>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</si>
  <si>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</si>
  <si>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</si>
  <si>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</si>
  <si>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</si>
  <si>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</si>
  <si>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</si>
  <si>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</si>
  <si>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</si>
  <si>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</si>
  <si>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</si>
  <si>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</si>
  <si>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</si>
  <si>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</si>
  <si>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</si>
  <si>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</si>
  <si>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</si>
  <si>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</si>
  <si>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</si>
  <si>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</si>
  <si>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</si>
  <si>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</si>
  <si>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</si>
  <si>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</si>
  <si>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</si>
  <si>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</si>
  <si>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</si>
  <si>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</si>
  <si>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</si>
  <si>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</si>
  <si>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</si>
  <si>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</si>
  <si>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</si>
  <si>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</si>
  <si>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</si>
  <si>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</si>
  <si>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</si>
  <si>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</si>
  <si>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</si>
  <si>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</si>
  <si>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</si>
  <si>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</si>
  <si>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</si>
  <si>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</si>
  <si>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</si>
  <si>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</si>
  <si>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</si>
  <si>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</si>
  <si>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</si>
  <si>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</si>
  <si>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</si>
  <si>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</si>
  <si>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</si>
  <si>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</si>
  <si>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</si>
  <si>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</si>
  <si>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</si>
  <si>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</si>
  <si>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</si>
  <si>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</si>
  <si>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</si>
  <si>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</si>
  <si>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</si>
  <si>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</si>
  <si>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</si>
  <si>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</si>
  <si>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</si>
  <si>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</si>
  <si>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</si>
  <si>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</si>
  <si>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</si>
  <si>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</si>
  <si>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</si>
  <si>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</si>
  <si>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</si>
  <si>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</si>
  <si>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</si>
  <si>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</si>
  <si>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</si>
  <si>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</si>
  <si>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</si>
  <si>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</si>
  <si>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</si>
  <si>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</si>
  <si>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</si>
  <si>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</si>
  <si>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</si>
  <si>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</si>
  <si>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</si>
  <si>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</si>
  <si>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</si>
  <si>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</si>
  <si>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</si>
  <si>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</si>
  <si>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</si>
  <si>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</si>
  <si>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</si>
  <si>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</si>
  <si>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</si>
  <si>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</si>
  <si>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</si>
  <si>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</si>
  <si>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</si>
  <si>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</si>
  <si>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</si>
  <si>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</si>
  <si>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</si>
  <si>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</si>
  <si>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</si>
  <si>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</si>
  <si>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</si>
  <si>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</si>
  <si>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</si>
  <si>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</si>
  <si>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</si>
  <si>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</si>
  <si>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</si>
  <si>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</si>
  <si>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</si>
  <si>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</si>
  <si>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</si>
  <si>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</si>
  <si>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</si>
  <si>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</si>
  <si>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</si>
  <si>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</si>
  <si>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</si>
  <si>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</si>
  <si>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</si>
  <si>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</si>
  <si>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</si>
  <si>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</si>
  <si>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</si>
  <si>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</si>
  <si>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</si>
  <si>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</si>
  <si>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</si>
  <si>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</si>
  <si>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</si>
  <si>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</si>
  <si>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</si>
  <si>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</si>
  <si>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</si>
  <si>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</si>
  <si>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</si>
  <si>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</si>
  <si>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</si>
  <si>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</si>
  <si>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</si>
  <si>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</si>
  <si>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</si>
  <si>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</si>
  <si>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</si>
  <si>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</si>
  <si>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</si>
  <si>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</si>
  <si>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</si>
  <si>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</si>
  <si>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</si>
  <si>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</si>
  <si>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</si>
  <si>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</si>
  <si>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</si>
  <si>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</si>
  <si>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</si>
  <si>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</si>
  <si>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</si>
  <si>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</si>
  <si>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</si>
  <si>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</si>
  <si>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</si>
  <si>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</si>
  <si>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</si>
  <si>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</si>
  <si>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</si>
  <si>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</si>
  <si>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</si>
  <si>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</si>
  <si>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</si>
  <si>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</si>
  <si>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</si>
  <si>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</si>
  <si>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</si>
  <si>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</si>
  <si>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</si>
  <si>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</si>
  <si>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</si>
  <si>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</si>
  <si>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</si>
  <si>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</si>
  <si>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</si>
  <si>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</si>
  <si>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</si>
  <si>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</si>
  <si>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</si>
  <si>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</si>
  <si>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</si>
  <si>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</si>
  <si>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</si>
  <si>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</si>
  <si>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</si>
  <si>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</si>
  <si>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</si>
  <si>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</si>
  <si>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</si>
  <si>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</si>
  <si>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</si>
  <si>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</si>
  <si>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</si>
  <si>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</si>
  <si>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</si>
  <si>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</si>
  <si>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</si>
  <si>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</si>
  <si>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</si>
  <si>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</si>
  <si>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</si>
  <si>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</si>
  <si>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</si>
  <si>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</si>
  <si>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</si>
  <si>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</si>
  <si>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</si>
  <si>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</si>
  <si>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</si>
  <si>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</si>
  <si>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</si>
  <si>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</si>
  <si>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</si>
  <si>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</si>
  <si>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</si>
  <si>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</si>
  <si>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</si>
  <si>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</si>
  <si>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</si>
  <si>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</si>
  <si>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</si>
  <si>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</si>
  <si>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</si>
  <si>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</si>
  <si>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</si>
  <si>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</si>
  <si>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</si>
  <si>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</si>
  <si>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</si>
  <si>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</si>
  <si>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</si>
  <si>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</si>
  <si>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</si>
  <si>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</si>
  <si>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</si>
  <si>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</si>
  <si>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</si>
  <si>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</si>
  <si>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</si>
  <si>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</si>
  <si>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</si>
  <si>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</si>
  <si>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</si>
  <si>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</si>
  <si>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</si>
  <si>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</si>
  <si>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</si>
  <si>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</si>
  <si>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</si>
  <si>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</si>
  <si>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</si>
  <si>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</si>
  <si>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</si>
  <si>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</si>
  <si>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</si>
  <si>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</si>
  <si>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</si>
  <si>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</si>
  <si>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</si>
  <si>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</si>
  <si>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</si>
  <si>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</si>
  <si>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</si>
  <si>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</si>
  <si>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</si>
  <si>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</si>
  <si>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</si>
  <si>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</si>
  <si>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</si>
  <si>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</si>
  <si>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</si>
  <si>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</si>
  <si>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</si>
  <si>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</si>
  <si>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</si>
  <si>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</si>
  <si>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</si>
  <si>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</si>
  <si>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</si>
  <si>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</si>
  <si>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</si>
  <si>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</si>
  <si>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</si>
  <si>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</si>
  <si>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</si>
  <si>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</si>
  <si>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</si>
  <si>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</si>
  <si>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</si>
  <si>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</si>
  <si>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</si>
  <si>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</si>
  <si>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</si>
  <si>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</si>
  <si>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</si>
  <si>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</si>
  <si>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</si>
  <si>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</si>
  <si>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</si>
  <si>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</si>
  <si>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</si>
  <si>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</si>
  <si>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</si>
  <si>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</si>
  <si>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</si>
  <si>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</si>
  <si>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</si>
  <si>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</si>
  <si>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</si>
  <si>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</si>
  <si>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</si>
  <si>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</si>
  <si>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</si>
  <si>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</si>
  <si>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</si>
  <si>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</si>
  <si>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</si>
  <si>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</si>
  <si>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</si>
  <si>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</si>
  <si>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</si>
  <si>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</si>
  <si>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</si>
  <si>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</si>
  <si>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</si>
  <si>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</si>
  <si>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</si>
  <si>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</si>
  <si>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</si>
  <si>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</si>
  <si>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</si>
  <si>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</si>
  <si>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</si>
  <si>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</si>
  <si>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</si>
  <si>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</si>
  <si>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</si>
  <si>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</si>
  <si>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</si>
  <si>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</si>
  <si>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</si>
  <si>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</si>
  <si>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</si>
  <si>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</si>
  <si>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</si>
  <si>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</si>
  <si>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</si>
  <si>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</si>
  <si>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</si>
  <si>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</si>
  <si>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</si>
  <si>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</si>
  <si>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</si>
  <si>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</si>
  <si>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</si>
  <si>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</si>
  <si>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</si>
  <si>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</si>
  <si>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</si>
  <si>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</si>
  <si>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</si>
  <si>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</si>
  <si>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</si>
  <si>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</si>
  <si>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</si>
  <si>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</si>
  <si>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</si>
  <si>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</si>
  <si>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</si>
  <si>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</si>
  <si>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</si>
  <si>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</si>
  <si>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</si>
  <si>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</si>
  <si>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</si>
  <si>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</si>
  <si>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</si>
  <si>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</si>
  <si>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</si>
  <si>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</si>
  <si>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</si>
  <si>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</si>
  <si>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</si>
  <si>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</si>
  <si>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</si>
  <si>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</si>
  <si>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</si>
  <si>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</si>
  <si>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</si>
  <si>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</si>
  <si>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</si>
  <si>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</si>
  <si>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</si>
  <si>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</si>
  <si>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</si>
  <si>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</si>
  <si>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</si>
  <si>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</si>
  <si>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</si>
  <si>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</si>
  <si>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</si>
  <si>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</si>
  <si>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</si>
  <si>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</si>
  <si>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</si>
  <si>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</si>
  <si>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</si>
  <si>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</si>
  <si>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</si>
  <si>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</si>
  <si>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</si>
  <si>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</si>
  <si>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</si>
  <si>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</si>
  <si>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</si>
  <si>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</si>
  <si>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</si>
  <si>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</si>
  <si>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</si>
  <si>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</si>
  <si>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</si>
  <si>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</si>
  <si>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</si>
  <si>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</si>
  <si>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</si>
  <si>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</si>
  <si>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</si>
  <si>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</si>
  <si>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</si>
  <si>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</si>
  <si>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</si>
  <si>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</si>
  <si>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</si>
  <si>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</si>
  <si>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</si>
  <si>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</si>
  <si>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</si>
  <si>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</si>
  <si>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</si>
  <si>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</si>
  <si>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</si>
  <si>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</si>
  <si>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</si>
  <si>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</si>
  <si>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</si>
  <si>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</si>
  <si>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</si>
  <si>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</si>
  <si>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</si>
  <si>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</si>
  <si>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</si>
  <si>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</si>
  <si>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</si>
  <si>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</si>
  <si>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</si>
  <si>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</si>
  <si>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</si>
  <si>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</si>
  <si>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</si>
  <si>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</si>
  <si>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</si>
  <si>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</si>
  <si>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</si>
  <si>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</si>
  <si>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</si>
  <si>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</si>
  <si>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</si>
  <si>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</si>
  <si>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</si>
  <si>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</si>
  <si>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</si>
  <si>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</si>
  <si>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</si>
  <si>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</si>
  <si>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</si>
  <si>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</si>
  <si>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</si>
  <si>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</si>
  <si>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</si>
  <si>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</si>
  <si>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</si>
  <si>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</si>
  <si>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</si>
  <si>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</si>
  <si>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</si>
  <si>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</si>
  <si>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</si>
  <si>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</si>
  <si>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</si>
  <si>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</si>
  <si>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</si>
  <si>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</si>
  <si>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</si>
  <si>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</si>
  <si>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</si>
  <si>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</si>
  <si>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</si>
  <si>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</si>
  <si>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</si>
  <si>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</si>
  <si>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</si>
  <si>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</si>
  <si>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</si>
  <si>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</si>
  <si>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</si>
  <si>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</si>
  <si>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</si>
  <si>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</si>
  <si>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</si>
  <si>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</si>
  <si>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</si>
  <si>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</si>
  <si>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</si>
  <si>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</si>
  <si>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</si>
  <si>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</si>
  <si>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</si>
  <si>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</si>
  <si>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</si>
  <si>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</si>
  <si>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</si>
  <si>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</si>
  <si>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</si>
  <si>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</si>
  <si>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</si>
  <si>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</si>
  <si>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</si>
  <si>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</si>
  <si>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</si>
  <si>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</si>
  <si>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</si>
  <si>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</si>
  <si>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</si>
  <si>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</si>
  <si>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</si>
  <si>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</si>
  <si>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</si>
  <si>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</si>
  <si>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</si>
  <si>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</si>
  <si>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</si>
  <si>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</si>
  <si>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</si>
  <si>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</si>
  <si>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</si>
  <si>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</si>
  <si>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</si>
  <si>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</si>
  <si>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</si>
  <si>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</si>
  <si>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</si>
  <si>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</si>
  <si>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</si>
  <si>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</si>
  <si>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</si>
  <si>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</si>
  <si>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</si>
  <si>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</si>
  <si>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</si>
  <si>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</si>
  <si>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</si>
  <si>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</si>
  <si>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</si>
  <si>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</si>
  <si>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</si>
  <si>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</si>
  <si>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</si>
  <si>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</si>
  <si>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</si>
  <si>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</si>
  <si>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</si>
  <si>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</si>
  <si>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</si>
  <si>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</si>
  <si>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</si>
  <si>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</si>
  <si>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</si>
  <si>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</si>
  <si>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</si>
  <si>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</si>
  <si>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</si>
  <si>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</si>
  <si>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</si>
  <si>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</si>
  <si>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</si>
  <si>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</si>
  <si>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</si>
  <si>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</si>
  <si>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</si>
  <si>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</si>
  <si>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</si>
  <si>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</si>
  <si>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</si>
  <si>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</si>
  <si>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</si>
  <si>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</si>
  <si>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</si>
  <si>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</si>
  <si>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</si>
  <si>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</si>
  <si>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</si>
  <si>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</si>
  <si>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</si>
  <si>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</si>
  <si>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</si>
  <si>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</si>
  <si>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</si>
  <si>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</si>
  <si>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</si>
  <si>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</si>
  <si>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</si>
  <si>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</si>
  <si>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</si>
  <si>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</si>
  <si>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</si>
  <si>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</si>
  <si>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</si>
  <si>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</si>
  <si>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</si>
  <si>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</si>
  <si>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</si>
  <si>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</si>
  <si>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</si>
  <si>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</si>
  <si>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</si>
  <si>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</si>
  <si>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</si>
  <si>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</si>
  <si>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</si>
  <si>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</si>
  <si>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</si>
  <si>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</si>
  <si>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</si>
  <si>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</si>
  <si>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</si>
  <si>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</si>
  <si>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</si>
  <si>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</si>
  <si>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</si>
  <si>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</si>
  <si>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</si>
  <si>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</si>
  <si>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</si>
  <si>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</si>
  <si>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</si>
  <si>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</si>
  <si>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</si>
  <si>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</si>
  <si>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</si>
  <si>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</si>
  <si>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</si>
  <si>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</si>
  <si>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</si>
  <si>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</si>
  <si>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</si>
  <si>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</si>
  <si>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</si>
  <si>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</si>
  <si>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</si>
  <si>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</si>
  <si>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</si>
  <si>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</si>
  <si>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</si>
  <si>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</si>
  <si>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</si>
  <si>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</si>
  <si>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</si>
  <si>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</si>
  <si>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</si>
  <si>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</si>
  <si>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</si>
  <si>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</si>
  <si>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</si>
  <si>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</si>
  <si>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</si>
  <si>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</si>
  <si>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</si>
  <si>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</si>
  <si>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</si>
  <si>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</si>
  <si>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</si>
  <si>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</si>
  <si>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</si>
  <si>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</si>
  <si>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</si>
  <si>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</si>
  <si>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</si>
  <si>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</si>
  <si>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</si>
  <si>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</si>
  <si>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</si>
  <si>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</si>
  <si>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</si>
  <si>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</si>
  <si>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</si>
  <si>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</si>
  <si>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</si>
  <si>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</si>
  <si>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</si>
  <si>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</si>
  <si>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</si>
  <si>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</si>
  <si>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</si>
  <si>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</si>
  <si>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</si>
  <si>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</si>
  <si>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</si>
  <si>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</si>
  <si>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</si>
  <si>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</si>
  <si>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</si>
  <si>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</si>
  <si>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</si>
  <si>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</si>
  <si>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</si>
  <si>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</si>
  <si>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</si>
  <si>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</si>
  <si>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</si>
  <si>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</si>
  <si>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</si>
  <si>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</si>
  <si>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</si>
  <si>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</si>
  <si>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</si>
  <si>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</si>
  <si>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</si>
  <si>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</si>
  <si>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</si>
  <si>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</si>
  <si>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</si>
  <si>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</si>
  <si>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</si>
  <si>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</si>
  <si>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</si>
  <si>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</si>
  <si>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</si>
  <si>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</si>
  <si>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</si>
  <si>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</si>
  <si>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</si>
  <si>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</si>
  <si>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</si>
  <si>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</si>
  <si>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</si>
  <si>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</si>
  <si>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</si>
  <si>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</si>
  <si>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</si>
  <si>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</si>
  <si>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</si>
  <si>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</si>
  <si>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</si>
  <si>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</si>
  <si>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</si>
  <si>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</si>
  <si>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</si>
  <si>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</si>
  <si>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</si>
  <si>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</si>
  <si>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</si>
  <si>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</si>
  <si>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</si>
  <si>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</si>
  <si>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</si>
  <si>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</si>
  <si>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</si>
  <si>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</si>
  <si>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</si>
  <si>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</si>
  <si>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</si>
  <si>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</si>
  <si>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</si>
  <si>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</si>
  <si>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</si>
  <si>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</si>
  <si>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</si>
  <si>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</si>
  <si>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</si>
  <si>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</si>
  <si>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</si>
  <si>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</si>
  <si>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</si>
  <si>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</si>
  <si>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</si>
  <si>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</si>
  <si>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</si>
  <si>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</si>
  <si>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</si>
  <si>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</si>
  <si>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</si>
  <si>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</si>
  <si>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</si>
  <si>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</si>
  <si>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</si>
  <si>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</si>
  <si>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</si>
  <si>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</si>
  <si>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</si>
  <si>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</si>
  <si>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</si>
  <si>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</si>
  <si>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</si>
  <si>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</si>
  <si>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</si>
  <si>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</si>
  <si>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</si>
  <si>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</si>
  <si>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</si>
  <si>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</si>
  <si>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</si>
  <si>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</si>
  <si>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</si>
  <si>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</si>
  <si>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</si>
  <si>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</si>
  <si>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</si>
  <si>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</si>
  <si>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</si>
  <si>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</si>
  <si>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</si>
  <si>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</si>
  <si>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</si>
  <si>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</si>
  <si>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</si>
  <si>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</si>
  <si>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</si>
  <si>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</si>
  <si>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</si>
  <si>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</si>
  <si>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</si>
  <si>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</si>
  <si>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</si>
  <si>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</si>
  <si>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</si>
  <si>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</si>
  <si>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</si>
  <si>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</si>
  <si>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</si>
  <si>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</si>
  <si>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</si>
  <si>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</si>
  <si>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</si>
  <si>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</si>
  <si>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</si>
  <si>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</si>
  <si>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</si>
  <si>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</si>
  <si>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</si>
  <si>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</si>
  <si>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</si>
  <si>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</si>
  <si>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</si>
  <si>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</si>
  <si>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</si>
  <si>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</si>
  <si>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</si>
  <si>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</si>
  <si>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</si>
  <si>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</si>
  <si>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</si>
  <si>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</si>
  <si>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</si>
  <si>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</si>
  <si>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</si>
  <si>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</si>
  <si>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</si>
  <si>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</si>
  <si>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</si>
  <si>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</si>
  <si>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</si>
  <si>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</si>
  <si>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</si>
  <si>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</si>
  <si>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</si>
  <si>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</si>
  <si>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</si>
  <si>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</si>
  <si>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</si>
  <si>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</si>
  <si>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</si>
  <si>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</si>
  <si>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</si>
  <si>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</si>
  <si>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</si>
  <si>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</si>
  <si>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</si>
  <si>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</si>
  <si>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</si>
  <si>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</si>
  <si>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</si>
  <si>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</si>
  <si>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</si>
  <si>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</si>
  <si>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</si>
  <si>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</si>
  <si>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</si>
  <si>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</si>
  <si>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</si>
  <si>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</si>
  <si>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</si>
  <si>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</si>
  <si>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</si>
  <si>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</si>
  <si>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</si>
  <si>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</si>
  <si>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</si>
  <si>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</si>
  <si>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</si>
  <si>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</si>
  <si>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</si>
  <si>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</si>
  <si>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</si>
  <si>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</si>
  <si>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</si>
  <si>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</si>
  <si>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</si>
  <si>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</si>
  <si>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</si>
  <si>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</si>
  <si>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</si>
  <si>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</si>
  <si>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</si>
  <si>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</si>
  <si>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</si>
  <si>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</si>
  <si>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</si>
  <si>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</si>
  <si>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</si>
  <si>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</si>
  <si>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</si>
  <si>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</si>
  <si>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</si>
  <si>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</si>
  <si>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</si>
  <si>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</si>
  <si>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</si>
  <si>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</si>
  <si>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</si>
  <si>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</si>
  <si>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</si>
  <si>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</si>
  <si>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</si>
  <si>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</si>
  <si>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</si>
  <si>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</si>
  <si>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</si>
  <si>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</si>
  <si>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</si>
  <si>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</si>
  <si>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</si>
  <si>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</si>
  <si>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</si>
  <si>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</si>
  <si>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</si>
  <si>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</si>
  <si>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</si>
  <si>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</si>
  <si>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</si>
  <si>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</si>
  <si>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</si>
  <si>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</si>
  <si>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</si>
  <si>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</si>
  <si>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</si>
  <si>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</si>
  <si>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</si>
  <si>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</si>
  <si>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</si>
  <si>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</si>
  <si>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</si>
  <si>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</si>
  <si>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</si>
  <si>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</si>
  <si>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</si>
  <si>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</si>
  <si>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</si>
  <si>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</si>
  <si>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</si>
  <si>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</si>
  <si>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</si>
  <si>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</si>
  <si>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</si>
  <si>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</si>
  <si>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</si>
  <si>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</si>
  <si>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</si>
  <si>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</si>
  <si>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</si>
  <si>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</si>
  <si>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</si>
  <si>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</si>
  <si>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</si>
  <si>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</si>
  <si>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</si>
  <si>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</si>
  <si>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</si>
  <si>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</si>
  <si>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</si>
  <si>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</si>
  <si>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</si>
  <si>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</si>
  <si>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</si>
  <si>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</si>
  <si>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</si>
  <si>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</si>
  <si>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</si>
  <si>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</si>
  <si>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</si>
  <si>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</si>
  <si>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</si>
  <si>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</si>
  <si>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</si>
  <si>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</si>
  <si>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</si>
  <si>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</si>
  <si>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</si>
  <si>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</si>
  <si>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</si>
  <si>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</si>
  <si>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</si>
  <si>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</si>
  <si>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</si>
  <si>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</si>
  <si>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</si>
  <si>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</si>
  <si>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</si>
  <si>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</si>
  <si>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</si>
  <si>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</si>
  <si>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</si>
  <si>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</si>
  <si>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</si>
  <si>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</si>
  <si>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</si>
  <si>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</si>
  <si>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</si>
  <si>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</si>
  <si>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</si>
  <si>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</si>
  <si>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</si>
  <si>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</si>
  <si>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</si>
  <si>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</si>
  <si>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</si>
  <si>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</si>
  <si>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</si>
  <si>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</si>
  <si>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</si>
  <si>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</si>
  <si>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</si>
  <si>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</si>
  <si>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</si>
  <si>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</si>
  <si>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</si>
  <si>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</si>
  <si>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</si>
  <si>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</si>
  <si>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</si>
  <si>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</si>
  <si>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</si>
  <si>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</si>
  <si>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</si>
  <si>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</si>
  <si>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</si>
  <si>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</si>
  <si>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</si>
  <si>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</si>
  <si>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</si>
  <si>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</si>
  <si>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</si>
  <si>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</si>
  <si>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</si>
  <si>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</si>
  <si>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</si>
  <si>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</si>
  <si>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</si>
  <si>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</si>
  <si>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</si>
  <si>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</si>
  <si>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</si>
  <si>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</si>
  <si>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</si>
  <si>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</si>
  <si>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</si>
  <si>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</si>
  <si>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</si>
  <si>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</si>
  <si>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</si>
  <si>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</si>
  <si>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</si>
  <si>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</si>
  <si>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</si>
  <si>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</si>
  <si>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</si>
  <si>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</si>
  <si>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</si>
  <si>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</si>
  <si>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</si>
  <si>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</si>
  <si>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</si>
  <si>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</si>
  <si>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</si>
  <si>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</si>
  <si>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</si>
  <si>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</si>
  <si>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</si>
  <si>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</si>
  <si>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</si>
  <si>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</si>
  <si>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</si>
  <si>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</si>
  <si>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</si>
  <si>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</si>
  <si>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</si>
  <si>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</si>
  <si>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</si>
  <si>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</si>
  <si>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</si>
  <si>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</si>
  <si>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</si>
  <si>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</si>
  <si>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</si>
  <si>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</si>
  <si>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</si>
  <si>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</si>
  <si>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</si>
  <si>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</si>
  <si>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</si>
  <si>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</si>
  <si>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</si>
  <si>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</si>
  <si>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</si>
  <si>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</si>
  <si>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</si>
  <si>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</si>
  <si>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</si>
  <si>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</si>
  <si>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</si>
  <si>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</si>
  <si>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</si>
  <si>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</si>
  <si>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</si>
  <si>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</si>
  <si>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</si>
  <si>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</si>
  <si>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</si>
  <si>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</si>
  <si>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</si>
  <si>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</si>
  <si>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</si>
  <si>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</si>
  <si>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</si>
  <si>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</si>
  <si>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</si>
  <si>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</si>
  <si>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</si>
  <si>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</si>
  <si>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</si>
  <si>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</si>
  <si>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</si>
  <si>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</si>
  <si>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</si>
  <si>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</si>
  <si>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</si>
  <si>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</si>
  <si>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</si>
  <si>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</si>
  <si>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</si>
  <si>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</si>
  <si>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</si>
  <si>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</si>
  <si>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</si>
  <si>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</si>
  <si>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</si>
  <si>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</si>
  <si>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</si>
  <si>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</si>
  <si>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</si>
  <si>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</si>
  <si>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</si>
  <si>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</si>
  <si>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</si>
  <si>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</si>
  <si>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</si>
  <si>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</si>
  <si>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</si>
  <si>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</si>
  <si>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</si>
  <si>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</si>
  <si>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</si>
  <si>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</si>
  <si>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</si>
  <si>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</si>
  <si>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</si>
  <si>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</si>
  <si>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</si>
  <si>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</si>
  <si>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</si>
  <si>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</si>
  <si>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</si>
  <si>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</si>
  <si>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</si>
  <si>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</si>
  <si>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</si>
  <si>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</si>
  <si>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</si>
  <si>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</si>
  <si>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</si>
  <si>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</si>
  <si>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</si>
  <si>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</si>
  <si>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</si>
  <si>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</si>
  <si>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</si>
  <si>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</si>
  <si>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</si>
  <si>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</si>
  <si>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</si>
  <si>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</si>
  <si>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</si>
  <si>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</si>
  <si>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</si>
  <si>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</si>
  <si>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</si>
  <si>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</si>
  <si>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</si>
  <si>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</si>
  <si>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</si>
  <si>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</si>
  <si>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</si>
  <si>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</si>
  <si>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</si>
  <si>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</si>
  <si>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</si>
  <si>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</si>
  <si>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</si>
  <si>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</si>
  <si>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</si>
  <si>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</si>
  <si>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</si>
  <si>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</si>
  <si>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</si>
  <si>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</si>
  <si>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</si>
  <si>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</si>
  <si>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</si>
  <si>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</si>
  <si>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</si>
  <si>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</si>
  <si>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</si>
  <si>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</si>
  <si>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</si>
  <si>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</si>
  <si>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</si>
  <si>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</si>
  <si>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</si>
  <si>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</si>
  <si>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</si>
  <si>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</si>
  <si>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</si>
  <si>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</si>
  <si>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</si>
  <si>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</si>
  <si>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</si>
  <si>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</si>
  <si>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</si>
  <si>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</si>
  <si>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</si>
  <si>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</si>
  <si>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</si>
  <si>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</si>
  <si>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</si>
  <si>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</si>
  <si>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</si>
  <si>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</si>
  <si>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</si>
  <si>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</si>
  <si>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</si>
  <si>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</si>
  <si>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</si>
  <si>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</si>
  <si>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</si>
  <si>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</si>
  <si>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</si>
  <si>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</si>
  <si>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</si>
  <si>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</si>
  <si>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</si>
  <si>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</si>
  <si>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</si>
  <si>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</si>
  <si>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</si>
  <si>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</si>
  <si>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</si>
  <si>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</si>
  <si>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</si>
  <si>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</si>
  <si>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</si>
  <si>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</si>
  <si>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</si>
  <si>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</si>
  <si>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</si>
  <si>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</si>
  <si>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</si>
  <si>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</si>
  <si>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</si>
  <si>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</si>
  <si>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</si>
  <si>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</si>
  <si>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</si>
  <si>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</si>
  <si>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</si>
  <si>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</si>
  <si>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</si>
  <si>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</si>
  <si>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</si>
  <si>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</si>
  <si>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</si>
  <si>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</si>
  <si>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</si>
  <si>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</si>
  <si>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</si>
  <si>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</si>
  <si>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</si>
  <si>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</si>
  <si>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</si>
  <si>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</si>
  <si>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</si>
  <si>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</si>
  <si>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</si>
  <si>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</si>
  <si>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</si>
  <si>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</si>
  <si>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</si>
  <si>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</si>
  <si>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</si>
  <si>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</si>
  <si>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</si>
  <si>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</si>
  <si>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</si>
  <si>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</si>
  <si>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</si>
  <si>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</si>
  <si>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</si>
  <si>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</si>
  <si>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</si>
  <si>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</si>
  <si>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</si>
  <si>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</si>
  <si>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</si>
  <si>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</si>
  <si>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</si>
  <si>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</si>
  <si>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</si>
  <si>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</si>
  <si>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</si>
  <si>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</si>
  <si>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</si>
  <si>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</si>
  <si>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</si>
  <si>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</si>
  <si>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</si>
  <si>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</si>
  <si>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</si>
  <si>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</si>
  <si>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</si>
  <si>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</si>
  <si>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</si>
  <si>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</si>
  <si>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</si>
  <si>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</si>
  <si>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</si>
  <si>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</si>
  <si>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</si>
  <si>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</si>
  <si>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</si>
  <si>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</si>
  <si>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</si>
  <si>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</si>
  <si>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</si>
  <si>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</si>
  <si>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</si>
  <si>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</si>
  <si>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</si>
  <si>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</si>
  <si>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</si>
  <si>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</si>
  <si>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</si>
  <si>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</si>
  <si>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</si>
  <si>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</si>
  <si>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</si>
  <si>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</si>
  <si>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</si>
  <si>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</si>
  <si>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</si>
  <si>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</si>
  <si>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</si>
  <si>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</si>
  <si>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</si>
  <si>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</si>
  <si>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</si>
  <si>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</si>
  <si>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</si>
  <si>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</si>
  <si>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</si>
  <si>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</si>
  <si>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</si>
  <si>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</si>
  <si>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</si>
  <si>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</si>
  <si>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</si>
  <si>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</si>
  <si>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</si>
  <si>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</si>
  <si>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</si>
  <si>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</si>
  <si>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</si>
  <si>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</si>
  <si>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</si>
  <si>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</si>
  <si>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</si>
  <si>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</si>
  <si>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</si>
  <si>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</si>
  <si>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</si>
  <si>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</si>
  <si>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</si>
  <si>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</si>
  <si>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</si>
  <si>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</si>
  <si>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</si>
  <si>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</si>
  <si>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</si>
  <si>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</si>
  <si>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</si>
  <si>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</si>
  <si>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</si>
  <si>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</si>
  <si>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</si>
  <si>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</si>
  <si>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</si>
  <si>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</si>
  <si>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</si>
  <si>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</si>
  <si>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</si>
  <si>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</si>
  <si>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</si>
  <si>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</si>
  <si>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</si>
  <si>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</si>
  <si>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</si>
  <si>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</si>
  <si>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</si>
  <si>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</si>
  <si>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</si>
  <si>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</si>
  <si>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</si>
  <si>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</si>
  <si>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</si>
  <si>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</si>
  <si>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</si>
  <si>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</si>
  <si>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</si>
  <si>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</si>
  <si>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</si>
  <si>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</si>
  <si>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</si>
  <si>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</si>
  <si>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</si>
  <si>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</si>
  <si>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</si>
  <si>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</si>
  <si>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</si>
  <si>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</si>
  <si>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</si>
  <si>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</si>
  <si>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</si>
  <si>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</si>
  <si>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</si>
  <si>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</si>
  <si>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</si>
  <si>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</si>
  <si>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</si>
  <si>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</si>
  <si>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</si>
  <si>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</si>
  <si>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</si>
  <si>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</si>
  <si>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</si>
  <si>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</si>
  <si>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</si>
  <si>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</si>
  <si>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</si>
  <si>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</si>
  <si>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</si>
  <si>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</si>
  <si>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</si>
  <si>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</si>
  <si>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</si>
  <si>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</si>
  <si>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</si>
  <si>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</si>
  <si>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</si>
  <si>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</si>
  <si>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</si>
  <si>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</si>
  <si>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</si>
  <si>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</si>
  <si>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</si>
  <si>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</si>
  <si>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</si>
  <si>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</si>
  <si>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</si>
  <si>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</si>
  <si>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</si>
  <si>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</si>
  <si>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</si>
  <si>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</si>
  <si>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</si>
  <si>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</si>
  <si>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</si>
  <si>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</si>
  <si>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</si>
  <si>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</si>
  <si>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</si>
  <si>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</si>
  <si>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</si>
  <si>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</si>
  <si>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</si>
  <si>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</si>
  <si>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</si>
  <si>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</si>
  <si>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</si>
  <si>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</si>
  <si>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</si>
  <si>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</si>
  <si>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</si>
  <si>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</si>
  <si>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</si>
  <si>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</si>
  <si>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</si>
  <si>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</si>
  <si>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</si>
  <si>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</si>
  <si>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</si>
  <si>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</si>
  <si>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</si>
  <si>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</si>
  <si>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</si>
  <si>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</si>
  <si>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</si>
  <si>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</si>
  <si>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</si>
  <si>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</si>
  <si>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</si>
  <si>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</si>
  <si>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</si>
  <si>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</si>
  <si>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</si>
  <si>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</si>
  <si>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</si>
  <si>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</si>
  <si>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</si>
  <si>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</si>
  <si>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</si>
  <si>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</si>
  <si>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</si>
  <si>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</si>
  <si>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</si>
  <si>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</si>
  <si>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</si>
  <si>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</si>
  <si>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</si>
  <si>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</si>
  <si>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</si>
  <si>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</si>
  <si>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</si>
  <si>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</si>
  <si>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</si>
  <si>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</si>
  <si>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</si>
  <si>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</si>
  <si>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</si>
  <si>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</si>
  <si>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</si>
  <si>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</si>
  <si>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</si>
  <si>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</si>
  <si>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</si>
  <si>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</si>
  <si>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</si>
  <si>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</si>
  <si>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</si>
  <si>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</si>
  <si>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</si>
  <si>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</si>
  <si>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</si>
  <si>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</si>
  <si>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</si>
  <si>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</si>
  <si>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</si>
  <si>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</si>
  <si>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</si>
  <si>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</si>
  <si>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</si>
  <si>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</si>
  <si>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</si>
  <si>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</si>
  <si>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</si>
  <si>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</si>
  <si>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</si>
  <si>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</si>
  <si>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</si>
  <si>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</si>
  <si>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</si>
  <si>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</si>
  <si>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</si>
  <si>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</si>
  <si>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</si>
  <si>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</si>
  <si>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</si>
  <si>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</si>
  <si>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</si>
  <si>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</si>
  <si>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</si>
  <si>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</si>
  <si>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</si>
  <si>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</si>
  <si>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</si>
  <si>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</si>
  <si>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</si>
  <si>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</si>
  <si>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</si>
  <si>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</si>
  <si>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</si>
  <si>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</si>
  <si>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</si>
  <si>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</si>
  <si>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</si>
  <si>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</si>
  <si>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</si>
  <si>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</si>
  <si>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</si>
  <si>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</si>
  <si>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</si>
  <si>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</si>
  <si>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</si>
  <si>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</si>
  <si>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</si>
  <si>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</si>
  <si>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</si>
  <si>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</si>
  <si>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</si>
  <si>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</si>
  <si>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</si>
  <si>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</si>
  <si>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</si>
  <si>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</si>
  <si>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</si>
  <si>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</si>
  <si>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</si>
  <si>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</si>
  <si>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</si>
  <si>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</si>
  <si>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</si>
  <si>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</si>
  <si>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</si>
  <si>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</si>
  <si>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</si>
  <si>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</si>
  <si>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</si>
  <si>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</si>
  <si>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</si>
  <si>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</si>
  <si>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</si>
  <si>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</si>
  <si>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</si>
  <si>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</si>
  <si>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</si>
  <si>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</si>
  <si>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</si>
  <si>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</si>
  <si>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</si>
  <si>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</si>
  <si>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</si>
  <si>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</si>
  <si>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</si>
  <si>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</si>
  <si>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</si>
  <si>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</si>
  <si>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</si>
  <si>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</si>
  <si>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</si>
  <si>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</si>
  <si>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</si>
  <si>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</si>
  <si>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</si>
  <si>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</si>
  <si>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</si>
  <si>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</si>
  <si>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</si>
  <si>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</si>
  <si>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</si>
  <si>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</si>
  <si>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</si>
  <si>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</si>
  <si>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</si>
  <si>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</si>
  <si>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</si>
  <si>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</si>
  <si>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</si>
  <si>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</si>
  <si>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</si>
  <si>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</si>
  <si>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</si>
  <si>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</si>
  <si>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</si>
  <si>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</si>
  <si>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</si>
  <si>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</si>
  <si>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</si>
  <si>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</si>
  <si>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</si>
  <si>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</si>
  <si>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</si>
  <si>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</si>
  <si>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</si>
  <si>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</si>
  <si>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</si>
  <si>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</si>
  <si>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</si>
  <si>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</si>
  <si>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</si>
  <si>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</si>
  <si>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</si>
  <si>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</si>
  <si>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</si>
  <si>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</si>
  <si>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</si>
  <si>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</si>
  <si>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</si>
  <si>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</si>
  <si>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</si>
  <si>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</si>
  <si>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</si>
  <si>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</si>
  <si>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</si>
  <si>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</si>
  <si>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</si>
  <si>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</si>
  <si>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</si>
  <si>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</si>
  <si>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</si>
  <si>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</si>
  <si>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</si>
  <si>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</si>
  <si>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</si>
  <si>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</si>
  <si>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</si>
  <si>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</si>
  <si>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</si>
  <si>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</si>
  <si>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</si>
  <si>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</si>
  <si>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</si>
  <si>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</si>
  <si>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</si>
  <si>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</si>
  <si>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</si>
  <si>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</si>
  <si>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</si>
  <si>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</si>
  <si>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</si>
  <si>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</si>
  <si>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</si>
  <si>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</si>
  <si>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</si>
  <si>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</si>
  <si>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</si>
  <si>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</si>
  <si>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</si>
  <si>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</si>
  <si>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</si>
  <si>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</si>
  <si>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</si>
  <si>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</si>
  <si>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</si>
  <si>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</si>
  <si>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</si>
  <si>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</si>
  <si>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</si>
  <si>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</si>
  <si>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</si>
  <si>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</si>
  <si>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</si>
  <si>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</si>
  <si>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</si>
  <si>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</si>
  <si>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</si>
  <si>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</si>
  <si>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</si>
  <si>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</si>
  <si>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</si>
  <si>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</si>
  <si>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</si>
  <si>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</si>
  <si>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</si>
  <si>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</si>
  <si>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</si>
  <si>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</si>
  <si>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</si>
  <si>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</si>
  <si>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</si>
  <si>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</si>
  <si>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</si>
  <si>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</si>
  <si>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</si>
  <si>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</si>
  <si>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</si>
  <si>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</si>
  <si>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</si>
  <si>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</si>
  <si>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</si>
  <si>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</si>
  <si>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</si>
  <si>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</si>
  <si>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</si>
  <si>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</si>
  <si>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</si>
  <si>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</si>
  <si>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</si>
  <si>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</si>
  <si>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</si>
  <si>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</si>
  <si>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</si>
  <si>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</si>
  <si>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</si>
  <si>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</si>
  <si>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</si>
  <si>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</si>
  <si>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</si>
  <si>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</si>
  <si>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</si>
  <si>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</si>
  <si>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</si>
  <si>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</si>
  <si>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</si>
  <si>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</si>
  <si>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</si>
  <si>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</si>
  <si>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</si>
  <si>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</si>
  <si>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</si>
  <si>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</si>
  <si>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</si>
  <si>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</si>
  <si>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</si>
  <si>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</si>
  <si>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</si>
  <si>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</si>
  <si>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</si>
  <si>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</si>
  <si>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</si>
  <si>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</si>
  <si>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</si>
  <si>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</si>
  <si>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</si>
  <si>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</si>
  <si>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</si>
  <si>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</si>
  <si>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</si>
  <si>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</si>
  <si>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</si>
  <si>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</si>
  <si>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</si>
  <si>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</si>
  <si>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</si>
  <si>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</si>
  <si>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</si>
  <si>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</si>
  <si>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</si>
  <si>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</si>
  <si>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</si>
  <si>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</si>
  <si>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</si>
  <si>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</si>
  <si>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</si>
  <si>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</si>
  <si>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</si>
  <si>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</si>
  <si>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</si>
  <si>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</si>
  <si>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</si>
  <si>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</si>
  <si>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</si>
  <si>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</si>
  <si>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</si>
  <si>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</si>
  <si>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</si>
  <si>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</si>
  <si>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</si>
  <si>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</si>
  <si>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</si>
  <si>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</si>
  <si>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</si>
  <si>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</si>
  <si>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</si>
  <si>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</si>
  <si>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</si>
  <si>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</si>
  <si>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</si>
  <si>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</si>
  <si>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</si>
  <si>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</si>
  <si>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</si>
  <si>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</si>
  <si>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</si>
  <si>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</si>
  <si>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</si>
  <si>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</si>
  <si>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</si>
  <si>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</si>
  <si>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</si>
  <si>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</si>
  <si>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</si>
  <si>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</si>
  <si>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</si>
  <si>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</si>
  <si>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</si>
  <si>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</si>
  <si>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</si>
  <si>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</si>
  <si>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</si>
  <si>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</si>
  <si>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</si>
  <si>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</si>
  <si>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</si>
  <si>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</si>
  <si>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</si>
  <si>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</si>
  <si>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</si>
  <si>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</si>
  <si>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</si>
  <si>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</si>
  <si>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</si>
  <si>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</si>
  <si>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</si>
  <si>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</si>
  <si>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</si>
  <si>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</si>
  <si>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</si>
  <si>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</si>
  <si>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</si>
  <si>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</si>
  <si>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</si>
  <si>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</si>
  <si>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</si>
  <si>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</si>
  <si>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</si>
  <si>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</si>
  <si>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</si>
  <si>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</si>
  <si>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</si>
  <si>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</si>
  <si>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</si>
  <si>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</si>
  <si>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</si>
  <si>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</si>
  <si>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</si>
  <si>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</si>
  <si>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</si>
  <si>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</si>
  <si>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</si>
  <si>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</si>
  <si>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</si>
  <si>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</si>
  <si>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</si>
  <si>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</si>
  <si>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</si>
  <si>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</si>
  <si>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</si>
  <si>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</si>
  <si>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</si>
  <si>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</si>
  <si>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</si>
  <si>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</si>
  <si>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</si>
  <si>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</si>
  <si>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</si>
  <si>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</si>
  <si>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</si>
  <si>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</si>
  <si>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</si>
  <si>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</si>
  <si>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</si>
  <si>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</si>
  <si>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</si>
  <si>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</si>
  <si>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</si>
  <si>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</si>
  <si>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</si>
  <si>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</si>
  <si>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</si>
  <si>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</si>
  <si>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</si>
  <si>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</si>
  <si>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</si>
  <si>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</si>
  <si>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</si>
  <si>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</si>
  <si>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</si>
  <si>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</si>
  <si>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</si>
  <si>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</si>
  <si>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</si>
  <si>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</si>
  <si>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</si>
  <si>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</si>
  <si>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</si>
  <si>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</si>
  <si>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</si>
  <si>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</si>
  <si>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</si>
  <si>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</si>
  <si>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</si>
  <si>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</si>
  <si>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</si>
  <si>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</si>
  <si>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</si>
  <si>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</si>
  <si>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</si>
  <si>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</si>
  <si>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</si>
  <si>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</si>
  <si>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</si>
  <si>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</si>
  <si>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</si>
  <si>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</si>
  <si>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</si>
  <si>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</si>
  <si>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</si>
  <si>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</si>
  <si>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</si>
  <si>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</si>
  <si>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</si>
  <si>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</si>
  <si>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</si>
  <si>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</si>
  <si>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</si>
  <si>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</si>
  <si>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</si>
  <si>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</si>
  <si>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</si>
  <si>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</si>
  <si>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</si>
  <si>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</si>
  <si>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</si>
  <si>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</si>
  <si>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</si>
  <si>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</si>
  <si>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</si>
  <si>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</si>
  <si>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</si>
  <si>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</si>
  <si>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</si>
  <si>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</si>
  <si>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</si>
  <si>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</si>
  <si>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</si>
  <si>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</si>
  <si>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</si>
  <si>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</si>
  <si>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</si>
  <si>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</si>
  <si>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</si>
  <si>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</si>
  <si>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</si>
  <si>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</si>
  <si>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</si>
  <si>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</si>
  <si>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</si>
  <si>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</si>
  <si>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</si>
  <si>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</si>
  <si>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</si>
  <si>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</si>
  <si>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</si>
  <si>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</si>
  <si>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</si>
  <si>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</si>
  <si>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</si>
  <si>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</si>
  <si>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</si>
  <si>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</si>
  <si>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</si>
  <si>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</si>
  <si>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</si>
  <si>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</si>
  <si>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</si>
  <si>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</si>
  <si>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</si>
  <si>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</si>
  <si>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</si>
  <si>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</si>
  <si>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</si>
  <si>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</si>
  <si>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</si>
  <si>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</si>
  <si>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</si>
  <si>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</si>
  <si>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</si>
  <si>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</si>
  <si>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</si>
  <si>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</si>
  <si>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</si>
  <si>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</si>
  <si>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</si>
  <si>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</si>
  <si>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</si>
  <si>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</si>
  <si>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</si>
  <si>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</si>
  <si>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</si>
  <si>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</si>
  <si>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</si>
  <si>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</si>
  <si>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</si>
  <si>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</si>
  <si>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</si>
  <si>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</si>
  <si>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</si>
  <si>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</si>
  <si>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</si>
  <si>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</si>
  <si>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</si>
  <si>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</si>
  <si>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</si>
  <si>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</si>
  <si>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</si>
  <si>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</si>
  <si>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</si>
  <si>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</si>
  <si>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</si>
  <si>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</si>
  <si>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</si>
  <si>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</si>
  <si>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</si>
  <si>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</si>
  <si>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</si>
  <si>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</si>
  <si>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</si>
  <si>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</si>
  <si>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</si>
  <si>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</si>
  <si>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</si>
  <si>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</si>
  <si>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</si>
  <si>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</si>
  <si>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</si>
  <si>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</si>
  <si>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</si>
  <si>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</si>
  <si>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</si>
  <si>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</si>
  <si>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</si>
  <si>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</si>
  <si>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</si>
  <si>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</si>
  <si>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</si>
  <si>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</si>
  <si>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</si>
  <si>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</si>
  <si>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</si>
  <si>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</si>
  <si>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</si>
  <si>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</si>
  <si>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</si>
  <si>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</si>
  <si>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</si>
  <si>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</si>
  <si>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</si>
  <si>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</si>
  <si>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</si>
  <si>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</si>
  <si>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</si>
  <si>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</si>
  <si>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</si>
  <si>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</si>
  <si>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</si>
  <si>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</si>
  <si>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</si>
  <si>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</si>
  <si>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</si>
  <si>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</si>
  <si>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</si>
  <si>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</si>
  <si>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</si>
  <si>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</si>
  <si>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</si>
  <si>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</si>
  <si>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</si>
  <si>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</si>
  <si>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</si>
  <si>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</si>
  <si>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</si>
  <si>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</si>
  <si>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</si>
  <si>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</si>
  <si>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</si>
  <si>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</si>
  <si>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</si>
  <si>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</si>
  <si>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</si>
  <si>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</si>
  <si>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</si>
  <si>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</si>
  <si>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</si>
  <si>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</si>
  <si>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</si>
  <si>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</si>
  <si>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</si>
  <si>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</si>
  <si>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</si>
  <si>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</si>
  <si>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</si>
  <si>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</si>
  <si>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</si>
  <si>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</si>
  <si>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</si>
  <si>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</si>
  <si>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</si>
  <si>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</si>
  <si>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</si>
  <si>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</si>
  <si>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</si>
  <si>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</si>
  <si>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</si>
  <si>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</si>
  <si>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</si>
  <si>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</si>
  <si>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</si>
  <si>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</si>
  <si>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</si>
  <si>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</si>
  <si>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</si>
  <si>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</si>
  <si>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</si>
  <si>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</si>
  <si>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</si>
  <si>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</si>
  <si>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</si>
  <si>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</si>
  <si>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</si>
  <si>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</si>
  <si>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</si>
  <si>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</si>
  <si>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</si>
  <si>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</si>
  <si>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</si>
  <si>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</si>
  <si>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</si>
  <si>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</si>
  <si>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</si>
  <si>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</si>
  <si>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</si>
  <si>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</si>
  <si>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</si>
  <si>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</si>
  <si>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</si>
  <si>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</si>
  <si>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</si>
  <si>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</si>
  <si>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</si>
  <si>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</si>
  <si>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</si>
  <si>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</si>
  <si>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</si>
  <si>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</si>
  <si>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</si>
  <si>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</si>
  <si>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</si>
  <si>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</si>
  <si>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</si>
  <si>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</si>
  <si>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</si>
  <si>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</si>
  <si>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</si>
  <si>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</si>
  <si>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</si>
  <si>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</si>
  <si>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</si>
  <si>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</si>
  <si>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</si>
  <si>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</si>
  <si>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</si>
  <si>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</si>
  <si>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</si>
  <si>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</si>
  <si>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</si>
  <si>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</si>
  <si>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</si>
  <si>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</si>
  <si>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</si>
  <si>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</si>
  <si>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</si>
  <si>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</si>
  <si>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</si>
  <si>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</si>
  <si>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</si>
  <si>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</si>
  <si>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</si>
  <si>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</si>
  <si>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</si>
  <si>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</si>
  <si>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</si>
  <si>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</si>
  <si>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</si>
  <si>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</si>
  <si>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</si>
  <si>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</si>
  <si>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</si>
  <si>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</si>
  <si>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</si>
  <si>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</si>
  <si>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</si>
  <si>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</si>
  <si>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</si>
  <si>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</si>
  <si>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</si>
  <si>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</si>
  <si>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</si>
  <si>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</si>
  <si>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</si>
  <si>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</si>
  <si>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</si>
  <si>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</si>
  <si>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</si>
  <si>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</si>
  <si>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</si>
  <si>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</si>
  <si>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</si>
  <si>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</si>
  <si>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</si>
  <si>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</si>
  <si>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</si>
  <si>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</si>
  <si>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</si>
  <si>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</si>
  <si>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</si>
  <si>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</si>
  <si>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</si>
  <si>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</si>
  <si>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</si>
  <si>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</si>
  <si>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</si>
  <si>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</si>
  <si>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</si>
  <si>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</si>
  <si>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</si>
  <si>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</si>
  <si>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</si>
  <si>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</si>
  <si>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</si>
  <si>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</si>
  <si>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</si>
  <si>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</si>
  <si>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</si>
  <si>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</si>
  <si>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</si>
  <si>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</si>
  <si>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</si>
  <si>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</si>
  <si>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</si>
  <si>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</si>
  <si>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</si>
  <si>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</si>
  <si>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</si>
  <si>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</si>
  <si>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</si>
  <si>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</si>
  <si>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</si>
  <si>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</si>
  <si>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</si>
  <si>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</si>
  <si>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</si>
  <si>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</si>
  <si>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</si>
  <si>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</si>
  <si>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</si>
  <si>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</si>
  <si>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</si>
  <si>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</si>
  <si>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</si>
  <si>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</si>
  <si>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</si>
  <si>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</si>
  <si>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</si>
  <si>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</si>
  <si>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</si>
  <si>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</si>
  <si>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</si>
  <si>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</si>
  <si>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</si>
  <si>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</si>
  <si>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</si>
  <si>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</si>
  <si>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</si>
  <si>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</si>
  <si>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</si>
  <si>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</si>
  <si>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</si>
  <si>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</si>
  <si>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</si>
  <si>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</si>
  <si>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</si>
  <si>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</si>
  <si>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</si>
  <si>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</si>
  <si>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</si>
  <si>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</si>
  <si>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</si>
  <si>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</si>
  <si>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</si>
  <si>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</si>
  <si>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</si>
  <si>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</si>
  <si>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</si>
  <si>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</si>
  <si>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</si>
  <si>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</si>
  <si>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</si>
  <si>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</si>
  <si>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</si>
  <si>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</si>
  <si>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</si>
  <si>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</si>
  <si>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</si>
  <si>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</si>
  <si>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</si>
  <si>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</si>
  <si>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</si>
  <si>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</si>
  <si>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</si>
  <si>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</si>
  <si>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</si>
  <si>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</si>
  <si>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</si>
  <si>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</si>
  <si>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</si>
  <si>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</si>
  <si>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</si>
  <si>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</si>
  <si>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</si>
  <si>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</si>
  <si>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</si>
  <si>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</si>
  <si>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</si>
  <si>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</si>
  <si>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</si>
  <si>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</si>
  <si>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</si>
  <si>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</si>
  <si>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</si>
  <si>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</si>
  <si>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</si>
  <si>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</si>
  <si>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</si>
  <si>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</si>
  <si>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</si>
  <si>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</si>
  <si>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</si>
  <si>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</si>
  <si>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</si>
  <si>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</si>
  <si>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</si>
  <si>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</si>
  <si>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</si>
  <si>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</si>
  <si>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</si>
  <si>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</si>
  <si>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</si>
  <si>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</si>
  <si>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</si>
  <si>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</si>
  <si>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</si>
  <si>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</si>
  <si>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</si>
  <si>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</si>
  <si>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</si>
  <si>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</si>
  <si>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</si>
  <si>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</si>
  <si>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</si>
  <si>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</si>
  <si>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</si>
  <si>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</si>
  <si>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</si>
  <si>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</si>
  <si>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</si>
  <si>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</si>
  <si>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</si>
  <si>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</si>
  <si>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</si>
  <si>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</si>
  <si>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</si>
  <si>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</si>
  <si>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</si>
  <si>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</si>
  <si>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</si>
  <si>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</si>
  <si>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</si>
  <si>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</si>
  <si>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</si>
  <si>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</si>
  <si>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</si>
  <si>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</si>
  <si>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</si>
  <si>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</si>
  <si>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</si>
  <si>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</si>
  <si>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</si>
  <si>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</si>
  <si>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</si>
  <si>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</si>
  <si>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</si>
  <si>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</si>
  <si>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</si>
  <si>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</si>
  <si>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</si>
  <si>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</si>
  <si>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</si>
  <si>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</si>
  <si>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</si>
  <si>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</si>
  <si>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</si>
  <si>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</si>
  <si>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</si>
  <si>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</si>
  <si>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</si>
  <si>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</si>
  <si>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</si>
  <si>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</si>
  <si>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</si>
  <si>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</si>
  <si>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</si>
  <si>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</si>
  <si>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</si>
  <si>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</si>
  <si>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</si>
  <si>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</si>
  <si>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</si>
  <si>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</si>
  <si>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</si>
  <si>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</si>
  <si>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</si>
  <si>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</si>
  <si>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</si>
  <si>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</si>
  <si>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</si>
  <si>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</si>
  <si>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</si>
  <si>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</si>
  <si>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</si>
  <si>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</si>
  <si>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</si>
  <si>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</si>
  <si>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</si>
  <si>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</si>
  <si>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</si>
  <si>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</si>
  <si>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</si>
  <si>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</si>
  <si>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</si>
  <si>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</si>
  <si>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</si>
  <si>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</si>
  <si>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</si>
  <si>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</si>
  <si>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</si>
  <si>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</si>
  <si>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</si>
  <si>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</si>
  <si>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</si>
  <si>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</si>
  <si>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</si>
  <si>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</si>
  <si>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</si>
  <si>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</si>
  <si>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</si>
  <si>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</si>
  <si>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</si>
  <si>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</si>
  <si>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</si>
  <si>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</si>
  <si>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</si>
  <si>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</si>
  <si>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</si>
  <si>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</si>
  <si>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</si>
  <si>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</si>
  <si>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</si>
  <si>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</si>
  <si>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</si>
  <si>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</si>
  <si>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</si>
  <si>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</si>
  <si>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</si>
  <si>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</si>
  <si>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</si>
  <si>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</si>
  <si>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</si>
  <si>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</si>
  <si>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</si>
  <si>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</si>
  <si>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</si>
  <si>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</si>
  <si>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</si>
  <si>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</si>
  <si>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</si>
  <si>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</si>
  <si>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</si>
  <si>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</si>
  <si>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</si>
  <si>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</si>
  <si>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</si>
  <si>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</si>
  <si>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</si>
  <si>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</si>
  <si>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</si>
  <si>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</si>
  <si>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</si>
  <si>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</si>
  <si>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</si>
  <si>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</si>
  <si>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</si>
  <si>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</si>
  <si>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</si>
  <si>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</si>
  <si>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</si>
  <si>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</si>
  <si>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</si>
  <si>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</si>
  <si>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</si>
  <si>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</si>
  <si>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</si>
  <si>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</si>
  <si>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</si>
  <si>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</si>
  <si>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</si>
  <si>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</si>
  <si>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</si>
  <si>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</si>
  <si>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</si>
  <si>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</si>
  <si>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</si>
  <si>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</si>
  <si>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</si>
  <si>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</si>
  <si>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</si>
  <si>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</si>
  <si>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</si>
  <si>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</si>
  <si>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</si>
  <si>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</si>
  <si>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</si>
  <si>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</si>
  <si>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</si>
  <si>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</si>
  <si>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</si>
  <si>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</si>
  <si>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</si>
  <si>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</si>
  <si>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</si>
  <si>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</si>
  <si>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</si>
  <si>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</si>
  <si>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</si>
  <si>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</si>
  <si>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</si>
  <si>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</si>
  <si>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</si>
  <si>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</si>
  <si>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</si>
  <si>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</si>
  <si>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</si>
  <si>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</si>
  <si>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</si>
  <si>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</si>
  <si>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</si>
  <si>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</si>
  <si>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</si>
  <si>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</si>
  <si>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</si>
  <si>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</si>
  <si>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</si>
  <si>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</si>
  <si>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</si>
  <si>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</si>
  <si>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</si>
  <si>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</si>
  <si>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</si>
  <si>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</si>
  <si>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</si>
  <si>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</si>
  <si>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</si>
  <si>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</si>
  <si>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</si>
  <si>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</si>
  <si>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</si>
  <si>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</si>
  <si>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</si>
  <si>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</si>
  <si>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</si>
  <si>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</si>
  <si>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</si>
  <si>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</si>
  <si>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</si>
  <si>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</si>
  <si>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</si>
  <si>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</si>
  <si>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</si>
  <si>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</si>
  <si>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</si>
  <si>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</si>
  <si>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</si>
  <si>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</si>
  <si>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</si>
  <si>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</si>
  <si>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</si>
  <si>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</si>
  <si>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</si>
  <si>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</si>
  <si>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</si>
  <si>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</si>
  <si>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</si>
  <si>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</si>
  <si>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</si>
  <si>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</si>
  <si>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</si>
  <si>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</si>
  <si>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</si>
  <si>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</si>
  <si>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</si>
  <si>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</si>
  <si>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</si>
  <si>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</si>
  <si>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</si>
  <si>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</si>
  <si>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</si>
  <si>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</si>
  <si>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</si>
  <si>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</si>
  <si>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</si>
  <si>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</si>
  <si>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</si>
  <si>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</si>
  <si>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</si>
  <si>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</si>
  <si>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</si>
  <si>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</si>
  <si>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</si>
  <si>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</si>
  <si>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</si>
  <si>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</si>
  <si>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</si>
  <si>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</si>
  <si>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</si>
  <si>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</si>
  <si>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</si>
  <si>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</si>
  <si>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</si>
  <si>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</si>
  <si>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</si>
  <si>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</si>
  <si>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</si>
  <si>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</si>
  <si>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</si>
  <si>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</si>
  <si>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</si>
  <si>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</si>
  <si>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</si>
  <si>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</si>
  <si>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</si>
  <si>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</si>
  <si>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</si>
  <si>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</si>
  <si>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</si>
  <si>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</si>
  <si>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</si>
  <si>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</si>
  <si>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</si>
  <si>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</si>
  <si>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</si>
  <si>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</si>
  <si>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</si>
  <si>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</si>
  <si>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</si>
  <si>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</si>
  <si>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</si>
  <si>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</si>
  <si>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</si>
  <si>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</si>
  <si>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</si>
  <si>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</si>
  <si>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</si>
  <si>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</si>
  <si>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</si>
  <si>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</si>
  <si>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</si>
  <si>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</si>
  <si>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</si>
  <si>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</si>
  <si>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</si>
  <si>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</si>
  <si>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</si>
  <si>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</si>
  <si>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</si>
  <si>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</si>
  <si>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</si>
  <si>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</si>
  <si>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</si>
  <si>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</si>
  <si>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</si>
  <si>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</si>
  <si>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</si>
  <si>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</si>
  <si>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</si>
  <si>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</si>
  <si>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</si>
  <si>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</si>
  <si>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</si>
  <si>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</si>
  <si>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</si>
  <si>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</si>
  <si>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</si>
  <si>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</si>
  <si>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</si>
  <si>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</si>
  <si>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</si>
  <si>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</si>
  <si>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</si>
  <si>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</si>
  <si>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</si>
  <si>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</si>
  <si>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</si>
  <si>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</si>
  <si>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</si>
  <si>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</si>
  <si>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</si>
  <si>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</si>
  <si>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</si>
  <si>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</si>
  <si>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</si>
  <si>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</si>
  <si>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</si>
  <si>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</si>
  <si>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</si>
  <si>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</si>
  <si>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</si>
  <si>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</si>
  <si>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</si>
  <si>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</si>
  <si>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</si>
  <si>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</si>
  <si>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</si>
  <si>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</si>
  <si>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</si>
  <si>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</si>
  <si>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</si>
  <si>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</si>
  <si>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</si>
  <si>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</si>
  <si>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</si>
  <si>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</si>
  <si>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</si>
  <si>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</si>
  <si>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</si>
  <si>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</si>
  <si>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</si>
  <si>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</si>
  <si>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</si>
  <si>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</si>
  <si>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</si>
  <si>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</si>
  <si>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</si>
  <si>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</si>
  <si>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</si>
  <si>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</si>
  <si>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</si>
  <si>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</si>
  <si>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</si>
  <si>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</si>
  <si>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</si>
  <si>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</si>
  <si>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</si>
  <si>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</si>
  <si>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</si>
  <si>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</si>
  <si>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</si>
  <si>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</si>
  <si>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</si>
  <si>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</si>
  <si>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</si>
  <si>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</si>
  <si>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</si>
  <si>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</si>
  <si>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</si>
  <si>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</si>
  <si>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</si>
  <si>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</si>
  <si>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</si>
  <si>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</si>
  <si>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</si>
  <si>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</si>
  <si>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</si>
  <si>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</si>
  <si>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</si>
  <si>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</si>
  <si>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</si>
  <si>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</si>
  <si>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</si>
  <si>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</si>
  <si>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</si>
  <si>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</si>
  <si>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</si>
  <si>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</si>
  <si>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</si>
  <si>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</si>
  <si>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</si>
  <si>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</si>
  <si>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</si>
  <si>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</si>
  <si>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</si>
  <si>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</si>
  <si>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</si>
  <si>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</si>
  <si>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</si>
  <si>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</si>
  <si>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</si>
  <si>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</si>
  <si>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</si>
  <si>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</si>
  <si>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</si>
  <si>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</si>
  <si>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</si>
  <si>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</si>
  <si>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</si>
  <si>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</si>
  <si>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</si>
  <si>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</si>
  <si>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</si>
  <si>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</si>
  <si>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</si>
  <si>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</si>
  <si>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</si>
  <si>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</si>
  <si>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</si>
  <si>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</si>
  <si>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</si>
  <si>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</si>
  <si>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</si>
  <si>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</si>
  <si>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</si>
  <si>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</si>
  <si>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</si>
  <si>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</si>
  <si>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</si>
  <si>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</si>
  <si>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</si>
  <si>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</si>
  <si>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</si>
  <si>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</si>
  <si>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</si>
  <si>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</si>
  <si>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</si>
  <si>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</si>
  <si>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</si>
  <si>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</si>
  <si>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</si>
  <si>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</si>
  <si>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</si>
  <si>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</si>
  <si>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</si>
  <si>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</si>
  <si>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</si>
  <si>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</si>
  <si>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</si>
  <si>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</si>
  <si>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</si>
  <si>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</si>
  <si>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</si>
  <si>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</si>
  <si>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</si>
  <si>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</si>
  <si>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</si>
  <si>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</si>
  <si>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</si>
  <si>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</si>
  <si>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</si>
  <si>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</si>
  <si>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</si>
  <si>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</si>
  <si>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</si>
  <si>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</si>
  <si>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</si>
  <si>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</si>
  <si>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</si>
  <si>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</si>
  <si>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</si>
  <si>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</si>
  <si>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</si>
  <si>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</si>
  <si>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</si>
  <si>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</si>
  <si>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</si>
  <si>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</si>
  <si>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</si>
  <si>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</si>
  <si>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</si>
  <si>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</si>
  <si>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</si>
  <si>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</si>
  <si>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</si>
  <si>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</si>
  <si>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</si>
  <si>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</si>
  <si>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</si>
  <si>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</si>
  <si>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</si>
  <si>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</si>
  <si>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</si>
  <si>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</si>
  <si>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</si>
  <si>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</si>
  <si>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</si>
  <si>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</si>
  <si>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</si>
  <si>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</si>
  <si>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</si>
  <si>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</si>
  <si>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</si>
  <si>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</si>
  <si>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</si>
  <si>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</si>
  <si>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</si>
  <si>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</si>
  <si>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</si>
  <si>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</si>
  <si>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</si>
  <si>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</si>
  <si>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</si>
  <si>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</si>
  <si>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</si>
  <si>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</si>
  <si>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</si>
  <si>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</si>
  <si>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</si>
  <si>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</si>
  <si>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</si>
  <si>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</si>
  <si>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</si>
  <si>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</si>
  <si>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</si>
  <si>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</si>
  <si>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</si>
  <si>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</si>
  <si>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</si>
  <si>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</si>
  <si>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</si>
  <si>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</si>
  <si>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</si>
  <si>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</si>
  <si>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</si>
  <si>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</si>
  <si>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</si>
  <si>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</si>
  <si>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</si>
  <si>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</si>
  <si>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</si>
  <si>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</si>
  <si>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</si>
  <si>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</si>
  <si>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</si>
  <si>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</si>
  <si>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</si>
  <si>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</si>
  <si>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</si>
  <si>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</si>
  <si>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</si>
  <si>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</si>
  <si>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</si>
  <si>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</si>
  <si>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</si>
  <si>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</si>
  <si>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</si>
  <si>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</si>
  <si>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</si>
  <si>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</si>
  <si>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</si>
  <si>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</si>
  <si>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</si>
  <si>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</si>
  <si>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</si>
  <si>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</si>
  <si>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</si>
  <si>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</si>
  <si>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</si>
  <si>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</si>
  <si>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</si>
  <si>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</si>
  <si>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</si>
  <si>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</si>
  <si>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</si>
  <si>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</si>
  <si>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</si>
  <si>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</si>
  <si>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</si>
  <si>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</si>
  <si>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</si>
  <si>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</si>
  <si>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</si>
  <si>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</si>
  <si>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</si>
  <si>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</si>
  <si>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</si>
  <si>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</si>
  <si>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</si>
  <si>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</si>
  <si>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</si>
  <si>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</si>
  <si>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</si>
  <si>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</si>
  <si>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</si>
  <si>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</si>
  <si>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</si>
  <si>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</si>
  <si>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</si>
  <si>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</si>
  <si>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</si>
  <si>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</si>
  <si>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</si>
  <si>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</si>
  <si>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</si>
  <si>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</si>
  <si>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</si>
  <si>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</si>
  <si>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</si>
  <si>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</si>
  <si>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</si>
  <si>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</si>
  <si>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</si>
  <si>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</si>
  <si>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</si>
  <si>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</si>
  <si>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</si>
  <si>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</si>
  <si>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</si>
  <si>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</si>
  <si>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</si>
  <si>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</si>
  <si>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</si>
  <si>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</si>
  <si>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</si>
  <si>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</si>
  <si>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</si>
  <si>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</si>
  <si>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</si>
  <si>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</si>
  <si>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</si>
  <si>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</si>
  <si>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</si>
  <si>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</si>
  <si>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</si>
  <si>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</si>
  <si>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</si>
  <si>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</si>
  <si>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</si>
  <si>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</si>
  <si>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</si>
  <si>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</si>
  <si>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</si>
  <si>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</si>
  <si>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</si>
  <si>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</si>
  <si>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</si>
  <si>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</si>
  <si>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</si>
  <si>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</si>
  <si>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</si>
  <si>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</si>
  <si>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</si>
  <si>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</si>
  <si>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</si>
  <si>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</si>
  <si>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</si>
  <si>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</si>
  <si>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</si>
  <si>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</si>
  <si>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</si>
  <si>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</si>
  <si>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</si>
  <si>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</si>
  <si>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</si>
  <si>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</si>
  <si>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</si>
  <si>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</si>
  <si>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</si>
  <si>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</si>
  <si>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</si>
  <si>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</si>
  <si>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</si>
  <si>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</si>
  <si>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</si>
  <si>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</si>
  <si>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</si>
  <si>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</si>
  <si>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</si>
  <si>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</si>
  <si>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</si>
  <si>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</si>
  <si>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</si>
  <si>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</si>
  <si>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</si>
  <si>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</si>
  <si>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</si>
  <si>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</si>
  <si>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</si>
  <si>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</si>
  <si>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</si>
  <si>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</si>
  <si>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</si>
  <si>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</si>
  <si>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</si>
  <si>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</si>
  <si>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</si>
  <si>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</si>
  <si>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</si>
  <si>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</si>
  <si>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</si>
  <si>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</si>
  <si>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</si>
  <si>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</si>
  <si>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</si>
  <si>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</si>
  <si>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</si>
  <si>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</si>
  <si>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</si>
  <si>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</si>
  <si>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</si>
  <si>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</si>
  <si>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</si>
  <si>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</si>
  <si>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</si>
  <si>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</si>
  <si>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</si>
  <si>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</si>
  <si>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</si>
  <si>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</si>
  <si>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</si>
  <si>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</si>
  <si>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</si>
  <si>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</si>
  <si>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</si>
  <si>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</si>
  <si>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</si>
  <si>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</si>
  <si>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</si>
  <si>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</si>
  <si>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</si>
  <si>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</si>
  <si>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</si>
  <si>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</si>
  <si>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</si>
  <si>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</si>
  <si>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</si>
  <si>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</si>
  <si>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</si>
  <si>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</si>
  <si>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</si>
  <si>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</si>
  <si>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</si>
  <si>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</si>
  <si>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</si>
  <si>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</si>
  <si>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</si>
  <si>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</si>
  <si>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</si>
  <si>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</si>
  <si>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</si>
  <si>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</si>
  <si>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</si>
  <si>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</si>
  <si>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</si>
  <si>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</si>
  <si>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</si>
  <si>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</si>
  <si>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</si>
  <si>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</si>
  <si>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</si>
  <si>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</si>
  <si>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</si>
  <si>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</si>
  <si>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</si>
  <si>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</si>
  <si>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</si>
  <si>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</si>
  <si>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</si>
  <si>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</si>
  <si>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</si>
  <si>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</si>
  <si>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</si>
  <si>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</si>
  <si>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</si>
  <si>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</si>
  <si>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</si>
  <si>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</si>
  <si>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</si>
  <si>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</si>
  <si>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</si>
  <si>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</si>
  <si>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</si>
  <si>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</si>
  <si>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</si>
  <si>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</si>
  <si>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</si>
  <si>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</si>
  <si>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</si>
  <si>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</si>
  <si>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</si>
  <si>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</si>
  <si>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</si>
  <si>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</si>
  <si>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</si>
  <si>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</si>
  <si>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</si>
  <si>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</si>
  <si>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</si>
  <si>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</si>
  <si>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</si>
  <si>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</si>
  <si>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</si>
  <si>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</si>
  <si>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</si>
  <si>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</si>
  <si>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</si>
  <si>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</si>
  <si>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</si>
  <si>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</si>
  <si>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</si>
  <si>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</si>
  <si>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</si>
  <si>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</si>
  <si>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</si>
  <si>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</si>
  <si>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</si>
  <si>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</si>
  <si>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</si>
  <si>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</si>
  <si>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</si>
  <si>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</si>
  <si>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</si>
  <si>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</si>
  <si>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</si>
  <si>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</si>
  <si>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</si>
  <si>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</si>
  <si>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</si>
  <si>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</si>
  <si>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</si>
  <si>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</si>
  <si>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</si>
  <si>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</si>
  <si>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</si>
  <si>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</si>
  <si>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</si>
  <si>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</si>
  <si>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</si>
  <si>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</si>
  <si>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</si>
  <si>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</si>
  <si>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</si>
  <si>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</si>
  <si>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</si>
  <si>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</si>
  <si>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</si>
  <si>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</si>
  <si>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</si>
  <si>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</si>
  <si>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</si>
  <si>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</si>
  <si>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</si>
  <si>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</si>
  <si>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</si>
  <si>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</si>
  <si>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</si>
  <si>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</si>
  <si>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</si>
  <si>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</si>
  <si>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</si>
  <si>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</si>
  <si>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</si>
  <si>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</si>
  <si>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</si>
  <si>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</si>
  <si>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</si>
  <si>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</si>
  <si>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</si>
  <si>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</si>
  <si>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</si>
  <si>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</si>
  <si>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</si>
  <si>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</si>
  <si>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</si>
  <si>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</si>
  <si>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</si>
  <si>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</si>
  <si>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</si>
  <si>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</si>
  <si>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</si>
  <si>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</si>
  <si>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</si>
  <si>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</si>
  <si>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</si>
  <si>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</si>
  <si>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</si>
  <si>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</si>
  <si>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</si>
  <si>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</si>
  <si>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</si>
  <si>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</si>
  <si>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</si>
  <si>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</si>
  <si>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</si>
  <si>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</si>
  <si>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</si>
  <si>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</si>
  <si>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</si>
  <si>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</si>
  <si>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</si>
  <si>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</si>
  <si>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</si>
  <si>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</si>
  <si>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</si>
  <si>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</si>
  <si>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</si>
  <si>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</si>
  <si>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</si>
  <si>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</si>
  <si>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</si>
  <si>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</si>
  <si>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</si>
  <si>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</si>
  <si>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</si>
  <si>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</si>
  <si>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</si>
  <si>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</si>
  <si>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</si>
  <si>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</si>
  <si>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</si>
  <si>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</si>
  <si>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</si>
  <si>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</si>
  <si>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</si>
  <si>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</si>
  <si>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</si>
  <si>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</si>
  <si>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</si>
  <si>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</si>
  <si>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</si>
  <si>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</si>
  <si>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</si>
  <si>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</si>
  <si>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</si>
  <si>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</si>
  <si>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</si>
  <si>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</si>
  <si>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</si>
  <si>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</si>
  <si>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</si>
  <si>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</si>
  <si>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</si>
  <si>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</si>
  <si>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</si>
  <si>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</si>
  <si>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</si>
  <si>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</si>
  <si>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</si>
  <si>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</si>
  <si>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</si>
  <si>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</si>
  <si>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</si>
  <si>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</si>
  <si>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</si>
  <si>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</si>
  <si>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</si>
  <si>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</si>
  <si>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</si>
  <si>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</si>
  <si>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</si>
  <si>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</si>
  <si>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</si>
  <si>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</si>
  <si>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</si>
  <si>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</si>
  <si>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</si>
  <si>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</si>
  <si>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</si>
  <si>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</si>
  <si>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</si>
  <si>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</si>
  <si>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</si>
  <si>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</si>
  <si>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</si>
  <si>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</si>
  <si>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</si>
  <si>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</si>
  <si>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</si>
  <si>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</si>
  <si>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</si>
  <si>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</si>
  <si>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</si>
  <si>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</si>
  <si>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</si>
  <si>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</si>
  <si>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</si>
  <si>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</si>
  <si>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</si>
  <si>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</si>
  <si>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</si>
  <si>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</si>
  <si>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</si>
  <si>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</si>
  <si>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</si>
  <si>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</si>
  <si>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</si>
  <si>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</si>
  <si>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</si>
  <si>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</si>
  <si>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</si>
  <si>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</si>
  <si>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</si>
  <si>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</si>
  <si>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</si>
  <si>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</si>
  <si>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</si>
  <si>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</si>
  <si>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</si>
  <si>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</si>
  <si>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</si>
  <si>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</si>
  <si>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</si>
  <si>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</si>
  <si>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</si>
  <si>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</si>
  <si>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</si>
  <si>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</si>
  <si>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</si>
  <si>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</si>
  <si>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</si>
  <si>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</si>
  <si>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</si>
  <si>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</si>
  <si>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</si>
  <si>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</si>
  <si>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</si>
  <si>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</si>
  <si>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</si>
  <si>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</si>
  <si>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</si>
  <si>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</si>
  <si>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</si>
  <si>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</si>
  <si>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</si>
  <si>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</si>
  <si>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</si>
  <si>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</si>
  <si>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</si>
  <si>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</si>
  <si>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</si>
  <si>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</si>
  <si>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</si>
  <si>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</si>
  <si>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</si>
  <si>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</si>
  <si>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</si>
  <si>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</si>
  <si>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</si>
  <si>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</si>
  <si>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</si>
  <si>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</si>
  <si>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</si>
  <si>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</si>
  <si>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</si>
  <si>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</si>
  <si>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</si>
  <si>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</si>
  <si>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</si>
  <si>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</si>
  <si>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</si>
  <si>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</si>
  <si>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</si>
  <si>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</si>
  <si>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</si>
  <si>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</si>
  <si>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</si>
  <si>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</si>
  <si>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</si>
  <si>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</si>
  <si>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</si>
  <si>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</si>
  <si>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</si>
  <si>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</si>
  <si>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</si>
  <si>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</si>
  <si>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</si>
  <si>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</si>
  <si>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</si>
  <si>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</si>
  <si>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</si>
  <si>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</si>
  <si>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</si>
  <si>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</si>
  <si>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</si>
  <si>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</si>
  <si>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</si>
  <si>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</si>
  <si>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</si>
  <si>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</si>
  <si>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</si>
  <si>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</si>
  <si>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</si>
  <si>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</si>
  <si>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</si>
  <si>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</si>
  <si>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</si>
  <si>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</si>
  <si>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</si>
  <si>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</si>
  <si>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</si>
  <si>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</si>
  <si>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</si>
  <si>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</si>
  <si>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</si>
  <si>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</si>
  <si>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</si>
  <si>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</si>
  <si>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</si>
  <si>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</si>
  <si>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</si>
  <si>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</si>
  <si>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</si>
  <si>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</si>
  <si>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</si>
  <si>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</si>
  <si>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</si>
  <si>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</si>
  <si>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</si>
  <si>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</si>
  <si>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</si>
  <si>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</si>
  <si>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</si>
  <si>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</si>
  <si>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</si>
  <si>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</si>
  <si>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</si>
  <si>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</si>
  <si>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</si>
  <si>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</si>
  <si>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</si>
  <si>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</si>
  <si>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</si>
  <si>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</si>
  <si>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</si>
  <si>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</si>
  <si>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</si>
  <si>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</si>
  <si>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</si>
  <si>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</si>
  <si>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</si>
  <si>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</si>
  <si>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</si>
  <si>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</si>
  <si>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</si>
  <si>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</si>
  <si>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</si>
  <si>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</si>
  <si>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</si>
  <si>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</si>
  <si>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</si>
  <si>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</si>
  <si>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</si>
  <si>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</si>
  <si>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</si>
  <si>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</si>
  <si>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</si>
  <si>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</si>
  <si>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</si>
  <si>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</si>
  <si>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</si>
  <si>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</si>
  <si>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</si>
  <si>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</si>
  <si>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</si>
  <si>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</si>
  <si>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</si>
  <si>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</si>
  <si>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</si>
  <si>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</si>
  <si>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</si>
  <si>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</si>
  <si>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</si>
  <si>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</si>
  <si>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</si>
  <si>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</si>
  <si>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</si>
  <si>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</si>
  <si>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</si>
  <si>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</si>
  <si>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</si>
  <si>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</si>
  <si>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</si>
  <si>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</si>
  <si>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</si>
  <si>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</si>
  <si>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</si>
  <si>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</si>
  <si>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</si>
  <si>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</si>
  <si>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</si>
  <si>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</si>
  <si>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</si>
  <si>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</si>
  <si>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</si>
  <si>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</si>
  <si>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</si>
  <si>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</si>
  <si>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</si>
  <si>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</si>
  <si>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</si>
  <si>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</si>
  <si>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</si>
  <si>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</si>
  <si>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</si>
  <si>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</si>
  <si>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</si>
  <si>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</si>
  <si>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</si>
  <si>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</si>
  <si>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</si>
  <si>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</si>
  <si>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</si>
  <si>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</si>
  <si>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</si>
  <si>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</si>
  <si>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</si>
  <si>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</si>
  <si>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</si>
  <si>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</si>
  <si>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</si>
  <si>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</si>
  <si>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</si>
  <si>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</si>
  <si>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</si>
  <si>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</si>
  <si>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</si>
  <si>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</si>
  <si>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</si>
  <si>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</si>
  <si>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</si>
  <si>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</si>
  <si>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</si>
  <si>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</si>
  <si>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</si>
  <si>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</si>
  <si>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</si>
  <si>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</si>
  <si>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</si>
  <si>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</si>
  <si>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</si>
  <si>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</si>
  <si>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</si>
  <si>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</si>
  <si>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</si>
  <si>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</si>
  <si>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</si>
  <si>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</si>
  <si>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</si>
  <si>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</si>
  <si>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</si>
  <si>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</si>
  <si>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</si>
  <si>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</si>
  <si>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</si>
  <si>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</si>
  <si>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</si>
  <si>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</si>
  <si>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</si>
  <si>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</si>
  <si>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</si>
  <si>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</si>
  <si>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</si>
  <si>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</si>
  <si>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</si>
  <si>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</si>
  <si>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</si>
  <si>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</si>
  <si>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</si>
  <si>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</si>
  <si>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</si>
  <si>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</si>
  <si>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</si>
  <si>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</si>
  <si>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</si>
  <si>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</si>
  <si>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</si>
  <si>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</si>
  <si>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</si>
  <si>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</si>
  <si>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</si>
  <si>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</si>
  <si>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</si>
  <si>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</si>
  <si>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</si>
  <si>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</si>
  <si>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</si>
  <si>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</si>
  <si>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</si>
  <si>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</si>
  <si>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</si>
  <si>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</si>
  <si>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</si>
  <si>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</si>
  <si>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</si>
  <si>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</si>
  <si>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</si>
  <si>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</si>
  <si>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</si>
  <si>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</si>
  <si>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</si>
  <si>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</si>
  <si>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</si>
  <si>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</si>
  <si>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</si>
  <si>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</si>
  <si>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</si>
  <si>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</si>
  <si>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</si>
  <si>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</si>
  <si>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</si>
  <si>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</si>
  <si>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</si>
  <si>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</si>
  <si>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</si>
  <si>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</si>
  <si>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</si>
  <si>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</si>
  <si>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</si>
  <si>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</si>
  <si>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</si>
  <si>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</si>
  <si>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</si>
  <si>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</si>
  <si>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</si>
  <si>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</si>
  <si>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</si>
  <si>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</si>
  <si>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</si>
  <si>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</si>
  <si>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</si>
  <si>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</si>
  <si>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</si>
  <si>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</si>
  <si>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</si>
  <si>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</si>
  <si>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</si>
  <si>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</si>
  <si>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</si>
  <si>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</si>
  <si>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</si>
  <si>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</si>
  <si>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</si>
  <si>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</si>
  <si>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</si>
  <si>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</si>
  <si>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</si>
  <si>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</si>
  <si>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</si>
  <si>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</si>
  <si>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</si>
  <si>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</si>
  <si>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</si>
  <si>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</si>
  <si>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</si>
  <si>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</si>
  <si>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</si>
  <si>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</si>
  <si>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</si>
  <si>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</si>
  <si>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</si>
  <si>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</si>
  <si>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</si>
  <si>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</si>
  <si>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</si>
  <si>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</si>
  <si>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</si>
  <si>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</si>
  <si>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</si>
  <si>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</si>
  <si>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</si>
  <si>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</si>
  <si>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</si>
  <si>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</si>
  <si>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</si>
  <si>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</si>
  <si>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</si>
  <si>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</si>
  <si>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</si>
  <si>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</si>
  <si>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</si>
  <si>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</si>
  <si>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</si>
  <si>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</si>
  <si>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</si>
  <si>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</si>
  <si>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</si>
  <si>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</si>
  <si>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</si>
  <si>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</si>
  <si>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</si>
  <si>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</si>
  <si>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</si>
  <si>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</si>
  <si>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</si>
  <si>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</si>
  <si>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</si>
  <si>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</si>
  <si>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</si>
  <si>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</si>
  <si>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</si>
  <si>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</si>
  <si>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</si>
  <si>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</si>
  <si>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</si>
  <si>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</si>
  <si>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</si>
  <si>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</si>
  <si>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</si>
  <si>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</si>
  <si>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</si>
  <si>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</si>
  <si>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</si>
  <si>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</si>
  <si>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</si>
  <si>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</si>
  <si>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</si>
  <si>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</si>
  <si>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</si>
  <si>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</si>
  <si>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</si>
  <si>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</si>
  <si>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</si>
  <si>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</si>
  <si>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</si>
  <si>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</si>
  <si>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</si>
  <si>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</si>
  <si>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</si>
  <si>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</si>
  <si>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</si>
  <si>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</si>
  <si>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</si>
  <si>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</si>
  <si>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</si>
  <si>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</si>
  <si>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</si>
  <si>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</si>
  <si>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</si>
  <si>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</si>
  <si>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</si>
  <si>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</si>
  <si>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</si>
  <si>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</si>
  <si>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</si>
  <si>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</si>
  <si>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</si>
  <si>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</si>
  <si>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</si>
  <si>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</si>
  <si>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</si>
  <si>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</si>
  <si>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</si>
  <si>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</si>
  <si>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</si>
  <si>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</si>
  <si>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</si>
  <si>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</si>
  <si>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</si>
  <si>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</si>
  <si>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</si>
  <si>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</si>
  <si>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</si>
  <si>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</si>
  <si>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</si>
  <si>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</si>
  <si>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</si>
  <si>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</si>
  <si>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</si>
  <si>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</si>
  <si>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</si>
  <si>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</si>
  <si>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</si>
  <si>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</si>
  <si>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</si>
  <si>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</si>
  <si>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</si>
  <si>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</si>
  <si>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</si>
  <si>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</si>
  <si>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</si>
  <si>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</si>
  <si>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</si>
  <si>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</si>
  <si>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</si>
  <si>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</si>
  <si>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</si>
  <si>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</si>
  <si>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</si>
  <si>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</si>
  <si>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</si>
  <si>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</si>
  <si>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</si>
  <si>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</si>
  <si>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</si>
  <si>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</si>
  <si>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</si>
  <si>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</si>
  <si>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</si>
  <si>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</si>
  <si>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</si>
  <si>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</si>
  <si>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</si>
  <si>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</si>
  <si>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</si>
  <si>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</si>
  <si>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</si>
  <si>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</si>
  <si>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</si>
  <si>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</si>
  <si>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</si>
  <si>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</si>
  <si>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</si>
  <si>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</si>
  <si>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</si>
  <si>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</si>
  <si>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</si>
  <si>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</si>
  <si>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</si>
  <si>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</si>
  <si>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</si>
  <si>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</si>
  <si>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</si>
  <si>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</si>
  <si>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</si>
  <si>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</si>
  <si>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</si>
  <si>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</si>
  <si>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</si>
  <si>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</si>
  <si>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</si>
  <si>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</si>
  <si>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</si>
  <si>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</si>
  <si>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</si>
  <si>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</si>
  <si>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</si>
  <si>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</si>
  <si>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</si>
  <si>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</si>
  <si>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</si>
  <si>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</si>
  <si>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</si>
  <si>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</si>
  <si>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</si>
  <si>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</si>
  <si>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</si>
  <si>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</si>
  <si>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</si>
  <si>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</si>
  <si>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</si>
  <si>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</si>
  <si>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</si>
  <si>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</si>
  <si>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</si>
  <si>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</si>
  <si>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</si>
  <si>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</si>
  <si>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</si>
  <si>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</si>
  <si>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</si>
  <si>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</si>
  <si>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</si>
  <si>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</si>
  <si>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</si>
  <si>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</si>
  <si>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</si>
  <si>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</si>
  <si>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</si>
  <si>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</si>
  <si>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</si>
  <si>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</si>
  <si>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</si>
  <si>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</si>
  <si>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</si>
  <si>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</si>
  <si>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</si>
  <si>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</si>
  <si>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</si>
  <si>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</si>
  <si>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</si>
  <si>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</si>
  <si>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</si>
  <si>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</si>
  <si>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</si>
  <si>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</si>
  <si>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</si>
  <si>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</si>
  <si>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</si>
  <si>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</si>
  <si>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</si>
  <si>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</si>
  <si>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</si>
  <si>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</si>
  <si>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</si>
  <si>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</si>
  <si>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</si>
  <si>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</si>
  <si>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</si>
  <si>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</si>
  <si>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</si>
  <si>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</si>
  <si>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</si>
  <si>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</si>
  <si>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</si>
  <si>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</si>
  <si>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</si>
  <si>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</si>
  <si>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</si>
  <si>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</si>
  <si>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</si>
  <si>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</si>
  <si>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</si>
  <si>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</si>
  <si>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</si>
  <si>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</si>
  <si>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</si>
  <si>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</si>
  <si>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</si>
  <si>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</si>
  <si>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</si>
  <si>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</si>
  <si>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</si>
  <si>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</si>
  <si>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</si>
  <si>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</si>
  <si>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</si>
  <si>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</si>
  <si>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</si>
  <si>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</si>
  <si>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</si>
  <si>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</si>
  <si>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</si>
  <si>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</si>
  <si>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</si>
  <si>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</si>
  <si>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</si>
  <si>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</si>
  <si>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</si>
  <si>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</si>
  <si>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</si>
  <si>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</si>
  <si>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</si>
  <si>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</si>
  <si>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</si>
  <si>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</si>
  <si>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</si>
  <si>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</si>
  <si>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</si>
  <si>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</si>
  <si>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</si>
  <si>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</si>
  <si>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</si>
  <si>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</si>
  <si>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</si>
  <si>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</si>
  <si>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</si>
  <si>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</si>
  <si>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</si>
  <si>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</si>
  <si>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</si>
  <si>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</si>
  <si>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</si>
  <si>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</si>
  <si>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</si>
  <si>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</si>
  <si>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</si>
  <si>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</si>
  <si>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</si>
  <si>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</si>
  <si>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</si>
  <si>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</si>
  <si>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</si>
  <si>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</si>
  <si>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</si>
  <si>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</si>
  <si>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</si>
  <si>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</si>
  <si>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</si>
  <si>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</si>
  <si>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</si>
  <si>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</si>
  <si>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</si>
  <si>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</si>
  <si>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</si>
  <si>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</si>
  <si>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</si>
  <si>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</si>
  <si>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</si>
  <si>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</si>
  <si>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</si>
  <si>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</si>
  <si>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</si>
  <si>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</si>
  <si>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</si>
  <si>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</si>
  <si>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</si>
  <si>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</si>
  <si>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</si>
  <si>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</si>
  <si>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</si>
  <si>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</si>
  <si>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</si>
  <si>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</si>
  <si>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</si>
  <si>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</si>
  <si>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</si>
  <si>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</si>
  <si>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</si>
  <si>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</si>
  <si>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</si>
  <si>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</si>
  <si>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</si>
  <si>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</si>
  <si>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</si>
  <si>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</si>
  <si>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</si>
  <si>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</si>
  <si>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</si>
  <si>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</si>
  <si>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</si>
  <si>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</si>
  <si>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</si>
  <si>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</si>
  <si>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</si>
  <si>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</si>
  <si>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</si>
  <si>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</si>
  <si>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</si>
  <si>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</si>
  <si>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</si>
  <si>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</si>
  <si>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</si>
  <si>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</si>
  <si>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</si>
  <si>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</si>
  <si>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</si>
  <si>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</si>
  <si>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</si>
  <si>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</si>
  <si>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</si>
  <si>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</si>
  <si>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</si>
  <si>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</si>
  <si>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</si>
  <si>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</si>
  <si>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</si>
  <si>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</si>
  <si>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</si>
  <si>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</si>
  <si>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</si>
  <si>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</si>
  <si>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</si>
  <si>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</si>
  <si>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</si>
  <si>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</si>
  <si>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</si>
  <si>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</si>
  <si>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</si>
  <si>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</si>
  <si>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</si>
  <si>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</si>
  <si>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</si>
  <si>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</si>
  <si>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</si>
  <si>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</si>
  <si>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</si>
  <si>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</si>
  <si>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</si>
  <si>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</si>
  <si>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</si>
  <si>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</si>
  <si>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</si>
  <si>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</si>
  <si>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</si>
  <si>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</si>
  <si>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</si>
  <si>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</si>
  <si>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</si>
  <si>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</si>
  <si>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</si>
  <si>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</si>
  <si>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</si>
  <si>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</si>
  <si>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</si>
  <si>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</si>
  <si>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</si>
  <si>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</si>
  <si>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</si>
  <si>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</si>
  <si>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</si>
  <si>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</si>
  <si>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</si>
  <si>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</si>
  <si>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</si>
  <si>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</si>
  <si>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</si>
  <si>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</si>
  <si>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</si>
  <si>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</si>
  <si>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</si>
  <si>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</si>
  <si>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</si>
  <si>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</si>
  <si>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</si>
  <si>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</si>
  <si>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</si>
  <si>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</si>
  <si>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</si>
  <si>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</si>
  <si>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</si>
  <si>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</si>
  <si>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</si>
  <si>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</si>
  <si>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</si>
  <si>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</si>
  <si>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</si>
  <si>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</si>
  <si>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</si>
  <si>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</si>
  <si>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</si>
  <si>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</si>
  <si>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</si>
  <si>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</si>
  <si>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</si>
  <si>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</si>
  <si>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</si>
  <si>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</si>
  <si>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</si>
  <si>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</si>
  <si>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</si>
  <si>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</si>
  <si>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</si>
  <si>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</si>
  <si>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</si>
  <si>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</si>
  <si>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</si>
  <si>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</si>
  <si>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</si>
  <si>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</si>
  <si>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</si>
  <si>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</si>
  <si>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</si>
  <si>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</si>
  <si>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</si>
  <si>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</si>
  <si>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</si>
  <si>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</si>
  <si>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</si>
  <si>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</si>
  <si>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</si>
  <si>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</si>
  <si>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</si>
  <si>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</si>
  <si>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</si>
  <si>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</si>
  <si>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</si>
  <si>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</si>
  <si>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</si>
  <si>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</si>
  <si>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</si>
  <si>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</si>
  <si>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</si>
  <si>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</si>
  <si>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</si>
  <si>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</si>
  <si>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</si>
  <si>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</si>
  <si>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</si>
  <si>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</si>
  <si>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</si>
  <si>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</si>
  <si>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</si>
  <si>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</si>
  <si>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</si>
  <si>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</si>
  <si>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</si>
  <si>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</si>
  <si>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</si>
  <si>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</si>
  <si>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</si>
  <si>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</si>
  <si>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</si>
  <si>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</si>
  <si>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</si>
  <si>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</si>
  <si>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</si>
  <si>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</si>
  <si>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</si>
  <si>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</si>
  <si>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</si>
  <si>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</si>
  <si>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</si>
  <si>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</si>
  <si>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</si>
  <si>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</si>
  <si>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</si>
  <si>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</si>
  <si>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</si>
  <si>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</si>
  <si>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</si>
  <si>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</si>
  <si>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</si>
  <si>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</si>
  <si>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</si>
  <si>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</si>
  <si>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</si>
  <si>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</si>
  <si>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</si>
  <si>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</si>
  <si>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</si>
  <si>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</si>
  <si>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</si>
  <si>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</si>
  <si>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</si>
  <si>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</si>
  <si>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</si>
  <si>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</si>
  <si>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</si>
  <si>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</si>
  <si>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</si>
  <si>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</si>
  <si>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</si>
  <si>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</si>
  <si>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</si>
  <si>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</si>
  <si>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</si>
  <si>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</si>
  <si>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</si>
  <si>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</si>
  <si>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</si>
  <si>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</si>
  <si>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</si>
  <si>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</si>
  <si>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</si>
  <si>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</si>
  <si>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</si>
  <si>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</si>
  <si>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</si>
  <si>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</si>
  <si>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</si>
  <si>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</si>
  <si>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</si>
  <si>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</si>
  <si>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</si>
  <si>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</si>
  <si>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</si>
  <si>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</si>
  <si>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</si>
  <si>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</si>
  <si>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</si>
  <si>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</si>
  <si>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</si>
  <si>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</si>
  <si>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</si>
  <si>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</si>
  <si>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</si>
  <si>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</si>
  <si>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</si>
  <si>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</si>
  <si>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</si>
  <si>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</si>
  <si>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</si>
  <si>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</si>
  <si>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</si>
  <si>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</si>
  <si>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</si>
  <si>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</si>
  <si>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</si>
  <si>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</si>
  <si>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</si>
  <si>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</si>
  <si>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</si>
  <si>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</si>
  <si>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</si>
  <si>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</si>
  <si>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</si>
  <si>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</si>
  <si>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</si>
  <si>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</si>
  <si>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</si>
  <si>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</si>
  <si>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</si>
  <si>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</si>
  <si>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</si>
  <si>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</si>
  <si>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</si>
  <si>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</si>
  <si>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</si>
  <si>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</si>
  <si>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</si>
  <si>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</si>
  <si>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</si>
  <si>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</si>
  <si>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</si>
  <si>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</si>
  <si>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</si>
  <si>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</si>
  <si>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</si>
  <si>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</si>
  <si>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</si>
  <si>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</si>
  <si>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</si>
  <si>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</si>
  <si>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</si>
  <si>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</si>
  <si>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</si>
  <si>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</si>
  <si>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</si>
  <si>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</si>
  <si>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</si>
  <si>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</si>
  <si>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</si>
  <si>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</si>
  <si>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</si>
  <si>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</si>
  <si>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</si>
  <si>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</si>
  <si>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</si>
  <si>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</si>
  <si>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</si>
  <si>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</si>
  <si>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</si>
  <si>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</si>
  <si>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</si>
  <si>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</si>
  <si>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</si>
  <si>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</si>
  <si>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</si>
  <si>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</si>
  <si>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</si>
  <si>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</si>
  <si>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</si>
  <si>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</si>
  <si>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</si>
  <si>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</si>
  <si>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</si>
  <si>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</si>
  <si>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</si>
  <si>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</si>
  <si>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</si>
  <si>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</si>
  <si>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</si>
  <si>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</si>
  <si>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</si>
  <si>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</si>
  <si>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</si>
  <si>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</si>
  <si>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</si>
  <si>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</si>
  <si>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</si>
  <si>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</si>
  <si>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</si>
  <si>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</si>
  <si>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</si>
  <si>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</si>
  <si>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</si>
  <si>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</si>
  <si>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</si>
  <si>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</si>
  <si>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</si>
  <si>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</si>
  <si>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</si>
  <si>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</si>
  <si>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</si>
  <si>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</si>
  <si>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</si>
  <si>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</si>
  <si>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</si>
  <si>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</si>
  <si>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</si>
  <si>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</si>
  <si>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</si>
  <si>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</si>
  <si>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</si>
  <si>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</si>
  <si>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</si>
  <si>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</si>
  <si>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</si>
  <si>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</si>
  <si>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</si>
  <si>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</si>
  <si>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</si>
  <si>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</si>
  <si>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</si>
  <si>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</si>
  <si>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</si>
  <si>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</si>
  <si>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</si>
  <si>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</si>
  <si>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</si>
  <si>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</si>
  <si>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</si>
  <si>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</si>
  <si>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</si>
  <si>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</si>
  <si>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</si>
  <si>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</si>
  <si>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</si>
  <si>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</si>
  <si>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</si>
  <si>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</si>
  <si>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</si>
  <si>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</si>
  <si>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</si>
  <si>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</si>
  <si>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</si>
  <si>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</si>
  <si>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</si>
  <si>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</si>
  <si>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</si>
  <si>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</si>
  <si>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</si>
  <si>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</si>
  <si>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</si>
  <si>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</si>
  <si>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</si>
  <si>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</si>
  <si>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</si>
  <si>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</si>
  <si>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</si>
  <si>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</si>
  <si>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</si>
  <si>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</si>
  <si>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</si>
  <si>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</si>
  <si>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</si>
  <si>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</si>
  <si>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</si>
  <si>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</si>
  <si>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</si>
  <si>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</si>
  <si>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</si>
  <si>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</si>
  <si>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</si>
  <si>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</si>
  <si>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</si>
  <si>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</si>
  <si>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</si>
  <si>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</si>
  <si>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</si>
  <si>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</si>
  <si>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</si>
  <si>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</si>
  <si>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</si>
  <si>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</si>
  <si>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</si>
  <si>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</si>
  <si>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</si>
  <si>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</si>
  <si>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</si>
  <si>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</si>
  <si>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</si>
  <si>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</si>
  <si>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</si>
  <si>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</si>
  <si>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</si>
  <si>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</si>
  <si>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</si>
  <si>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</si>
  <si>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</si>
  <si>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</si>
  <si>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</si>
  <si>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</si>
  <si>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</si>
  <si>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</si>
  <si>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</si>
  <si>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</si>
  <si>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</si>
  <si>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</si>
  <si>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</si>
  <si>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</si>
  <si>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</si>
  <si>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</si>
  <si>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</si>
  <si>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</si>
  <si>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</si>
  <si>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</si>
  <si>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</si>
  <si>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</si>
  <si>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</si>
  <si>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</si>
  <si>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</si>
  <si>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</si>
  <si>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</si>
  <si>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</si>
  <si>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</si>
  <si>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</si>
  <si>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</si>
  <si>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</si>
  <si>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</si>
  <si>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</si>
  <si>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</si>
  <si>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</si>
  <si>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</si>
  <si>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</si>
  <si>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</si>
  <si>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</si>
  <si>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</si>
  <si>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</si>
  <si>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</si>
  <si>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</si>
  <si>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</si>
  <si>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</si>
  <si>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</si>
  <si>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</si>
  <si>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</si>
  <si>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</si>
  <si>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</si>
  <si>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</si>
  <si>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</si>
  <si>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</si>
  <si>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</si>
  <si>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</si>
  <si>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</si>
  <si>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</si>
  <si>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</si>
  <si>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</si>
  <si>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</si>
  <si>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</si>
  <si>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</si>
  <si>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</si>
  <si>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</si>
  <si>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</si>
  <si>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</si>
  <si>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</si>
  <si>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</si>
  <si>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</si>
  <si>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</si>
  <si>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</si>
  <si>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</si>
  <si>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</si>
  <si>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</si>
  <si>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</si>
  <si>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</si>
  <si>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</si>
  <si>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</si>
  <si>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</si>
  <si>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</si>
  <si>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</si>
  <si>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</si>
  <si>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</si>
  <si>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</si>
  <si>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</si>
  <si>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</si>
  <si>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</si>
  <si>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</si>
  <si>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</si>
  <si>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</si>
  <si>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</si>
  <si>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</si>
  <si>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</si>
  <si>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</si>
  <si>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</si>
  <si>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</si>
  <si>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</si>
  <si>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</si>
  <si>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</si>
  <si>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</si>
  <si>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</si>
  <si>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</si>
  <si>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</si>
  <si>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</si>
  <si>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</si>
  <si>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</si>
  <si>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</si>
  <si>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</si>
  <si>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</si>
  <si>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</si>
  <si>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</si>
  <si>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</si>
  <si>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</si>
  <si>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</si>
  <si>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</si>
  <si>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</si>
  <si>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</si>
  <si>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</si>
  <si>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</si>
  <si>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</si>
  <si>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</si>
  <si>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</si>
  <si>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</si>
  <si>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</si>
  <si>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</si>
  <si>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</si>
  <si>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</si>
  <si>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</si>
  <si>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</si>
  <si>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</si>
  <si>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</si>
  <si>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</si>
  <si>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</si>
  <si>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</si>
  <si>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</si>
  <si>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</si>
  <si>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</si>
  <si>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</si>
  <si>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</si>
  <si>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</si>
  <si>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</si>
  <si>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</si>
  <si>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</si>
  <si>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</si>
  <si>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</si>
  <si>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</si>
  <si>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</si>
  <si>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</si>
  <si>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</si>
  <si>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</si>
  <si>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</si>
  <si>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</si>
  <si>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</si>
  <si>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</si>
  <si>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</si>
  <si>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</si>
  <si>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</si>
  <si>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</si>
  <si>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</si>
  <si>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</si>
  <si>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</si>
  <si>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</si>
  <si>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</si>
  <si>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</si>
  <si>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</si>
  <si>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</si>
  <si>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</si>
  <si>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</si>
  <si>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</si>
  <si>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</si>
  <si>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</si>
  <si>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</si>
  <si>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</si>
  <si>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</si>
  <si>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</si>
  <si>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</si>
  <si>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</si>
  <si>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</si>
  <si>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</si>
  <si>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</si>
  <si>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</si>
  <si>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</si>
  <si>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</si>
  <si>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</si>
  <si>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</si>
  <si>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</si>
  <si>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</si>
  <si>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</si>
  <si>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</si>
  <si>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</si>
  <si>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</si>
  <si>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</si>
  <si>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</si>
  <si>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</si>
  <si>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</si>
  <si>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</si>
  <si>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</si>
  <si>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</si>
  <si>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</si>
  <si>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</si>
  <si>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</si>
  <si>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</si>
  <si>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</si>
  <si>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</si>
  <si>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</si>
  <si>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</si>
  <si>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</si>
  <si>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</si>
  <si>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</si>
  <si>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</si>
  <si>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</si>
  <si>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</si>
  <si>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</si>
  <si>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</si>
  <si>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</si>
  <si>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</si>
  <si>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</si>
  <si>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</si>
  <si>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</si>
  <si>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</si>
  <si>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</si>
  <si>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</si>
  <si>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</si>
  <si>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</si>
  <si>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</si>
  <si>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</si>
  <si>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</si>
  <si>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</si>
  <si>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</si>
  <si>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</si>
  <si>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</si>
  <si>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</si>
  <si>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</si>
  <si>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</si>
  <si>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</si>
  <si>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</si>
  <si>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</si>
  <si>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</si>
  <si>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</si>
  <si>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</si>
  <si>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</si>
  <si>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</si>
  <si>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</si>
  <si>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</si>
  <si>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</si>
  <si>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</si>
  <si>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</si>
  <si>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</si>
  <si>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</si>
  <si>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</si>
  <si>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</si>
  <si>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</si>
  <si>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</si>
  <si>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</si>
  <si>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</si>
  <si>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</si>
  <si>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</si>
  <si>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</si>
  <si>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</si>
  <si>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</si>
  <si>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</si>
  <si>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</si>
  <si>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</si>
  <si>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</si>
  <si>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</si>
  <si>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</si>
  <si>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</si>
  <si>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</si>
  <si>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</si>
  <si>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</si>
  <si>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</si>
  <si>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</si>
  <si>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</si>
  <si>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</si>
  <si>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</si>
  <si>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</si>
  <si>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</si>
  <si>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</si>
  <si>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</si>
  <si>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</si>
  <si>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</si>
  <si>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</si>
  <si>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</si>
  <si>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</si>
  <si>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</si>
  <si>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</si>
  <si>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</si>
  <si>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</si>
  <si>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</si>
  <si>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</si>
  <si>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</si>
  <si>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</si>
  <si>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</si>
  <si>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</si>
  <si>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</si>
  <si>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</si>
  <si>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</si>
  <si>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</si>
  <si>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</si>
  <si>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</si>
  <si>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</si>
  <si>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</si>
  <si>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</si>
  <si>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</si>
  <si>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</si>
  <si>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</si>
  <si>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</si>
  <si>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</si>
  <si>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</si>
  <si>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</si>
  <si>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</si>
  <si>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</si>
  <si>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</si>
  <si>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</si>
  <si>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</si>
  <si>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</si>
  <si>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</si>
  <si>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</si>
  <si>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</si>
  <si>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</si>
  <si>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</si>
  <si>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</si>
  <si>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</si>
  <si>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</si>
  <si>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</si>
  <si>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</si>
  <si>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</si>
  <si>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</si>
  <si>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</si>
  <si>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</si>
  <si>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</si>
  <si>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</si>
  <si>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</si>
  <si>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</si>
  <si>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</si>
  <si>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</si>
  <si>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</si>
  <si>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</si>
  <si>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</si>
  <si>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</si>
  <si>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</si>
  <si>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</si>
  <si>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</si>
  <si>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</si>
  <si>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</si>
  <si>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</si>
  <si>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</si>
  <si>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</si>
  <si>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</si>
  <si>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</si>
  <si>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</si>
  <si>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</si>
  <si>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</si>
  <si>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</si>
  <si>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</si>
  <si>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</si>
  <si>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</si>
  <si>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</si>
  <si>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</si>
  <si>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</si>
  <si>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</si>
  <si>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</si>
  <si>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</si>
  <si>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</si>
  <si>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</si>
  <si>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</si>
  <si>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</si>
  <si>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</si>
  <si>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</si>
  <si>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</si>
  <si>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</si>
  <si>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</si>
  <si>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</si>
  <si>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</si>
  <si>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</si>
  <si>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</si>
  <si>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</si>
  <si>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</si>
  <si>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</si>
  <si>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</si>
  <si>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</si>
  <si>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</si>
  <si>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</si>
  <si>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</si>
  <si>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</si>
  <si>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</si>
  <si>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</si>
  <si>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</si>
  <si>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</si>
  <si>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</si>
  <si>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</si>
  <si>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</si>
  <si>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</si>
  <si>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</si>
  <si>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</si>
  <si>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</si>
  <si>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</si>
  <si>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</si>
  <si>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</si>
  <si>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</si>
  <si>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</si>
  <si>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</si>
  <si>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</si>
  <si>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</si>
  <si>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</si>
  <si>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</si>
  <si>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</si>
  <si>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</si>
  <si>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</si>
  <si>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</si>
  <si>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</si>
  <si>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</si>
  <si>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</si>
  <si>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</si>
  <si>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</si>
  <si>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</si>
  <si>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</si>
  <si>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</si>
  <si>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</si>
  <si>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</si>
  <si>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</si>
  <si>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</si>
  <si>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</si>
  <si>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</si>
  <si>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</si>
  <si>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</si>
  <si>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</si>
  <si>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</si>
  <si>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</si>
  <si>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</si>
  <si>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</si>
  <si>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</si>
  <si>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</si>
  <si>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</si>
  <si>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</si>
  <si>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</si>
  <si>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</si>
  <si>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</si>
  <si>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</si>
  <si>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</si>
  <si>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</si>
  <si>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</si>
  <si>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</si>
  <si>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</si>
  <si>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</si>
  <si>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</si>
  <si>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</si>
  <si>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</si>
  <si>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</si>
  <si>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</si>
  <si>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</si>
  <si>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</si>
  <si>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</si>
  <si>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</si>
  <si>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</si>
  <si>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</si>
  <si>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</si>
  <si>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</si>
  <si>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</si>
  <si>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</si>
  <si>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</si>
  <si>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</si>
  <si>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</si>
  <si>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</si>
  <si>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</si>
  <si>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</si>
  <si>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</si>
  <si>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</si>
  <si>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</si>
  <si>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</si>
  <si>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</si>
  <si>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</si>
  <si>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</si>
  <si>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</si>
  <si>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</si>
  <si>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</si>
  <si>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</si>
  <si>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</si>
  <si>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</si>
  <si>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</si>
  <si>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</si>
  <si>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</si>
  <si>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</si>
  <si>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</si>
  <si>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</si>
  <si>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</si>
  <si>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</si>
  <si>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</si>
  <si>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</si>
  <si>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</si>
  <si>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</si>
  <si>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</si>
  <si>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</si>
  <si>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</si>
  <si>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</si>
  <si>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</si>
  <si>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</si>
  <si>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</si>
  <si>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</si>
  <si>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</si>
  <si>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</si>
  <si>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</si>
  <si>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</si>
  <si>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</si>
  <si>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</si>
  <si>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</si>
  <si>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</si>
  <si>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</si>
  <si>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</si>
  <si>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</si>
  <si>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</si>
  <si>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</si>
  <si>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</si>
  <si>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</si>
  <si>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</si>
  <si>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</si>
  <si>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</si>
  <si>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</si>
  <si>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</si>
  <si>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</si>
  <si>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</si>
  <si>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</si>
  <si>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</si>
  <si>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</si>
  <si>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</si>
  <si>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</si>
  <si>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</si>
  <si>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</si>
  <si>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</si>
  <si>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</si>
  <si>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</si>
  <si>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</si>
  <si>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</si>
  <si>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</si>
  <si>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</si>
  <si>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</si>
  <si>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</si>
  <si>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</si>
  <si>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</si>
  <si>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</si>
  <si>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</si>
  <si>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</si>
  <si>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</si>
  <si>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</si>
  <si>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</si>
  <si>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</si>
  <si>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</si>
  <si>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</si>
  <si>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</si>
  <si>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</si>
  <si>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</si>
  <si>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</si>
  <si>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</si>
  <si>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</si>
  <si>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</si>
  <si>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</si>
  <si>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</si>
  <si>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</si>
  <si>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</si>
  <si>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</si>
  <si>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</si>
  <si>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</si>
  <si>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</si>
  <si>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</si>
  <si>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</si>
  <si>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</si>
  <si>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</si>
  <si>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</si>
  <si>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</si>
  <si>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</si>
  <si>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</si>
  <si>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</si>
  <si>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</si>
  <si>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</si>
  <si>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</si>
  <si>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</si>
  <si>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</si>
  <si>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</si>
  <si>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</si>
  <si>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</si>
  <si>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</si>
  <si>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</si>
  <si>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</si>
  <si>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</si>
  <si>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</si>
  <si>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</si>
  <si>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</si>
  <si>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</si>
  <si>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</si>
  <si>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</si>
  <si>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</si>
  <si>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</si>
  <si>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</si>
  <si>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</si>
  <si>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</si>
  <si>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</si>
  <si>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</si>
  <si>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</si>
  <si>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</si>
  <si>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</si>
  <si>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</si>
  <si>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</si>
  <si>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</si>
  <si>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</si>
  <si>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</si>
  <si>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</si>
  <si>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</si>
  <si>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</si>
  <si>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</si>
  <si>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</si>
  <si>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</si>
  <si>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</si>
  <si>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</si>
  <si>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</si>
  <si>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</si>
  <si>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</si>
  <si>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</si>
  <si>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</si>
  <si>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</si>
  <si>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</si>
  <si>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</si>
  <si>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</si>
  <si>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</si>
  <si>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</si>
  <si>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</si>
  <si>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</si>
  <si>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</si>
  <si>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</si>
  <si>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</si>
  <si>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</si>
  <si>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</si>
  <si>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</si>
  <si>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</si>
  <si>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</si>
  <si>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</si>
  <si>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</si>
  <si>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</si>
  <si>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</si>
  <si>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</si>
  <si>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</si>
  <si>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</si>
  <si>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</si>
  <si>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</si>
  <si>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</si>
  <si>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</si>
  <si>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</si>
  <si>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</si>
  <si>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</si>
  <si>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</si>
  <si>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</si>
  <si>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</si>
  <si>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</si>
  <si>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</si>
  <si>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</si>
  <si>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</si>
  <si>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</si>
  <si>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</si>
  <si>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</si>
  <si>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</si>
  <si>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</si>
  <si>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</si>
  <si>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</si>
  <si>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</si>
  <si>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</si>
  <si>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</si>
  <si>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</si>
  <si>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</si>
  <si>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</si>
  <si>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</si>
  <si>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</si>
  <si>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</si>
  <si>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</si>
  <si>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</si>
  <si>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</si>
  <si>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</si>
  <si>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</si>
  <si>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</si>
  <si>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</si>
  <si>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</si>
  <si>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</si>
  <si>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</si>
  <si>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</si>
  <si>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</si>
  <si>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</si>
  <si>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</si>
  <si>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</si>
  <si>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</si>
  <si>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</si>
  <si>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</si>
  <si>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</si>
  <si>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</si>
  <si>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</si>
  <si>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</si>
  <si>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</si>
  <si>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</si>
  <si>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</si>
  <si>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</si>
  <si>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</si>
  <si>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</si>
  <si>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</si>
  <si>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</si>
  <si>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</si>
  <si>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</si>
  <si>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</si>
  <si>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</si>
  <si>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</si>
  <si>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</si>
  <si>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</si>
  <si>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</si>
  <si>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</si>
  <si>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</si>
  <si>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</si>
  <si>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</si>
  <si>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</si>
  <si>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</si>
  <si>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</si>
  <si>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</si>
  <si>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</si>
  <si>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</si>
  <si>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</si>
  <si>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</si>
  <si>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</si>
  <si>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</si>
  <si>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</si>
  <si>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</si>
  <si>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</si>
  <si>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</si>
  <si>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</si>
  <si>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</si>
  <si>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</si>
  <si>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</si>
  <si>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</si>
  <si>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</si>
  <si>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</si>
  <si>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</si>
  <si>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</si>
  <si>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</si>
  <si>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</si>
  <si>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</si>
  <si>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</si>
  <si>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</si>
  <si>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</si>
  <si>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</si>
  <si>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</si>
  <si>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</si>
  <si>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</si>
  <si>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</si>
  <si>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</si>
  <si>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</si>
  <si>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</si>
  <si>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</si>
  <si>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</si>
  <si>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</si>
  <si>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</si>
  <si>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</si>
  <si>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</si>
  <si>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</si>
  <si>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</si>
  <si>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</si>
  <si>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</si>
  <si>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</si>
  <si>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</si>
  <si>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</si>
  <si>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</si>
  <si>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</si>
  <si>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</si>
  <si>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</si>
  <si>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</si>
  <si>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</si>
  <si>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</si>
  <si>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</si>
  <si>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</si>
  <si>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</si>
  <si>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</si>
  <si>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</si>
  <si>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</si>
  <si>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</si>
  <si>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</si>
  <si>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</si>
  <si>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</si>
  <si>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</si>
  <si>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</si>
  <si>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</si>
  <si>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</si>
  <si>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</si>
  <si>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</si>
  <si>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</si>
  <si>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</si>
  <si>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</si>
  <si>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</si>
  <si>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</si>
  <si>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</si>
  <si>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</si>
  <si>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</si>
  <si>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</si>
  <si>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</si>
  <si>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</si>
  <si>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</si>
  <si>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</si>
  <si>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</si>
  <si>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</si>
  <si>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</si>
  <si>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</si>
  <si>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</si>
  <si>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</si>
  <si>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</si>
  <si>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</si>
  <si>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</si>
  <si>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</si>
  <si>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</si>
  <si>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</si>
  <si>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</si>
  <si>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</si>
  <si>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</si>
  <si>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</si>
  <si>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</si>
  <si>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</si>
  <si>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</si>
  <si>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</si>
  <si>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</si>
  <si>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</si>
  <si>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</si>
  <si>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</si>
  <si>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</si>
  <si>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</si>
  <si>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</si>
  <si>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</si>
  <si>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</si>
  <si>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</si>
  <si>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</si>
  <si>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</si>
  <si>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</si>
  <si>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</si>
  <si>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</si>
  <si>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</si>
  <si>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</si>
  <si>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</si>
  <si>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</si>
  <si>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</si>
  <si>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</si>
  <si>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</si>
  <si>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</si>
  <si>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</si>
  <si>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</si>
  <si>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</si>
  <si>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</si>
  <si>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</si>
  <si>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</si>
  <si>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</si>
  <si>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</si>
  <si>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</si>
  <si>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</si>
  <si>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</si>
  <si>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</si>
  <si>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</si>
  <si>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</si>
  <si>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</si>
  <si>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</si>
  <si>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</si>
  <si>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</si>
  <si>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</si>
  <si>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</si>
  <si>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</si>
  <si>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</si>
  <si>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</si>
  <si>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</si>
  <si>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</si>
  <si>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</si>
  <si>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</si>
  <si>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</si>
  <si>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</si>
  <si>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</si>
  <si>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</si>
  <si>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</si>
  <si>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</si>
  <si>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</si>
  <si>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</si>
  <si>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</si>
  <si>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</si>
  <si>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</si>
  <si>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</si>
  <si>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</si>
  <si>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</si>
  <si>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</si>
  <si>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</si>
  <si>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</si>
  <si>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</si>
  <si>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</si>
  <si>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</si>
  <si>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</si>
  <si>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</si>
  <si>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</si>
  <si>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</si>
  <si>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</si>
  <si>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</si>
  <si>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</si>
  <si>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</si>
  <si>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</si>
  <si>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</si>
  <si>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</si>
  <si>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</si>
  <si>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</si>
  <si>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</si>
  <si>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</si>
  <si>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</si>
  <si>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</si>
  <si>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</si>
  <si>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</si>
  <si>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</si>
  <si>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</si>
  <si>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</si>
  <si>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</si>
  <si>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</si>
  <si>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</si>
  <si>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</si>
  <si>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</si>
  <si>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</si>
  <si>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</si>
  <si>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</si>
  <si>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</si>
  <si>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</si>
  <si>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</si>
  <si>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</si>
  <si>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</si>
  <si>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</si>
  <si>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</si>
  <si>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</si>
  <si>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</si>
  <si>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</si>
  <si>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</si>
  <si>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</si>
  <si>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</si>
  <si>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</si>
  <si>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</si>
  <si>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</si>
  <si>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</si>
  <si>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</si>
  <si>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</si>
  <si>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</si>
  <si>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</si>
  <si>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</si>
  <si>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</si>
  <si>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</si>
  <si>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</si>
  <si>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</si>
  <si>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</si>
  <si>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</si>
  <si>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</si>
  <si>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</si>
  <si>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</si>
  <si>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</si>
  <si>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</si>
  <si>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</si>
  <si>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</si>
  <si>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</si>
  <si>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</si>
  <si>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</si>
  <si>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</si>
  <si>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</si>
  <si>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</si>
  <si>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</si>
  <si>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</si>
  <si>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</si>
  <si>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</si>
  <si>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</si>
  <si>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</si>
  <si>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</si>
  <si>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</si>
  <si>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</si>
  <si>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</si>
  <si>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</si>
  <si>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</si>
  <si>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</si>
  <si>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</si>
  <si>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</si>
  <si>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</si>
  <si>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</si>
  <si>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</si>
  <si>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</si>
  <si>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</si>
  <si>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</si>
  <si>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</si>
  <si>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</si>
  <si>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</si>
  <si>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</si>
  <si>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</si>
  <si>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</si>
  <si>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</si>
  <si>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</si>
  <si>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</si>
  <si>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</si>
  <si>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</si>
  <si>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</si>
  <si>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</si>
  <si>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</si>
  <si>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</si>
  <si>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</si>
  <si>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</si>
  <si>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</si>
  <si>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</si>
  <si>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</si>
  <si>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</si>
  <si>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</si>
  <si>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</si>
  <si>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</si>
  <si>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</si>
  <si>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</si>
  <si>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</si>
  <si>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</si>
  <si>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</si>
  <si>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</si>
  <si>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</si>
  <si>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</si>
  <si>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</si>
  <si>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</si>
  <si>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</si>
  <si>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</si>
  <si>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</si>
  <si>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</si>
  <si>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</si>
  <si>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</si>
  <si>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</si>
  <si>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</si>
  <si>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</si>
  <si>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</si>
  <si>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</si>
  <si>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</si>
  <si>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</si>
  <si>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</si>
  <si>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</si>
  <si>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</si>
  <si>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</si>
  <si>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</si>
  <si>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</si>
  <si>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</si>
  <si>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</si>
  <si>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</si>
  <si>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</si>
  <si>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</si>
  <si>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</si>
  <si>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</si>
  <si>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</si>
  <si>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</si>
  <si>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</si>
  <si>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</si>
  <si>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</si>
  <si>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</si>
  <si>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</si>
  <si>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</si>
  <si>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</si>
  <si>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</si>
  <si>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</si>
  <si>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</si>
  <si>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</si>
  <si>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</si>
  <si>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</si>
  <si>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</si>
  <si>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</si>
  <si>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</si>
  <si>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</si>
  <si>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</si>
  <si>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</si>
  <si>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</si>
  <si>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</si>
  <si>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</si>
  <si>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</si>
  <si>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</si>
  <si>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</si>
  <si>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</si>
  <si>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</si>
  <si>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</si>
  <si>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</si>
  <si>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</si>
  <si>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</si>
  <si>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</si>
  <si>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</si>
  <si>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</si>
  <si>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</si>
  <si>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</si>
  <si>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</si>
  <si>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</si>
  <si>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</si>
  <si>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</si>
  <si>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</si>
  <si>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</si>
  <si>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</si>
  <si>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</si>
  <si>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</si>
  <si>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</si>
  <si>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</si>
  <si>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</si>
  <si>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</si>
  <si>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</si>
  <si>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</si>
  <si>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</si>
  <si>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</si>
  <si>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</si>
  <si>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</si>
  <si>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</si>
  <si>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</si>
  <si>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</si>
  <si>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</si>
  <si>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</si>
  <si>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</si>
  <si>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</si>
  <si>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</si>
  <si>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</si>
  <si>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</si>
  <si>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</si>
  <si>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</si>
  <si>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</si>
  <si>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</si>
  <si>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</si>
  <si>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</si>
  <si>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</si>
  <si>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</si>
  <si>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</si>
  <si>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</si>
  <si>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</si>
  <si>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</si>
  <si>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</si>
  <si>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</si>
  <si>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</si>
  <si>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</si>
  <si>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</si>
  <si>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</si>
  <si>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</si>
  <si>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</si>
  <si>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</si>
  <si>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</si>
  <si>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</si>
  <si>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</si>
  <si>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</si>
  <si>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</si>
  <si>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</si>
  <si>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</si>
  <si>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</si>
  <si>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</si>
  <si>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</si>
  <si>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</si>
  <si>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</si>
  <si>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</si>
  <si>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</si>
  <si>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</si>
  <si>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</si>
  <si>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</si>
  <si>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</si>
  <si>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</si>
  <si>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</si>
  <si>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</si>
  <si>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</si>
  <si>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</si>
  <si>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</si>
  <si>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</si>
  <si>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</si>
  <si>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</si>
  <si>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</si>
  <si>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</si>
  <si>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</si>
  <si>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</si>
  <si>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</si>
  <si>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</si>
  <si>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</si>
  <si>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</si>
  <si>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</si>
  <si>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</si>
  <si>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</si>
  <si>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</si>
  <si>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</si>
  <si>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</si>
  <si>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</si>
  <si>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</si>
  <si>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</si>
  <si>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</si>
  <si>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</si>
  <si>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</si>
  <si>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</si>
  <si>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</si>
  <si>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</si>
  <si>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</si>
  <si>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</si>
  <si>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</si>
  <si>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</si>
  <si>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</si>
  <si>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</si>
  <si>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</si>
  <si>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</si>
  <si>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</si>
  <si>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</si>
  <si>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</si>
  <si>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</si>
  <si>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</si>
  <si>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</si>
  <si>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</si>
  <si>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</si>
  <si>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</si>
  <si>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</si>
  <si>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</si>
  <si>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</si>
  <si>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</si>
  <si>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</si>
  <si>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</si>
  <si>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</si>
  <si>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</si>
  <si>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</si>
  <si>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</si>
  <si>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</si>
  <si>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</si>
  <si>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</si>
  <si>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</si>
  <si>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</si>
  <si>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</si>
  <si>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</si>
  <si>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</si>
  <si>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</si>
  <si>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</si>
  <si>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</si>
  <si>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</si>
  <si>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</si>
  <si>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</si>
  <si>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</si>
  <si>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</si>
  <si>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</si>
  <si>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</si>
  <si>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</si>
  <si>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</si>
  <si>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</si>
  <si>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</si>
  <si>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</si>
  <si>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</si>
  <si>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</si>
  <si>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</si>
  <si>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</si>
  <si>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</si>
  <si>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</si>
  <si>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</si>
  <si>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</si>
  <si>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</si>
  <si>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</si>
  <si>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</si>
  <si>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</si>
  <si>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</si>
  <si>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</si>
  <si>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</si>
  <si>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</si>
  <si>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</si>
  <si>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</si>
  <si>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</si>
  <si>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</si>
  <si>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</si>
  <si>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</si>
  <si>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</si>
  <si>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</si>
  <si>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</si>
  <si>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</si>
  <si>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</si>
  <si>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</si>
  <si>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</si>
  <si>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</si>
  <si>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</si>
  <si>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</si>
  <si>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</si>
  <si>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</si>
  <si>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</si>
  <si>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</si>
  <si>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</si>
  <si>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</si>
  <si>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</si>
  <si>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</si>
  <si>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</si>
  <si>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</si>
  <si>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</si>
  <si>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</si>
  <si>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</si>
  <si>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</si>
  <si>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</si>
  <si>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</si>
  <si>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</si>
  <si>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</si>
  <si>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</si>
  <si>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</si>
  <si>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</si>
  <si>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</si>
  <si>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</si>
  <si>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</si>
  <si>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</si>
  <si>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</si>
  <si>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</si>
  <si>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</si>
  <si>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</si>
  <si>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</si>
  <si>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</si>
  <si>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</si>
  <si>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</si>
  <si>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</si>
  <si>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</si>
  <si>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</si>
  <si>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</si>
  <si>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</si>
  <si>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</si>
  <si>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</si>
  <si>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</si>
  <si>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</si>
  <si>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</si>
  <si>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</si>
  <si>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</si>
  <si>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</si>
  <si>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</si>
  <si>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</si>
  <si>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</si>
  <si>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</si>
  <si>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</si>
  <si>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</si>
  <si>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</si>
  <si>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</si>
  <si>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</si>
  <si>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</si>
  <si>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</si>
  <si>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</si>
  <si>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</si>
  <si>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</si>
  <si>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</si>
  <si>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</si>
  <si>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</si>
  <si>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</si>
  <si>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</si>
  <si>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</si>
  <si>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</si>
  <si>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</si>
  <si>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</si>
  <si>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</si>
  <si>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</si>
  <si>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</si>
  <si>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</si>
  <si>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</si>
  <si>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</si>
  <si>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</si>
  <si>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</si>
  <si>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</si>
  <si>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</si>
  <si>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</si>
  <si>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</si>
  <si>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</si>
  <si>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</si>
  <si>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</si>
  <si>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</si>
  <si>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</si>
  <si>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</si>
  <si>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</si>
  <si>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</si>
  <si>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</si>
  <si>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</si>
  <si>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</si>
  <si>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</si>
  <si>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</si>
  <si>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</si>
  <si>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</si>
  <si>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</si>
  <si>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</si>
  <si>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</si>
  <si>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</si>
  <si>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</si>
  <si>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</si>
  <si>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</si>
  <si>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</si>
  <si>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</si>
  <si>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</si>
  <si>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</si>
  <si>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</si>
  <si>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</si>
  <si>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</si>
  <si>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</si>
  <si>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</si>
  <si>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</si>
  <si>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</si>
  <si>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</si>
  <si>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</si>
  <si>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</si>
  <si>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</si>
  <si>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</si>
  <si>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</si>
  <si>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</si>
  <si>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</si>
  <si>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</si>
  <si>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</si>
  <si>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</si>
  <si>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</si>
  <si>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</si>
  <si>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</si>
  <si>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</si>
  <si>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</si>
  <si>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</si>
  <si>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</si>
  <si>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</si>
  <si>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</si>
  <si>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</si>
  <si>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</si>
  <si>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</si>
  <si>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</si>
  <si>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</si>
  <si>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</si>
  <si>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</si>
  <si>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</si>
  <si>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</si>
  <si>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</si>
  <si>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</si>
  <si>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</si>
  <si>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</si>
  <si>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</si>
  <si>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</si>
  <si>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</si>
  <si>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</si>
  <si>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</si>
  <si>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</si>
  <si>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</si>
  <si>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</si>
  <si>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</si>
  <si>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</si>
  <si>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</si>
  <si>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</si>
  <si>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</si>
  <si>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</si>
  <si>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</si>
  <si>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</si>
  <si>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</si>
  <si>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</si>
  <si>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</si>
  <si>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</si>
  <si>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</si>
  <si>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</si>
  <si>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</si>
  <si>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</si>
  <si>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</si>
  <si>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</si>
  <si>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</si>
  <si>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</si>
  <si>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</si>
  <si>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</si>
  <si>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</si>
  <si>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</si>
  <si>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</si>
  <si>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</si>
  <si>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</si>
  <si>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</si>
  <si>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</si>
  <si>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</si>
  <si>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</si>
  <si>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</si>
  <si>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</si>
  <si>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</si>
  <si>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</si>
  <si>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</si>
  <si>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</si>
  <si>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</si>
  <si>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</si>
  <si>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</si>
  <si>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</si>
  <si>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</si>
  <si>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</si>
  <si>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</si>
  <si>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</si>
  <si>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</si>
  <si>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</si>
  <si>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</si>
  <si>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</si>
  <si>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</si>
  <si>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</si>
  <si>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</si>
  <si>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</si>
  <si>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</si>
  <si>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</si>
  <si>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</si>
  <si>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</si>
  <si>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</si>
  <si>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</si>
  <si>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</si>
  <si>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</si>
  <si>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</si>
  <si>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</si>
  <si>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</si>
  <si>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</si>
  <si>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</si>
  <si>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</si>
  <si>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</si>
  <si>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</si>
  <si>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</si>
  <si>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</si>
  <si>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</si>
  <si>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</si>
  <si>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</si>
  <si>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</si>
  <si>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</si>
  <si>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</si>
  <si>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</si>
  <si>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</si>
  <si>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</si>
  <si>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</si>
  <si>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</si>
  <si>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</si>
  <si>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</si>
  <si>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</si>
  <si>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</si>
  <si>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</si>
  <si>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</si>
  <si>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</si>
  <si>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</si>
  <si>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</si>
  <si>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</si>
  <si>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</si>
  <si>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</si>
  <si>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</si>
  <si>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</si>
  <si>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</si>
  <si>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</si>
  <si>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</si>
  <si>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</si>
  <si>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</si>
  <si>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</si>
  <si>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</si>
  <si>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</si>
  <si>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</si>
  <si>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</si>
  <si>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</si>
  <si>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</si>
  <si>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</si>
  <si>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</si>
  <si>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</si>
  <si>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</si>
  <si>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</si>
  <si>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</si>
  <si>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</si>
  <si>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</si>
  <si>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</si>
  <si>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</si>
  <si>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</si>
  <si>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</si>
  <si>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</si>
  <si>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</si>
  <si>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</si>
  <si>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</si>
  <si>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</si>
  <si>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</si>
  <si>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</si>
  <si>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</si>
  <si>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</si>
  <si>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</si>
  <si>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</si>
  <si>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</si>
  <si>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</si>
  <si>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</si>
  <si>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</si>
  <si>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</si>
  <si>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</si>
  <si>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</si>
  <si>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</si>
  <si>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</si>
  <si>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</si>
  <si>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</si>
  <si>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</si>
  <si>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</si>
  <si>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</si>
  <si>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</si>
  <si>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</si>
  <si>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</si>
  <si>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</si>
  <si>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</si>
  <si>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</si>
  <si>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</si>
  <si>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</si>
  <si>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</si>
  <si>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</si>
  <si>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</si>
  <si>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</si>
  <si>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</si>
  <si>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</si>
  <si>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</si>
  <si>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</si>
  <si>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</si>
  <si>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</si>
  <si>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</si>
  <si>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</si>
  <si>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</si>
  <si>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</si>
  <si>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</si>
  <si>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</si>
  <si>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</si>
  <si>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</si>
  <si>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</si>
  <si>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</si>
  <si>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</si>
  <si>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</si>
  <si>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</si>
  <si>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</si>
  <si>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</si>
  <si>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</si>
  <si>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</si>
  <si>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</si>
  <si>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</si>
  <si>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</si>
  <si>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</si>
  <si>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</si>
  <si>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</si>
  <si>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</si>
  <si>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</si>
  <si>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</si>
  <si>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</si>
  <si>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</si>
  <si>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</si>
  <si>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</si>
  <si>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</si>
  <si>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</si>
  <si>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</si>
  <si>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</si>
  <si>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</si>
  <si>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</si>
  <si>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</si>
  <si>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</si>
  <si>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</si>
  <si>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</si>
  <si>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</si>
  <si>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</si>
  <si>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</si>
  <si>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</si>
  <si>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</si>
  <si>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</si>
  <si>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</si>
  <si>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</si>
  <si>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</si>
  <si>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</si>
  <si>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</si>
  <si>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</si>
  <si>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</si>
  <si>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</si>
  <si>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</si>
  <si>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</si>
  <si>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</si>
  <si>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</si>
  <si>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</si>
  <si>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</si>
  <si>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</si>
  <si>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</si>
  <si>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</si>
  <si>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</si>
  <si>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</si>
  <si>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</si>
  <si>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</si>
  <si>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</si>
  <si>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</si>
  <si>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</si>
  <si>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</si>
  <si>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</si>
  <si>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</si>
  <si>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</si>
  <si>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</si>
  <si>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</si>
  <si>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</si>
  <si>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</si>
  <si>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</si>
  <si>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</si>
  <si>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</si>
  <si>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</si>
  <si>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</si>
  <si>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</si>
  <si>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</si>
  <si>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</si>
  <si>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</si>
  <si>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</si>
  <si>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</si>
  <si>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</si>
  <si>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</si>
  <si>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</si>
  <si>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</si>
  <si>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</si>
  <si>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</si>
  <si>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</si>
  <si>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</si>
  <si>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</si>
  <si>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</si>
  <si>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</si>
  <si>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</si>
  <si>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</si>
  <si>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</si>
  <si>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</si>
  <si>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</si>
  <si>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</si>
  <si>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</si>
  <si>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</si>
  <si>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</si>
  <si>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</si>
  <si>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</si>
  <si>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</si>
  <si>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</si>
  <si>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</si>
  <si>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</si>
  <si>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</si>
  <si>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</si>
  <si>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</si>
  <si>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</si>
  <si>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</si>
  <si>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</si>
  <si>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</si>
  <si>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</si>
  <si>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</si>
  <si>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</si>
  <si>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</si>
  <si>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</si>
  <si>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</si>
  <si>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</si>
  <si>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</si>
  <si>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</si>
  <si>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</si>
  <si>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</si>
  <si>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</si>
  <si>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</si>
  <si>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</si>
  <si>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</si>
  <si>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</si>
  <si>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</si>
  <si>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</si>
  <si>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</si>
  <si>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</si>
  <si>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</si>
  <si>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</si>
  <si>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</si>
  <si>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</si>
  <si>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</si>
  <si>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</si>
  <si>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</si>
  <si>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</si>
  <si>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</si>
  <si>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</si>
  <si>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</si>
  <si>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</si>
  <si>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</si>
  <si>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</si>
  <si>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</si>
  <si>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</si>
  <si>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</si>
  <si>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</si>
  <si>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</si>
  <si>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</si>
  <si>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</si>
  <si>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</si>
  <si>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</si>
  <si>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</si>
  <si>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</si>
  <si>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</si>
  <si>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</si>
  <si>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</si>
  <si>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</si>
  <si>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</si>
  <si>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</si>
  <si>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</si>
  <si>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</si>
  <si>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</si>
  <si>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</si>
  <si>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</si>
  <si>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</si>
  <si>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</si>
  <si>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</si>
  <si>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</si>
  <si>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</si>
  <si>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</si>
  <si>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</si>
  <si>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</si>
  <si>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</si>
  <si>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</si>
  <si>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</si>
  <si>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</si>
  <si>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</si>
  <si>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</si>
  <si>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</si>
  <si>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</si>
  <si>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</si>
  <si>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</si>
  <si>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</si>
  <si>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</si>
  <si>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</si>
  <si>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</si>
  <si>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</si>
  <si>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</si>
  <si>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</si>
  <si>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</si>
  <si>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</si>
  <si>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</si>
  <si>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</si>
  <si>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</si>
  <si>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</si>
  <si>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</si>
  <si>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</si>
  <si>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</si>
  <si>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</si>
  <si>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</si>
  <si>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</si>
  <si>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</si>
  <si>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</si>
  <si>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</si>
  <si>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</si>
  <si>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</si>
  <si>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</si>
  <si>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</si>
  <si>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</si>
  <si>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</si>
  <si>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</si>
  <si>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</si>
  <si>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</si>
  <si>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</si>
  <si>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</si>
  <si>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</si>
  <si>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</si>
  <si>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</si>
  <si>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</si>
  <si>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</si>
  <si>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</si>
  <si>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</si>
  <si>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</si>
  <si>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</si>
  <si>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</si>
  <si>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</si>
  <si>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</si>
  <si>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</si>
  <si>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</si>
  <si>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</si>
  <si>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</si>
  <si>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</si>
  <si>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</si>
  <si>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</si>
  <si>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</si>
  <si>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</si>
  <si>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</si>
  <si>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</si>
  <si>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</si>
  <si>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</si>
  <si>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</si>
  <si>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</si>
  <si>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</si>
  <si>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</si>
  <si>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</si>
  <si>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</si>
  <si>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</si>
  <si>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</si>
  <si>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</si>
  <si>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</si>
  <si>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</si>
  <si>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</si>
  <si>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</si>
  <si>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</si>
  <si>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</si>
  <si>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</si>
  <si>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</si>
  <si>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</si>
  <si>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</si>
  <si>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</si>
  <si>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</si>
  <si>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</si>
  <si>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</si>
  <si>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</si>
  <si>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</si>
  <si>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</si>
  <si>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</si>
  <si>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</si>
  <si>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</si>
  <si>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</si>
  <si>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</si>
  <si>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</si>
  <si>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</si>
  <si>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</si>
  <si>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</si>
  <si>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</si>
  <si>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</si>
  <si>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</si>
  <si>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</si>
  <si>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</si>
  <si>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</si>
  <si>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</si>
  <si>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</si>
  <si>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</si>
  <si>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</si>
  <si>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</si>
  <si>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</si>
  <si>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</si>
  <si>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</si>
  <si>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</si>
  <si>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</si>
  <si>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</si>
  <si>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</si>
  <si>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</si>
  <si>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</si>
  <si>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</si>
  <si>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</si>
  <si>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</si>
  <si>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</si>
  <si>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</si>
  <si>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</si>
  <si>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</si>
  <si>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</si>
  <si>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</si>
  <si>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</si>
  <si>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</si>
  <si>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</si>
  <si>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</si>
  <si>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</si>
  <si>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</si>
  <si>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</si>
  <si>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</si>
  <si>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</si>
  <si>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</si>
  <si>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</si>
  <si>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</si>
  <si>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</si>
  <si>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</si>
  <si>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</si>
  <si>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</si>
  <si>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</si>
  <si>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</si>
  <si>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</si>
  <si>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</si>
  <si>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</si>
  <si>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</si>
  <si>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</si>
  <si>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</si>
  <si>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</si>
  <si>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</si>
  <si>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</si>
  <si>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</si>
  <si>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</si>
  <si>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</si>
  <si>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</si>
  <si>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</si>
  <si>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</si>
  <si>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</si>
  <si>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</si>
  <si>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</si>
  <si>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</si>
  <si>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</si>
  <si>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</si>
  <si>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</si>
  <si>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</si>
  <si>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</si>
  <si>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</si>
  <si>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</si>
  <si>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</si>
  <si>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</si>
  <si>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</si>
  <si>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</si>
  <si>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</si>
  <si>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</si>
  <si>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</si>
  <si>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</si>
  <si>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</si>
  <si>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</si>
  <si>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</si>
  <si>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</si>
  <si>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</si>
  <si>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</si>
  <si>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</si>
  <si>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</si>
  <si>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</si>
  <si>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</si>
  <si>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</si>
  <si>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</si>
  <si>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</si>
  <si>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</si>
  <si>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</si>
  <si>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</si>
  <si>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</si>
  <si>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</si>
  <si>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</si>
  <si>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</si>
  <si>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</si>
  <si>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</si>
  <si>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</si>
  <si>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</si>
  <si>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</si>
  <si>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</si>
  <si>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</si>
  <si>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</si>
  <si>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</si>
  <si>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</si>
  <si>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</si>
  <si>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</si>
  <si>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</si>
  <si>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</si>
  <si>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</si>
  <si>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</si>
  <si>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</si>
  <si>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</si>
  <si>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</si>
  <si>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</si>
  <si>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</si>
  <si>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</si>
  <si>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</si>
  <si>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</si>
  <si>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</si>
  <si>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</si>
  <si>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</si>
  <si>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</si>
  <si>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</si>
  <si>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</si>
  <si>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</si>
  <si>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</si>
  <si>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</si>
  <si>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</si>
  <si>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</si>
  <si>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</si>
  <si>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</si>
  <si>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</si>
  <si>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</si>
  <si>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</si>
  <si>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</si>
  <si>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</si>
  <si>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</si>
  <si>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</si>
  <si>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</si>
  <si>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</si>
  <si>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</si>
  <si>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</si>
  <si>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</si>
  <si>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</si>
  <si>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</si>
  <si>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</si>
  <si>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</si>
  <si>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</si>
  <si>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</si>
  <si>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</si>
  <si>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</si>
  <si>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</si>
  <si>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</si>
  <si>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</si>
  <si>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</si>
  <si>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</si>
  <si>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</si>
  <si>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</si>
  <si>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</si>
  <si>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</si>
  <si>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</si>
  <si>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</si>
  <si>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</si>
  <si>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</si>
  <si>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</si>
  <si>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</si>
  <si>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</si>
  <si>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</si>
  <si>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</si>
  <si>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</si>
  <si>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</si>
  <si>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</si>
  <si>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</si>
  <si>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</si>
  <si>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</si>
  <si>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</si>
  <si>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</si>
  <si>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</si>
  <si>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</si>
  <si>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</si>
  <si>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</si>
  <si>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</si>
  <si>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</si>
  <si>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</si>
  <si>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</si>
  <si>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</si>
  <si>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</si>
  <si>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</si>
  <si>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</si>
  <si>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</si>
  <si>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</si>
  <si>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</si>
  <si>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</si>
  <si>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</si>
  <si>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</si>
  <si>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</si>
  <si>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</si>
  <si>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</si>
  <si>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</si>
  <si>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</si>
  <si>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</si>
  <si>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</si>
  <si>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</si>
  <si>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</si>
  <si>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</si>
  <si>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</si>
  <si>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</si>
  <si>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</si>
  <si>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</si>
  <si>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</si>
  <si>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</si>
  <si>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</si>
  <si>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</si>
  <si>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</si>
  <si>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</si>
  <si>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</si>
  <si>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</si>
  <si>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</si>
  <si>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</si>
  <si>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</si>
  <si>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</si>
  <si>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</si>
  <si>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</si>
  <si>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</si>
  <si>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</si>
  <si>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</si>
  <si>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</si>
  <si>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</si>
  <si>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</si>
  <si>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</si>
  <si>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</si>
  <si>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</si>
  <si>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</si>
  <si>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</si>
  <si>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</si>
  <si>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</si>
  <si>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</si>
  <si>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</si>
  <si>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</si>
  <si>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</si>
  <si>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</si>
  <si>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</si>
  <si>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</si>
  <si>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</si>
  <si>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</si>
  <si>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</si>
  <si>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</si>
  <si>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</si>
  <si>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</si>
  <si>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</si>
  <si>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</si>
  <si>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</si>
  <si>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</si>
  <si>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</si>
  <si>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</si>
  <si>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</si>
  <si>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</si>
  <si>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</si>
  <si>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</si>
  <si>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</si>
  <si>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</si>
  <si>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</si>
  <si>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</si>
  <si>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</si>
  <si>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</si>
  <si>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</si>
  <si>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</si>
  <si>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</si>
  <si>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</si>
  <si>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</si>
  <si>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</si>
  <si>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</si>
  <si>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</si>
  <si>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</si>
  <si>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</si>
  <si>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</si>
  <si>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</si>
  <si>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</si>
  <si>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</si>
  <si>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</si>
  <si>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</si>
  <si>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</si>
  <si>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</si>
  <si>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</si>
  <si>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</si>
  <si>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</si>
  <si>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</si>
  <si>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</si>
  <si>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</si>
  <si>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</si>
  <si>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</si>
  <si>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</si>
  <si>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</si>
  <si>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</si>
  <si>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</si>
  <si>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</si>
  <si>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</si>
  <si>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</si>
  <si>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</si>
  <si>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</si>
  <si>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</si>
  <si>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</si>
  <si>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</si>
  <si>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</si>
  <si>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</si>
  <si>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</si>
  <si>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</si>
  <si>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</si>
  <si>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</si>
  <si>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</si>
  <si>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</si>
  <si>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</si>
  <si>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</si>
  <si>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</si>
  <si>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</si>
  <si>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</si>
  <si>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</si>
  <si>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</si>
  <si>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</si>
  <si>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</si>
  <si>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</si>
  <si>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</si>
  <si>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</si>
  <si>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</si>
  <si>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</si>
  <si>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</si>
  <si>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</si>
  <si>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</si>
  <si>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</si>
  <si>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</si>
  <si>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</si>
  <si>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</si>
  <si>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</si>
  <si>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</si>
  <si>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</si>
  <si>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</si>
  <si>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</si>
  <si>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</si>
  <si>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</si>
  <si>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</si>
  <si>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</si>
  <si>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</si>
  <si>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</si>
  <si>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</si>
  <si>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</si>
  <si>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</si>
  <si>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</si>
  <si>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</si>
  <si>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</si>
  <si>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</si>
  <si>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</si>
  <si>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</si>
  <si>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</si>
  <si>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</si>
  <si>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</si>
  <si>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</si>
  <si>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</si>
  <si>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</si>
  <si>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</si>
  <si>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</si>
  <si>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</si>
  <si>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</si>
  <si>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</si>
  <si>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</si>
  <si>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</si>
  <si>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</si>
  <si>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</si>
  <si>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</si>
  <si>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</si>
  <si>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</si>
  <si>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</si>
  <si>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</si>
  <si>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</si>
  <si>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</si>
  <si>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</si>
  <si>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</si>
  <si>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</si>
  <si>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</si>
  <si>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</si>
  <si>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</si>
  <si>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</si>
  <si>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</si>
  <si>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</si>
  <si>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</si>
  <si>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</si>
  <si>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</si>
  <si>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</si>
  <si>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</si>
  <si>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</si>
  <si>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</si>
  <si>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</si>
  <si>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</si>
  <si>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</si>
  <si>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</si>
  <si>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</si>
  <si>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</si>
  <si>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</si>
  <si>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</si>
  <si>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</si>
  <si>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</si>
  <si>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</si>
  <si>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</si>
  <si>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</si>
  <si>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</si>
  <si>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</si>
  <si>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</si>
  <si>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</si>
  <si>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</si>
  <si>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</si>
  <si>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</si>
  <si>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</si>
  <si>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</si>
  <si>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</si>
  <si>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</si>
  <si>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</si>
  <si>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</si>
  <si>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</si>
  <si>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</si>
  <si>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</si>
  <si>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</si>
  <si>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</si>
  <si>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</si>
  <si>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</si>
  <si>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</si>
  <si>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</si>
  <si>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</si>
  <si>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</si>
  <si>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</si>
  <si>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</si>
  <si>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</si>
  <si>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</si>
  <si>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</si>
  <si>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</si>
  <si>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</si>
  <si>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</si>
  <si>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</si>
  <si>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</si>
  <si>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</si>
  <si>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</si>
  <si>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</si>
  <si>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</si>
  <si>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</si>
  <si>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</si>
  <si>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</si>
  <si>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</si>
  <si>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</si>
  <si>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</si>
  <si>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</si>
  <si>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</si>
  <si>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</si>
  <si>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</si>
  <si>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</si>
  <si>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</si>
  <si>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</si>
  <si>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</si>
  <si>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</si>
  <si>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</si>
  <si>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</si>
  <si>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</si>
  <si>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</si>
  <si>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</si>
  <si>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</si>
  <si>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</si>
  <si>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</si>
  <si>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</si>
  <si>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</si>
  <si>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</si>
  <si>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</si>
  <si>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</si>
  <si>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</si>
  <si>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</si>
  <si>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</si>
  <si>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</si>
  <si>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</si>
  <si>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</si>
  <si>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</si>
  <si>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</si>
  <si>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</si>
  <si>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</si>
  <si>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</si>
  <si>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</si>
  <si>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</si>
  <si>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</si>
  <si>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</si>
  <si>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</si>
  <si>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</si>
  <si>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</si>
  <si>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</si>
  <si>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</si>
  <si>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</si>
  <si>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</si>
  <si>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</si>
  <si>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</si>
  <si>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</si>
  <si>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</si>
  <si>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</si>
  <si>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</si>
  <si>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</si>
  <si>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</si>
  <si>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</si>
  <si>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</si>
  <si>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</si>
  <si>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</si>
  <si>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</si>
  <si>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</si>
  <si>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</si>
  <si>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</si>
  <si>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</si>
  <si>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</si>
  <si>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</si>
  <si>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</si>
  <si>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</si>
  <si>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</si>
  <si>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</si>
  <si>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</si>
  <si>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</si>
  <si>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</si>
  <si>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</si>
  <si>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</si>
  <si>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</si>
  <si>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</si>
  <si>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</si>
  <si>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</si>
  <si>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</si>
  <si>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</si>
  <si>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</si>
  <si>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</si>
  <si>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</si>
  <si>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</si>
  <si>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</si>
  <si>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</si>
  <si>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</si>
  <si>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</si>
  <si>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</si>
  <si>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</si>
  <si>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</si>
  <si>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</si>
  <si>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</si>
  <si>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</si>
  <si>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</si>
  <si>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</si>
  <si>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</si>
  <si>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</si>
  <si>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</si>
  <si>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</si>
  <si>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</si>
  <si>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</si>
  <si>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</si>
  <si>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</si>
  <si>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</si>
  <si>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</si>
  <si>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</si>
  <si>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</si>
  <si>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</si>
  <si>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</si>
  <si>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</si>
  <si>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</si>
  <si>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</si>
  <si>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</si>
  <si>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</si>
  <si>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</si>
  <si>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</si>
  <si>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</si>
  <si>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</si>
  <si>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</si>
  <si>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</si>
  <si>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</si>
  <si>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</si>
  <si>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</si>
  <si>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</si>
  <si>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</si>
  <si>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</si>
  <si>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</si>
  <si>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</si>
  <si>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</si>
  <si>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</si>
  <si>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</si>
  <si>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</si>
  <si>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</si>
  <si>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</si>
  <si>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</si>
  <si>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</si>
  <si>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</si>
  <si>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</si>
  <si>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</si>
  <si>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</si>
  <si>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</si>
  <si>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</si>
  <si>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</si>
  <si>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</si>
  <si>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</si>
  <si>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</si>
  <si>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</si>
  <si>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</si>
  <si>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</si>
  <si>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</si>
  <si>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</si>
  <si>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</si>
  <si>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</si>
  <si>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</si>
  <si>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</si>
  <si>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</si>
  <si>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</si>
  <si>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</si>
  <si>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</si>
  <si>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</si>
  <si>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</si>
  <si>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</si>
  <si>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</si>
  <si>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</si>
  <si>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</si>
  <si>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</si>
  <si>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</si>
  <si>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</si>
  <si>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</si>
  <si>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</si>
  <si>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</si>
  <si>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</si>
  <si>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</si>
  <si>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</si>
  <si>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</si>
  <si>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</si>
  <si>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</si>
  <si>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</si>
  <si>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</si>
  <si>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</si>
  <si>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</si>
  <si>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</si>
  <si>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</si>
  <si>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</si>
  <si>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</si>
  <si>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</si>
  <si>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</si>
  <si>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</si>
  <si>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</si>
  <si>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</si>
  <si>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</si>
  <si>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</si>
  <si>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</si>
  <si>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</si>
  <si>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</si>
  <si>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</si>
  <si>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</si>
  <si>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</si>
  <si>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</si>
  <si>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</si>
  <si>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</si>
  <si>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</si>
  <si>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</si>
  <si>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</si>
  <si>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</si>
  <si>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</si>
  <si>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</si>
  <si>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</si>
  <si>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</si>
  <si>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</si>
  <si>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</si>
  <si>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</si>
  <si>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</si>
  <si>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</si>
  <si>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</si>
  <si>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</si>
  <si>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</si>
  <si>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</si>
  <si>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</si>
  <si>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</si>
  <si>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</si>
  <si>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</si>
  <si>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</si>
  <si>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</si>
  <si>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</si>
  <si>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</si>
  <si>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</si>
  <si>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</si>
  <si>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</si>
  <si>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</si>
  <si>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</si>
  <si>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</si>
  <si>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</si>
  <si>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</si>
  <si>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</si>
  <si>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</si>
  <si>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</si>
  <si>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</si>
  <si>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</si>
  <si>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</si>
  <si>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</si>
  <si>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</si>
  <si>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</si>
  <si>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</si>
  <si>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</si>
  <si>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</si>
  <si>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</si>
  <si>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</si>
  <si>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</si>
  <si>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</si>
  <si>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</si>
  <si>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</si>
  <si>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</si>
  <si>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</si>
  <si>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</si>
  <si>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</si>
  <si>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</si>
  <si>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</si>
  <si>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</si>
  <si>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</si>
  <si>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</si>
  <si>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</si>
  <si>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</si>
  <si>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</si>
  <si>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</si>
  <si>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</si>
  <si>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</si>
  <si>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</si>
  <si>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</si>
  <si>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</si>
  <si>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</si>
  <si>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</si>
  <si>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</si>
  <si>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</si>
  <si>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</si>
  <si>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</si>
  <si>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</si>
  <si>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</si>
  <si>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</si>
  <si>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</si>
  <si>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</si>
  <si>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</si>
  <si>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</si>
  <si>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</si>
  <si>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</si>
  <si>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</si>
  <si>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</si>
  <si>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</si>
  <si>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</si>
  <si>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</si>
  <si>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</si>
  <si>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</si>
  <si>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</si>
  <si>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</si>
  <si>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</si>
  <si>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</si>
  <si>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</si>
  <si>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</si>
  <si>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</si>
  <si>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</si>
  <si>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</si>
  <si>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</si>
  <si>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</si>
  <si>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</si>
  <si>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</si>
  <si>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</si>
  <si>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</si>
  <si>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</si>
  <si>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</si>
  <si>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</si>
  <si>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</si>
  <si>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</si>
  <si>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</si>
  <si>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</si>
  <si>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</si>
  <si>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</si>
  <si>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</si>
  <si>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</si>
  <si>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</si>
  <si>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</si>
  <si>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</si>
  <si>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</si>
  <si>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</si>
  <si>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</si>
  <si>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</si>
  <si>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</si>
  <si>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</si>
  <si>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</si>
  <si>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</si>
  <si>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</si>
  <si>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</si>
  <si>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</si>
  <si>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</si>
  <si>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</si>
  <si>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</si>
  <si>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</si>
  <si>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</si>
  <si>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</si>
  <si>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</si>
  <si>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</si>
  <si>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</si>
  <si>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</si>
  <si>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</si>
  <si>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</si>
  <si>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</si>
  <si>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</si>
  <si>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</si>
  <si>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</si>
  <si>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</si>
  <si>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</si>
  <si>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</si>
  <si>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</si>
  <si>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</si>
  <si>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</si>
  <si>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</si>
  <si>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</si>
  <si>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</si>
  <si>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</si>
  <si>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</si>
  <si>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</si>
  <si>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</si>
  <si>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</si>
  <si>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</si>
  <si>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</si>
  <si>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</si>
  <si>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</si>
  <si>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</si>
  <si>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</si>
  <si>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</si>
  <si>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</si>
  <si>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</si>
  <si>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</si>
  <si>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</si>
  <si>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</si>
  <si>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</si>
  <si>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</si>
  <si>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</si>
  <si>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</si>
  <si>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</si>
  <si>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</si>
  <si>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</si>
  <si>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</si>
  <si>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</si>
  <si>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</si>
  <si>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</si>
  <si>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</si>
  <si>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</si>
  <si>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</si>
  <si>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</si>
  <si>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</si>
  <si>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</si>
  <si>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</si>
  <si>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</si>
  <si>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</si>
  <si>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</si>
  <si>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</si>
  <si>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</si>
  <si>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</si>
  <si>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</si>
  <si>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</si>
  <si>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</si>
  <si>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</si>
  <si>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</si>
  <si>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</si>
  <si>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</si>
  <si>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</si>
  <si>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</si>
  <si>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</si>
  <si>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</si>
  <si>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</si>
  <si>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</si>
  <si>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</si>
  <si>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</si>
  <si>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</si>
  <si>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</si>
  <si>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</si>
  <si>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</si>
  <si>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</si>
  <si>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</si>
  <si>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</si>
  <si>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</si>
  <si>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</si>
  <si>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</si>
  <si>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</si>
  <si>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</si>
  <si>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</si>
  <si>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</si>
  <si>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</si>
  <si>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</si>
  <si>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</si>
  <si>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</si>
  <si>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</si>
  <si>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</si>
  <si>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</si>
  <si>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</si>
  <si>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</si>
  <si>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</si>
  <si>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</si>
  <si>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</si>
  <si>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</si>
  <si>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</si>
  <si>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</si>
  <si>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</si>
  <si>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</si>
  <si>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</si>
  <si>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</si>
  <si>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</si>
  <si>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</si>
  <si>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</si>
  <si>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</si>
  <si>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</si>
  <si>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</si>
  <si>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</si>
  <si>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</si>
  <si>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</si>
  <si>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</si>
  <si>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</si>
  <si>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</si>
  <si>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</si>
  <si>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</si>
  <si>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</si>
  <si>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</si>
  <si>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</si>
  <si>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</si>
  <si>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</si>
  <si>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</si>
  <si>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</si>
  <si>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</si>
  <si>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</si>
  <si>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</si>
  <si>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</si>
  <si>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</si>
  <si>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</si>
  <si>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</si>
  <si>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</si>
  <si>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</si>
  <si>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</si>
  <si>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</si>
  <si>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</si>
  <si>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</si>
  <si>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</si>
  <si>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</si>
  <si>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</si>
  <si>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</si>
  <si>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</si>
  <si>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</si>
  <si>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</si>
  <si>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</si>
  <si>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</si>
  <si>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</si>
  <si>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</si>
  <si>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</si>
  <si>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</si>
  <si>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</si>
  <si>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</si>
  <si>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</si>
  <si>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</si>
  <si>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</si>
  <si>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</si>
  <si>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</si>
  <si>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</si>
  <si>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</si>
  <si>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</si>
  <si>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</si>
  <si>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</si>
  <si>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</si>
  <si>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</si>
  <si>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</si>
  <si>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</si>
  <si>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</si>
  <si>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</si>
  <si>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</si>
  <si>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</si>
  <si>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</si>
  <si>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</si>
  <si>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</si>
  <si>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</si>
  <si>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</si>
  <si>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</si>
  <si>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</si>
  <si>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</si>
  <si>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</si>
  <si>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</si>
  <si>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</si>
  <si>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</si>
  <si>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</si>
  <si>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</si>
  <si>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</si>
  <si>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</si>
  <si>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</si>
  <si>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</si>
  <si>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</si>
  <si>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</si>
  <si>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</si>
  <si>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</si>
  <si>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</si>
  <si>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</si>
  <si>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</si>
  <si>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</si>
  <si>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</si>
  <si>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</si>
  <si>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</si>
  <si>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</si>
  <si>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</si>
  <si>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</si>
  <si>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</si>
  <si>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</si>
  <si>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</si>
  <si>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</si>
  <si>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</si>
  <si>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</si>
  <si>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</si>
  <si>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</si>
  <si>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</si>
  <si>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</si>
  <si>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</si>
  <si>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</si>
  <si>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</si>
  <si>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</si>
  <si>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</si>
  <si>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</si>
  <si>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</si>
  <si>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</si>
  <si>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</si>
  <si>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</si>
  <si>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</si>
  <si>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</si>
  <si>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</si>
  <si>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</si>
  <si>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</si>
  <si>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</si>
  <si>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</si>
  <si>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</si>
  <si>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</si>
  <si>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</si>
  <si>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</si>
  <si>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</si>
  <si>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</si>
  <si>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</si>
  <si>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</si>
  <si>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</si>
  <si>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</si>
  <si>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</si>
  <si>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</si>
  <si>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</si>
  <si>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</si>
  <si>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</si>
  <si>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</si>
  <si>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</si>
  <si>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</si>
  <si>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</si>
  <si>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</si>
  <si>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</si>
  <si>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</si>
  <si>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</si>
  <si>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</si>
  <si>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</si>
  <si>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</si>
  <si>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</si>
  <si>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</si>
  <si>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</si>
  <si>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</si>
  <si>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</si>
  <si>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</si>
  <si>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</si>
  <si>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</si>
  <si>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</si>
  <si>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</si>
  <si>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</si>
  <si>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</si>
  <si>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</si>
  <si>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</si>
  <si>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</si>
  <si>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</si>
  <si>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</si>
  <si>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</si>
  <si>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</si>
  <si>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</si>
  <si>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</si>
  <si>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</si>
  <si>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</si>
  <si>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</si>
  <si>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</si>
  <si>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</si>
  <si>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</si>
  <si>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</si>
  <si>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</si>
  <si>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</si>
  <si>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</si>
  <si>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</si>
  <si>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</si>
  <si>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</si>
  <si>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</si>
  <si>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</si>
  <si>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</si>
  <si>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</si>
  <si>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</si>
  <si>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</si>
  <si>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</si>
  <si>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</si>
  <si>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</si>
  <si>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</si>
  <si>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</si>
  <si>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</si>
  <si>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</si>
  <si>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</si>
  <si>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</si>
  <si>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</si>
  <si>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</si>
  <si>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</si>
  <si>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</si>
  <si>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</si>
  <si>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</si>
  <si>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</si>
  <si>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</si>
  <si>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</si>
  <si>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</si>
  <si>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</si>
  <si>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</si>
  <si>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</si>
  <si>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</si>
  <si>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</si>
  <si>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</si>
  <si>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</si>
  <si>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</si>
  <si>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</si>
  <si>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</si>
  <si>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</si>
  <si>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</si>
  <si>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</si>
  <si>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</si>
  <si>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</si>
  <si>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</si>
  <si>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</si>
  <si>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</si>
  <si>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</si>
  <si>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</si>
  <si>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</si>
  <si>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</si>
  <si>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</si>
  <si>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</si>
  <si>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</si>
  <si>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</si>
  <si>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</si>
  <si>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</si>
  <si>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</si>
  <si>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</si>
  <si>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</si>
  <si>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</si>
  <si>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</si>
  <si>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</si>
  <si>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</si>
  <si>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</si>
  <si>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</si>
  <si>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</si>
  <si>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</si>
  <si>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</si>
  <si>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</si>
  <si>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</si>
  <si>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</si>
  <si>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</si>
  <si>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</si>
  <si>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</si>
  <si>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</si>
  <si>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</si>
  <si>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</si>
  <si>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</si>
  <si>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</si>
  <si>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</si>
  <si>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</si>
  <si>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</si>
  <si>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</si>
  <si>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</si>
  <si>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</si>
  <si>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</si>
  <si>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</si>
  <si>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</si>
  <si>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</si>
  <si>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</si>
  <si>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</si>
  <si>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</si>
  <si>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</si>
  <si>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</si>
  <si>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</si>
  <si>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</si>
  <si>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</si>
  <si>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</si>
  <si>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</si>
  <si>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</si>
  <si>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</si>
  <si>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</si>
  <si>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</si>
  <si>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</si>
  <si>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</si>
  <si>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</si>
  <si>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</si>
  <si>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</si>
  <si>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</si>
  <si>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</si>
  <si>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</si>
  <si>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</si>
  <si>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</si>
  <si>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</si>
  <si>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</si>
  <si>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</si>
  <si>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</si>
  <si>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</si>
  <si>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</si>
  <si>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</si>
  <si>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</si>
  <si>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</si>
  <si>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</si>
  <si>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</si>
  <si>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</si>
  <si>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</si>
  <si>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</si>
  <si>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</si>
  <si>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</si>
  <si>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</si>
  <si>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</si>
  <si>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</si>
  <si>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</si>
  <si>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</si>
  <si>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</si>
  <si>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</si>
  <si>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</si>
  <si>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</si>
  <si>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</si>
  <si>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</si>
  <si>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</si>
  <si>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</si>
  <si>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</si>
  <si>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</si>
  <si>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</si>
  <si>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</si>
  <si>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</si>
  <si>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</si>
  <si>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</si>
  <si>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</si>
  <si>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</si>
  <si>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</si>
  <si>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</si>
  <si>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</si>
  <si>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</si>
  <si>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</si>
  <si>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</si>
  <si>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</si>
  <si>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</si>
  <si>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</si>
  <si>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</si>
  <si>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</si>
  <si>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</si>
  <si>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</si>
  <si>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</si>
  <si>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</si>
  <si>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</si>
  <si>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</si>
  <si>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</si>
  <si>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</si>
  <si>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</si>
  <si>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</si>
  <si>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</si>
  <si>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</si>
  <si>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</si>
  <si>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</si>
  <si>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</si>
  <si>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</si>
  <si>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</si>
  <si>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</si>
  <si>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</si>
  <si>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</si>
  <si>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</si>
  <si>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</si>
  <si>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</si>
  <si>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</si>
  <si>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</si>
  <si>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</si>
  <si>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</si>
  <si>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</si>
  <si>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</si>
  <si>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</si>
  <si>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</si>
  <si>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</si>
  <si>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</si>
  <si>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</si>
  <si>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</si>
  <si>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</si>
  <si>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</si>
  <si>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</si>
  <si>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</si>
  <si>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</si>
  <si>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</si>
  <si>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</si>
  <si>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</si>
  <si>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</si>
  <si>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</si>
  <si>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</si>
  <si>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</si>
  <si>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</si>
  <si>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</si>
  <si>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</si>
  <si>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</si>
  <si>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</si>
  <si>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</si>
  <si>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</si>
  <si>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</si>
  <si>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</si>
  <si>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</si>
  <si>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</si>
  <si>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</si>
  <si>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</si>
  <si>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</si>
  <si>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</si>
  <si>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</si>
  <si>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</si>
  <si>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</si>
  <si>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</si>
  <si>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</si>
  <si>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</si>
  <si>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</si>
  <si>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</si>
  <si>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</si>
  <si>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</si>
  <si>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</si>
  <si>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</si>
  <si>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</si>
  <si>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</si>
  <si>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</si>
  <si>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</si>
  <si>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</si>
  <si>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</si>
  <si>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</si>
  <si>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</si>
  <si>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</si>
  <si>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</si>
  <si>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</si>
  <si>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</si>
  <si>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</si>
  <si>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</si>
  <si>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</si>
  <si>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</si>
  <si>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</si>
  <si>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</si>
  <si>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</si>
  <si>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</si>
  <si>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</si>
  <si>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</si>
  <si>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</si>
  <si>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</si>
  <si>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</si>
  <si>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</si>
  <si>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</si>
  <si>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</si>
  <si>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</si>
  <si>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</si>
  <si>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</si>
  <si>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</si>
  <si>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</si>
  <si>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</si>
  <si>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</si>
  <si>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</si>
  <si>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</si>
  <si>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</si>
  <si>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</si>
  <si>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</si>
  <si>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</si>
  <si>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</si>
  <si>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</si>
  <si>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</si>
  <si>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</si>
  <si>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</si>
  <si>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</si>
  <si>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</si>
  <si>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</si>
  <si>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</si>
  <si>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</si>
  <si>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</si>
  <si>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</si>
  <si>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</si>
  <si>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</si>
  <si>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</si>
  <si>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</si>
  <si>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</si>
  <si>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</si>
  <si>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</si>
  <si>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</si>
  <si>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</si>
  <si>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</si>
  <si>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</si>
  <si>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</si>
  <si>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</si>
  <si>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</si>
  <si>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</si>
  <si>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</si>
  <si>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</si>
  <si>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</si>
  <si>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</si>
  <si>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</si>
  <si>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</si>
  <si>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</si>
  <si>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</si>
  <si>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</si>
  <si>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</si>
  <si>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</si>
  <si>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</si>
  <si>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</si>
  <si>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</si>
  <si>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</si>
  <si>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</si>
  <si>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</si>
  <si>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</si>
  <si>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</si>
  <si>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</si>
  <si>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</si>
  <si>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</si>
  <si>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</si>
  <si>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</si>
  <si>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</si>
  <si>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</si>
  <si>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</si>
  <si>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</si>
  <si>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</si>
  <si>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</si>
  <si>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</si>
  <si>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</si>
  <si>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</si>
  <si>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</si>
  <si>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</si>
  <si>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</si>
  <si>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</si>
  <si>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</si>
  <si>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</si>
  <si>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</si>
  <si>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</si>
  <si>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</si>
  <si>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</si>
  <si>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</si>
  <si>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</si>
  <si>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</si>
  <si>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</si>
  <si>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</si>
  <si>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</si>
  <si>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</si>
  <si>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</si>
  <si>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</si>
  <si>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</si>
  <si>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</si>
  <si>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</si>
  <si>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</si>
  <si>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</si>
  <si>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</si>
  <si>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</si>
  <si>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</si>
  <si>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</si>
  <si>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</si>
  <si>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</si>
  <si>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</si>
  <si>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</si>
  <si>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</si>
  <si>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</si>
  <si>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</si>
  <si>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</si>
  <si>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</si>
  <si>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</si>
  <si>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</si>
  <si>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</si>
  <si>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</si>
  <si>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</si>
  <si>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</si>
  <si>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</si>
  <si>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</si>
  <si>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</si>
  <si>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</si>
  <si>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</si>
  <si>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</si>
  <si>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</si>
  <si>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</si>
  <si>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</si>
  <si>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</si>
  <si>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</si>
  <si>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</si>
  <si>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</si>
  <si>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</si>
  <si>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</si>
  <si>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</si>
  <si>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</si>
  <si>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</si>
  <si>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</si>
  <si>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</si>
  <si>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</si>
  <si>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</si>
  <si>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</si>
  <si>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</si>
  <si>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</si>
  <si>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</si>
  <si>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</si>
  <si>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</si>
  <si>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</si>
  <si>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</si>
  <si>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</si>
  <si>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</si>
  <si>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</si>
  <si>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</si>
  <si>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</si>
  <si>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</si>
  <si>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</si>
  <si>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</si>
  <si>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</si>
  <si>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</si>
  <si>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</si>
  <si>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</si>
  <si>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</si>
  <si>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</si>
  <si>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</si>
  <si>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</si>
  <si>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</si>
  <si>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</si>
  <si>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</si>
  <si>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</si>
  <si>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</si>
  <si>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</si>
  <si>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</si>
  <si>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</si>
  <si>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</si>
  <si>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</si>
  <si>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</si>
  <si>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</si>
  <si>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</si>
  <si>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</si>
  <si>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</si>
  <si>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</si>
  <si>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</si>
  <si>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</si>
  <si>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</si>
  <si>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</si>
  <si>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</si>
  <si>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</si>
  <si>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</si>
  <si>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</si>
  <si>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</si>
  <si>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</si>
  <si>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</si>
  <si>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</si>
  <si>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</si>
  <si>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</si>
  <si>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</si>
  <si>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</si>
  <si>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</si>
  <si>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</si>
  <si>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</si>
  <si>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</si>
  <si>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</si>
  <si>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</si>
  <si>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</si>
  <si>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</si>
  <si>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</si>
  <si>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</si>
  <si>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</si>
  <si>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</si>
  <si>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</si>
  <si>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</si>
  <si>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</si>
  <si>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</si>
  <si>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</si>
  <si>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</si>
  <si>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</si>
  <si>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</si>
  <si>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</si>
  <si>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</si>
  <si>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</si>
  <si>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</si>
  <si>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</si>
  <si>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</si>
  <si>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</si>
  <si>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</si>
  <si>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</si>
  <si>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</si>
  <si>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</si>
  <si>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</si>
  <si>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</si>
  <si>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</si>
  <si>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</si>
  <si>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</si>
  <si>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</si>
  <si>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</si>
  <si>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</si>
  <si>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</si>
  <si>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</si>
  <si>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</si>
  <si>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</si>
  <si>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</si>
  <si>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</si>
  <si>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</si>
  <si>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</si>
  <si>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</si>
  <si>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</si>
  <si>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</si>
  <si>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</si>
  <si>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</si>
  <si>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</si>
  <si>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</si>
  <si>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</si>
  <si>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</si>
  <si>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</si>
  <si>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</si>
  <si>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</si>
  <si>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</si>
  <si>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</si>
  <si>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</si>
  <si>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</si>
  <si>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</si>
  <si>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</si>
  <si>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</si>
  <si>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</si>
  <si>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</si>
  <si>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</si>
  <si>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</si>
  <si>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</si>
  <si>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</si>
  <si>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</si>
  <si>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</si>
  <si>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</si>
  <si>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</si>
  <si>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</si>
  <si>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</si>
  <si>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</si>
  <si>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</si>
  <si>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</si>
  <si>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</si>
  <si>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</si>
  <si>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</si>
  <si>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</si>
  <si>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</si>
  <si>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</si>
  <si>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</si>
  <si>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</si>
  <si>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</si>
  <si>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</si>
  <si>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</si>
  <si>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</si>
  <si>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</si>
  <si>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</si>
  <si>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</si>
  <si>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</si>
  <si>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</si>
  <si>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</si>
  <si>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</si>
  <si>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</si>
  <si>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</si>
  <si>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</si>
  <si>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</si>
  <si>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</si>
  <si>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</si>
  <si>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</si>
  <si>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</si>
  <si>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</si>
  <si>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</si>
  <si>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</si>
  <si>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</si>
  <si>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</si>
  <si>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</si>
  <si>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</si>
  <si>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</si>
  <si>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</si>
  <si>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</si>
  <si>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</si>
  <si>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</si>
  <si>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</si>
  <si>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</si>
  <si>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</si>
  <si>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</si>
  <si>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</si>
  <si>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</si>
  <si>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</si>
  <si>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</si>
  <si>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</si>
  <si>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</si>
  <si>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</si>
  <si>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</si>
  <si>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</si>
  <si>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</si>
  <si>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</si>
  <si>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</si>
  <si>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</si>
  <si>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</si>
  <si>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</si>
  <si>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</si>
  <si>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</si>
  <si>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</si>
  <si>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</si>
  <si>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</si>
  <si>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</si>
  <si>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</si>
  <si>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</si>
  <si>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</si>
  <si>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</si>
  <si>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</si>
  <si>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</si>
  <si>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</si>
  <si>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</si>
  <si>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</si>
  <si>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</si>
  <si>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</si>
  <si>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</si>
  <si>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</si>
  <si>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</si>
  <si>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</si>
  <si>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</si>
  <si>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</si>
  <si>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</si>
  <si>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</si>
  <si>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</si>
  <si>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</si>
  <si>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</si>
  <si>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</si>
  <si>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</si>
  <si>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</si>
  <si>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</si>
  <si>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</si>
  <si>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</si>
  <si>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</si>
  <si>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</si>
  <si>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</si>
  <si>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</si>
  <si>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</si>
  <si>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</si>
  <si>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</si>
  <si>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</si>
  <si>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</si>
  <si>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</si>
  <si>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</si>
  <si>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</si>
  <si>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</si>
  <si>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</si>
  <si>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</si>
  <si>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</si>
  <si>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</si>
  <si>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</si>
  <si>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</si>
  <si>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</si>
  <si>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</si>
  <si>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</si>
  <si>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</si>
  <si>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</si>
  <si>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</si>
  <si>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</si>
  <si>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</si>
  <si>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</si>
  <si>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</si>
  <si>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</si>
  <si>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</si>
  <si>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</si>
  <si>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</si>
  <si>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</si>
  <si>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</si>
  <si>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</si>
  <si>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</si>
  <si>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</si>
  <si>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</si>
  <si>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</si>
  <si>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</si>
  <si>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</si>
  <si>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</si>
  <si>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</si>
  <si>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</si>
  <si>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</si>
  <si>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</si>
  <si>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</si>
  <si>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</si>
  <si>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</si>
  <si>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</si>
  <si>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</si>
  <si>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</si>
  <si>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</si>
  <si>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</si>
  <si>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</si>
  <si>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</si>
  <si>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</si>
  <si>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</si>
  <si>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</si>
  <si>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</si>
  <si>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</si>
  <si>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</si>
  <si>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</si>
  <si>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</si>
  <si>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</si>
  <si>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</si>
  <si>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</si>
  <si>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</si>
  <si>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</si>
  <si>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</si>
  <si>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</si>
  <si>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</si>
  <si>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</si>
  <si>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</si>
  <si>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</si>
  <si>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</si>
  <si>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</si>
  <si>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</si>
  <si>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</si>
  <si>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</si>
  <si>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</si>
  <si>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</si>
  <si>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</si>
  <si>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</si>
  <si>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</si>
  <si>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</si>
  <si>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</si>
  <si>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</si>
  <si>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</si>
  <si>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</si>
  <si>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</si>
  <si>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</si>
  <si>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</si>
  <si>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</si>
  <si>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</si>
  <si>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</si>
  <si>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</si>
  <si>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</si>
  <si>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</si>
  <si>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</si>
  <si>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</si>
  <si>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</si>
  <si>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</si>
  <si>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</si>
  <si>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</si>
  <si>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</si>
  <si>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</si>
  <si>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</si>
  <si>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</si>
  <si>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</si>
  <si>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</si>
  <si>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</si>
  <si>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</si>
  <si>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</si>
  <si>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</si>
  <si>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</si>
  <si>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</si>
  <si>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</si>
  <si>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</si>
  <si>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</si>
  <si>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</si>
  <si>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</si>
  <si>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</si>
  <si>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</si>
  <si>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</si>
  <si>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</si>
  <si>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</si>
  <si>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</si>
  <si>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</si>
  <si>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</si>
  <si>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</si>
  <si>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</si>
  <si>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</si>
  <si>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</si>
  <si>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</si>
  <si>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</si>
  <si>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</si>
  <si>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</si>
  <si>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</si>
  <si>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</si>
  <si>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</si>
  <si>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</si>
  <si>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</si>
  <si>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</si>
  <si>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</si>
  <si>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</si>
  <si>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</si>
  <si>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</si>
  <si>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</si>
  <si>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</si>
  <si>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</si>
  <si>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</si>
  <si>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</si>
  <si>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</si>
  <si>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</si>
  <si>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</si>
  <si>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</si>
  <si>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</si>
  <si>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</si>
  <si>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</si>
  <si>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</si>
  <si>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</si>
  <si>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</si>
  <si>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</si>
  <si>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</si>
  <si>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</si>
  <si>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</si>
  <si>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</si>
  <si>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</si>
  <si>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</si>
  <si>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</si>
  <si>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</si>
  <si>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</si>
  <si>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</si>
  <si>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</si>
  <si>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</si>
  <si>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</si>
  <si>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</si>
  <si>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</si>
  <si>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</si>
  <si>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</si>
  <si>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</si>
  <si>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</si>
  <si>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</si>
  <si>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</si>
  <si>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</si>
  <si>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</si>
  <si>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</si>
  <si>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</si>
  <si>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</si>
  <si>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</si>
  <si>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</si>
  <si>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</si>
  <si>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</si>
  <si>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</si>
  <si>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</si>
  <si>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</si>
  <si>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</si>
  <si>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</si>
  <si>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</si>
  <si>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</si>
  <si>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</si>
  <si>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</si>
  <si>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</si>
  <si>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</si>
  <si>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</si>
  <si>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</si>
  <si>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</si>
  <si>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</si>
  <si>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</si>
  <si>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</si>
  <si>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</si>
  <si>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</si>
  <si>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</si>
  <si>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</si>
  <si>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</si>
  <si>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</si>
  <si>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</si>
  <si>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</si>
  <si>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</si>
  <si>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</si>
  <si>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</si>
  <si>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</si>
  <si>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</si>
  <si>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</si>
  <si>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</si>
  <si>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</si>
  <si>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</si>
  <si>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</si>
  <si>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</si>
  <si>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</si>
  <si>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</si>
  <si>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</si>
  <si>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</si>
  <si>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</si>
  <si>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</si>
  <si>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</si>
  <si>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</si>
  <si>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</si>
  <si>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</si>
  <si>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</si>
  <si>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</si>
  <si>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</si>
  <si>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</si>
  <si>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</si>
  <si>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</si>
  <si>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</si>
  <si>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</si>
  <si>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</si>
  <si>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</si>
  <si>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</si>
  <si>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</si>
  <si>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</si>
  <si>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</si>
  <si>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</si>
  <si>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</si>
  <si>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</si>
  <si>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</si>
  <si>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</si>
  <si>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</si>
  <si>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</si>
  <si>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</si>
  <si>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</si>
  <si>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</si>
  <si>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</si>
  <si>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</si>
  <si>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</si>
  <si>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</si>
  <si>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</si>
  <si>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</si>
  <si>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</si>
  <si>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</si>
  <si>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</si>
  <si>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</si>
  <si>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</si>
  <si>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</si>
  <si>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</si>
  <si>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</si>
  <si>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</si>
  <si>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</si>
  <si>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</si>
  <si>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</si>
  <si>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</si>
  <si>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</si>
  <si>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</si>
  <si>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</si>
  <si>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</si>
  <si>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</si>
  <si>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</si>
  <si>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</si>
  <si>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</si>
  <si>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</si>
  <si>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</si>
  <si>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</si>
  <si>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</si>
  <si>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</si>
  <si>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</si>
  <si>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</si>
  <si>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</si>
  <si>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</si>
  <si>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</si>
  <si>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</si>
  <si>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</si>
  <si>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</si>
  <si>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</si>
  <si>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</si>
  <si>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</si>
  <si>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</si>
  <si>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</si>
  <si>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</si>
  <si>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</si>
  <si>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</si>
  <si>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</si>
  <si>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</si>
  <si>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</si>
  <si>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</si>
  <si>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</si>
  <si>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</si>
  <si>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</si>
  <si>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</si>
  <si>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</si>
  <si>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</si>
  <si>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</si>
  <si>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</si>
  <si>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</si>
  <si>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</si>
  <si>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</si>
  <si>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</si>
  <si>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</si>
  <si>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</si>
  <si>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</si>
  <si>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</si>
  <si>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</si>
  <si>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</si>
  <si>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</si>
  <si>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</si>
  <si>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</si>
  <si>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</si>
  <si>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</si>
  <si>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</si>
  <si>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</si>
  <si>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</si>
  <si>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</si>
  <si>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</si>
  <si>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</si>
  <si>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</si>
  <si>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</si>
  <si>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</si>
  <si>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</si>
  <si>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</si>
  <si>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</si>
  <si>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</si>
  <si>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</si>
  <si>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</si>
  <si>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</si>
  <si>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</si>
  <si>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</si>
  <si>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</si>
  <si>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</si>
  <si>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</si>
  <si>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</si>
  <si>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</si>
  <si>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</si>
  <si>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</si>
  <si>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</si>
  <si>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</si>
  <si>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</si>
  <si>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</si>
  <si>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</si>
  <si>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</si>
  <si>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</si>
  <si>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</si>
  <si>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</si>
  <si>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</si>
  <si>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</si>
  <si>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</si>
  <si>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</si>
  <si>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</si>
  <si>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</si>
  <si>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</si>
  <si>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</si>
  <si>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</si>
  <si>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</si>
  <si>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</si>
  <si>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</si>
  <si>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</si>
  <si>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</si>
  <si>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</si>
  <si>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</si>
  <si>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</si>
  <si>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</si>
  <si>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</si>
  <si>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</si>
  <si>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</si>
  <si>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</si>
  <si>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</si>
  <si>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</si>
  <si>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</si>
  <si>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</si>
  <si>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</si>
  <si>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</si>
  <si>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</si>
  <si>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</si>
  <si>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</si>
  <si>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</si>
  <si>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</si>
  <si>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</si>
  <si>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</si>
  <si>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</si>
  <si>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</si>
  <si>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</si>
  <si>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</si>
  <si>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</si>
  <si>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</si>
  <si>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</si>
  <si>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</si>
  <si>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</si>
  <si>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</si>
  <si>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</si>
  <si>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</si>
  <si>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</si>
  <si>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</si>
  <si>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</si>
  <si>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</si>
  <si>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</si>
  <si>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</si>
  <si>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</si>
  <si>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</si>
  <si>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</si>
  <si>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</si>
  <si>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</si>
  <si>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</si>
  <si>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</si>
  <si>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</si>
  <si>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</si>
  <si>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</si>
  <si>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</si>
  <si>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</si>
  <si>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</si>
  <si>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</si>
  <si>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</si>
  <si>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</si>
  <si>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</si>
  <si>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</si>
  <si>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</si>
  <si>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</si>
  <si>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</si>
  <si>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</si>
  <si>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</si>
  <si>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</si>
  <si>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</si>
  <si>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</si>
  <si>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</si>
  <si>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</si>
  <si>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</si>
  <si>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</si>
  <si>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</si>
  <si>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</si>
  <si>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</si>
  <si>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</si>
  <si>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</si>
  <si>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</si>
  <si>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</si>
  <si>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</si>
  <si>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</si>
  <si>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</si>
  <si>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</si>
  <si>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</si>
  <si>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</si>
  <si>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</si>
  <si>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</si>
  <si>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</si>
  <si>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</si>
  <si>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</si>
  <si>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</si>
  <si>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</si>
  <si>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</si>
  <si>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</si>
  <si>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</si>
  <si>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</si>
  <si>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</si>
  <si>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</si>
  <si>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</si>
  <si>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</si>
  <si>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</si>
  <si>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</si>
  <si>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</si>
  <si>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</si>
  <si>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</si>
  <si>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</si>
  <si>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</si>
  <si>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</si>
  <si>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</si>
  <si>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</si>
  <si>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</si>
  <si>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</si>
  <si>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</si>
  <si>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</si>
  <si>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</si>
  <si>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</si>
  <si>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</si>
  <si>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</si>
  <si>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</si>
  <si>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</si>
  <si>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</si>
  <si>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</si>
  <si>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</si>
  <si>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</si>
  <si>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</si>
  <si>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</si>
  <si>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</si>
  <si>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</si>
  <si>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</si>
  <si>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</si>
  <si>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</si>
  <si>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</si>
  <si>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</si>
  <si>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</si>
  <si>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</si>
  <si>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</si>
  <si>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</si>
  <si>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</si>
  <si>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</si>
  <si>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</si>
  <si>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</si>
  <si>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</si>
  <si>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</si>
  <si>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</si>
  <si>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</si>
  <si>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</si>
  <si>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</si>
  <si>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</si>
  <si>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</si>
  <si>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</si>
  <si>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</si>
  <si>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</si>
  <si>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</si>
  <si>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</si>
  <si>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</si>
  <si>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</si>
  <si>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</si>
  <si>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</si>
  <si>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</si>
  <si>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</si>
  <si>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</si>
  <si>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</si>
  <si>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</si>
  <si>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</si>
  <si>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</si>
  <si>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</si>
  <si>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</si>
  <si>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</si>
  <si>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</si>
  <si>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</si>
  <si>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</si>
  <si>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</si>
  <si>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</si>
  <si>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</si>
  <si>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</si>
  <si>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</si>
  <si>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</si>
  <si>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</si>
  <si>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</si>
  <si>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</si>
  <si>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</si>
  <si>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</si>
  <si>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</si>
  <si>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</si>
  <si>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</si>
  <si>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</si>
  <si>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</si>
  <si>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</si>
  <si>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</si>
  <si>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</si>
  <si>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</si>
  <si>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</si>
  <si>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</si>
  <si>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</si>
  <si>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</si>
  <si>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</si>
  <si>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</si>
  <si>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</si>
  <si>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</si>
  <si>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</si>
  <si>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</si>
  <si>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</si>
  <si>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</si>
  <si>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</si>
  <si>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</si>
  <si>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</si>
  <si>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</si>
  <si>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</si>
  <si>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</si>
  <si>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</si>
  <si>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</si>
  <si>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</si>
  <si>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</si>
  <si>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</si>
  <si>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</si>
  <si>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</si>
  <si>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</si>
  <si>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</si>
  <si>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</si>
  <si>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</si>
  <si>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</si>
  <si>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</si>
  <si>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</si>
  <si>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</si>
  <si>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</si>
  <si>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</si>
  <si>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</si>
  <si>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</si>
  <si>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</si>
  <si>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</si>
  <si>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</si>
  <si>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</si>
  <si>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</si>
  <si>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</si>
  <si>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</si>
  <si>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</si>
  <si>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</si>
  <si>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</si>
  <si>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</si>
  <si>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</si>
  <si>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</si>
  <si>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</si>
  <si>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</si>
  <si>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</si>
  <si>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</si>
  <si>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</si>
  <si>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</si>
  <si>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</si>
  <si>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</si>
  <si>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</si>
  <si>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</si>
  <si>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</si>
  <si>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</si>
  <si>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</si>
  <si>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</si>
  <si>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</si>
  <si>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</si>
  <si>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</si>
  <si>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</si>
  <si>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</si>
  <si>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</si>
  <si>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</si>
  <si>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</si>
  <si>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</si>
  <si>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</si>
  <si>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</si>
  <si>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</si>
  <si>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</si>
  <si>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</si>
  <si>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</si>
  <si>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</si>
  <si>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</si>
  <si>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</si>
  <si>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</si>
  <si>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</si>
  <si>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</si>
  <si>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</si>
  <si>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</si>
  <si>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</si>
  <si>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</si>
  <si>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</si>
  <si>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</si>
  <si>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</si>
  <si>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</si>
  <si>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</si>
  <si>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</si>
  <si>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</si>
  <si>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</si>
  <si>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</si>
  <si>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</si>
  <si>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</si>
  <si>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</si>
  <si>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</si>
  <si>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</si>
  <si>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</si>
  <si>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</si>
  <si>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</si>
  <si>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</si>
  <si>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</si>
  <si>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</si>
  <si>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</si>
  <si>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</si>
  <si>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</si>
  <si>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</si>
  <si>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</si>
  <si>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</si>
  <si>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</si>
  <si>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</si>
  <si>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</si>
  <si>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</si>
  <si>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</si>
  <si>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</si>
  <si>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</si>
  <si>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</si>
  <si>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</si>
  <si>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</si>
  <si>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</si>
  <si>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</si>
  <si>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</si>
  <si>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</si>
  <si>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</si>
  <si>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</si>
  <si>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</si>
  <si>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</si>
  <si>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</si>
  <si>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</si>
  <si>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</si>
  <si>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</si>
  <si>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</si>
  <si>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</si>
  <si>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</si>
  <si>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</si>
  <si>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</si>
  <si>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</si>
  <si>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</si>
  <si>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</si>
  <si>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</si>
  <si>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</si>
  <si>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</si>
  <si>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</si>
  <si>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</si>
  <si>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</si>
  <si>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</si>
  <si>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</si>
  <si>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</si>
  <si>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</si>
  <si>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</si>
  <si>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</si>
  <si>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</si>
  <si>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</si>
  <si>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</si>
  <si>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</si>
  <si>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</si>
  <si>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</si>
  <si>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</si>
  <si>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</si>
  <si>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</si>
  <si>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</si>
  <si>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</si>
  <si>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</si>
  <si>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</si>
  <si>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</si>
  <si>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</si>
  <si>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</si>
  <si>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</si>
  <si>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</si>
  <si>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</si>
  <si>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</si>
  <si>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</si>
  <si>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</si>
  <si>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</si>
  <si>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</si>
  <si>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</si>
  <si>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</si>
  <si>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</si>
  <si>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</si>
  <si>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</si>
  <si>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</si>
  <si>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</si>
  <si>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</si>
  <si>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</si>
  <si>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</si>
  <si>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</si>
  <si>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</si>
  <si>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</si>
  <si>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</si>
  <si>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</si>
  <si>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</si>
  <si>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</si>
  <si>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</si>
  <si>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</si>
  <si>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</si>
  <si>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</si>
  <si>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</si>
  <si>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</si>
  <si>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</si>
  <si>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</si>
  <si>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</si>
  <si>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</si>
  <si>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</si>
  <si>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</si>
  <si>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</si>
  <si>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</si>
  <si>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</si>
  <si>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</si>
  <si>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</si>
  <si>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</si>
  <si>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</si>
  <si>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</si>
  <si>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</si>
  <si>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</si>
  <si>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</si>
  <si>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</si>
  <si>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</si>
  <si>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</si>
  <si>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</si>
  <si>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</si>
  <si>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</si>
  <si>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</si>
  <si>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</si>
  <si>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</si>
  <si>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</si>
  <si>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</si>
  <si>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</si>
  <si>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</si>
  <si>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</si>
  <si>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</si>
  <si>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</si>
  <si>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</si>
  <si>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</si>
  <si>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</si>
  <si>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</si>
  <si>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</si>
  <si>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</si>
  <si>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</si>
  <si>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</si>
  <si>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</si>
  <si>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</si>
  <si>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</si>
  <si>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</si>
  <si>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</si>
  <si>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</si>
  <si>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</si>
  <si>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</si>
  <si>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</si>
  <si>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</si>
  <si>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</si>
  <si>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</si>
  <si>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</si>
  <si>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</si>
  <si>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</si>
  <si>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</si>
  <si>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</si>
  <si>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</si>
  <si>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</si>
  <si>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</si>
  <si>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</si>
  <si>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</si>
  <si>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</si>
  <si>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</si>
  <si>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</si>
  <si>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</si>
  <si>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</si>
  <si>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</si>
  <si>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</si>
  <si>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</si>
  <si>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</si>
  <si>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</si>
  <si>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</si>
  <si>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</si>
  <si>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</si>
  <si>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</si>
  <si>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</si>
  <si>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</si>
  <si>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</si>
  <si>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</si>
  <si>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</si>
  <si>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</si>
  <si>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</si>
  <si>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</si>
  <si>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</si>
  <si>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</si>
  <si>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</si>
  <si>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</si>
  <si>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</si>
  <si>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</si>
  <si>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</si>
  <si>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</si>
  <si>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</si>
  <si>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</si>
  <si>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</si>
  <si>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</si>
  <si>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</si>
  <si>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</si>
  <si>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</si>
  <si>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</si>
  <si>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</si>
  <si>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</si>
  <si>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</si>
  <si>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</si>
  <si>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</si>
  <si>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</si>
  <si>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</si>
  <si>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</si>
  <si>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</si>
  <si>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</si>
  <si>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</si>
  <si>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</si>
  <si>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</si>
  <si>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</si>
  <si>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</si>
  <si>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</si>
  <si>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</si>
  <si>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</si>
  <si>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</si>
  <si>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</si>
  <si>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</si>
  <si>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</si>
  <si>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</si>
  <si>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</si>
  <si>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</si>
  <si>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</si>
  <si>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</si>
  <si>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</si>
  <si>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</si>
  <si>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</si>
  <si>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</si>
  <si>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</si>
  <si>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</si>
  <si>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</si>
  <si>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</si>
  <si>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</si>
  <si>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</si>
  <si>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</si>
  <si>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</si>
  <si>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</si>
  <si>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</si>
  <si>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</si>
  <si>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</si>
  <si>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</si>
  <si>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</si>
  <si>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</si>
  <si>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</si>
  <si>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</si>
  <si>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</si>
  <si>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</si>
  <si>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</si>
  <si>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</si>
  <si>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</si>
  <si>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</si>
  <si>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</si>
  <si>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</si>
  <si>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</si>
  <si>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</si>
  <si>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</si>
  <si>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</si>
  <si>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</si>
  <si>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</si>
  <si>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</si>
  <si>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</si>
  <si>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</si>
  <si>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</si>
  <si>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</si>
  <si>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</si>
  <si>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</si>
  <si>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</si>
  <si>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</si>
  <si>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</si>
  <si>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</si>
  <si>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</si>
  <si>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</si>
  <si>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</si>
  <si>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</si>
  <si>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</si>
  <si>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</si>
  <si>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</si>
  <si>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</si>
  <si>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</si>
  <si>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</si>
  <si>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</si>
  <si>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</si>
  <si>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</si>
  <si>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</si>
  <si>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</si>
  <si>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</si>
  <si>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</si>
  <si>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</si>
  <si>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</si>
  <si>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</si>
  <si>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</si>
  <si>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</si>
  <si>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</si>
  <si>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</si>
  <si>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</si>
  <si>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</si>
  <si>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</si>
  <si>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</si>
  <si>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</si>
  <si>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</si>
  <si>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</si>
  <si>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</si>
  <si>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</si>
  <si>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</si>
  <si>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</si>
  <si>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</si>
  <si>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</si>
  <si>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</si>
  <si>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</si>
  <si>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</si>
  <si>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</si>
  <si>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</si>
  <si>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</si>
  <si>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</si>
  <si>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</si>
  <si>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</si>
  <si>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</si>
  <si>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</si>
  <si>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</si>
  <si>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</si>
  <si>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</si>
  <si>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</si>
  <si>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</si>
  <si>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</si>
  <si>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</si>
  <si>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</si>
  <si>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</si>
  <si>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</si>
  <si>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</si>
  <si>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</si>
  <si>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</si>
  <si>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</si>
  <si>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</si>
  <si>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</si>
  <si>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</si>
  <si>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</si>
  <si>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</si>
  <si>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</si>
  <si>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</si>
  <si>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</si>
  <si>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</si>
  <si>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</si>
  <si>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</si>
  <si>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</si>
  <si>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</si>
  <si>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</si>
  <si>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</si>
  <si>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</si>
  <si>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</si>
  <si>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</si>
  <si>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</si>
  <si>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</si>
  <si>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</si>
  <si>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</si>
  <si>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</si>
  <si>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</si>
  <si>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</si>
  <si>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</si>
  <si>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</si>
  <si>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</si>
  <si>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</si>
  <si>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</si>
  <si>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</si>
  <si>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</si>
  <si>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</si>
  <si>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</si>
  <si>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</si>
  <si>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</si>
  <si>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</si>
  <si>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</si>
  <si>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</si>
  <si>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</si>
  <si>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</si>
  <si>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</si>
  <si>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</si>
  <si>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</si>
  <si>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</si>
  <si>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</si>
  <si>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</si>
  <si>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</si>
  <si>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</si>
  <si>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</si>
  <si>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</si>
  <si>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</si>
  <si>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</si>
  <si>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</si>
  <si>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</si>
  <si>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</si>
  <si>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</si>
  <si>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</si>
  <si>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</si>
  <si>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</si>
  <si>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</si>
  <si>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</si>
  <si>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</si>
  <si>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</si>
  <si>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</si>
  <si>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</si>
  <si>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</si>
  <si>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</si>
  <si>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</si>
  <si>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</si>
  <si>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</si>
  <si>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</si>
  <si>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</si>
  <si>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</si>
  <si>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</si>
  <si>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</si>
  <si>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</si>
  <si>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</si>
  <si>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</si>
  <si>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</si>
  <si>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</si>
  <si>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</si>
  <si>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</si>
  <si>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</si>
  <si>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</si>
  <si>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</si>
  <si>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</si>
  <si>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</si>
  <si>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</si>
  <si>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</si>
  <si>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</si>
  <si>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</si>
  <si>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</si>
  <si>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</si>
  <si>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</si>
  <si>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</si>
  <si>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</si>
  <si>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</si>
  <si>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</si>
  <si>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</si>
  <si>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</si>
  <si>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</si>
  <si>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</si>
  <si>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</si>
  <si>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</si>
  <si>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</si>
  <si>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</si>
  <si>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</si>
  <si>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</si>
  <si>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</si>
  <si>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</si>
  <si>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</si>
  <si>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</si>
  <si>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</si>
  <si>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</si>
  <si>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</si>
  <si>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</si>
  <si>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</si>
  <si>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</si>
  <si>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</si>
  <si>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</si>
  <si>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</si>
  <si>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</si>
  <si>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</si>
  <si>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</si>
  <si>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</si>
  <si>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</si>
  <si>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</si>
  <si>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</si>
  <si>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</si>
  <si>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</si>
  <si>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</si>
  <si>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</si>
  <si>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</si>
  <si>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</si>
  <si>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</si>
  <si>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</si>
  <si>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</si>
  <si>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</si>
  <si>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</si>
  <si>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</si>
  <si>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</si>
  <si>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</si>
  <si>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</si>
  <si>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</si>
  <si>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</si>
  <si>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</si>
  <si>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</si>
  <si>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</si>
  <si>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</si>
  <si>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</si>
  <si>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</si>
  <si>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</si>
  <si>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</si>
  <si>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</si>
  <si>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</si>
  <si>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</si>
  <si>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</si>
  <si>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</si>
  <si>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</si>
  <si>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</si>
  <si>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</si>
  <si>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</si>
  <si>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</si>
  <si>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</si>
  <si>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</si>
  <si>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</si>
  <si>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</si>
  <si>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</si>
  <si>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</si>
  <si>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</si>
  <si>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</si>
  <si>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</si>
  <si>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</si>
  <si>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</si>
  <si>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</si>
  <si>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</si>
  <si>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</si>
  <si>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</si>
  <si>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</si>
  <si>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</si>
  <si>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</si>
  <si>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</si>
  <si>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</si>
  <si>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</si>
  <si>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</si>
  <si>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</si>
  <si>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</si>
  <si>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</si>
  <si>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</si>
  <si>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</si>
  <si>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</si>
  <si>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</si>
  <si>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</si>
  <si>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</si>
  <si>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</si>
  <si>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</si>
  <si>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</si>
  <si>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</si>
  <si>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</si>
  <si>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</si>
  <si>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</si>
  <si>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</si>
  <si>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</si>
  <si>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</si>
  <si>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</si>
  <si>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</si>
  <si>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</si>
  <si>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</si>
  <si>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</si>
  <si>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</si>
  <si>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</si>
  <si>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</si>
  <si>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</si>
  <si>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</si>
  <si>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</si>
  <si>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</si>
  <si>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</si>
  <si>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</si>
  <si>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</si>
  <si>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</si>
  <si>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</si>
  <si>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</si>
  <si>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</si>
  <si>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</si>
  <si>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</si>
  <si>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</si>
  <si>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</si>
  <si>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</si>
  <si>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</si>
  <si>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</si>
  <si>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</si>
  <si>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</si>
  <si>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</si>
  <si>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</si>
  <si>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</si>
  <si>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</si>
  <si>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</si>
  <si>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</si>
  <si>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</si>
  <si>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</si>
  <si>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</si>
  <si>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</si>
  <si>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</si>
  <si>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</si>
  <si>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</si>
  <si>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</si>
  <si>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</si>
  <si>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</si>
  <si>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</si>
  <si>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</si>
  <si>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</si>
  <si>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</si>
  <si>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</si>
  <si>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</si>
  <si>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</si>
  <si>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</si>
  <si>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</si>
  <si>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</si>
  <si>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</si>
  <si>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</si>
  <si>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</si>
  <si>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</si>
  <si>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</si>
  <si>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</si>
  <si>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</si>
  <si>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</si>
  <si>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</si>
  <si>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</si>
  <si>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</si>
  <si>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</si>
  <si>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</si>
  <si>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</si>
  <si>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</si>
  <si>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</si>
  <si>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</si>
  <si>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</si>
  <si>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</si>
  <si>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</si>
  <si>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</si>
  <si>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</si>
  <si>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</si>
  <si>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</si>
  <si>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</si>
  <si>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</si>
  <si>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</si>
  <si>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</si>
  <si>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</si>
  <si>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</si>
  <si>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</si>
  <si>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</si>
  <si>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</si>
  <si>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</si>
  <si>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</si>
  <si>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</si>
  <si>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</si>
  <si>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</si>
  <si>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</si>
  <si>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</si>
  <si>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</si>
  <si>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</si>
  <si>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</si>
  <si>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</si>
  <si>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</si>
  <si>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</si>
  <si>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</si>
  <si>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</si>
  <si>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</si>
  <si>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</si>
  <si>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</si>
  <si>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</si>
  <si>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</si>
  <si>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</si>
  <si>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</si>
  <si>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</si>
  <si>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</si>
  <si>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</si>
  <si>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</si>
  <si>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</si>
  <si>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</si>
  <si>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</si>
  <si>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</si>
  <si>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</si>
  <si>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</si>
  <si>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</si>
  <si>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</si>
  <si>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</si>
  <si>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</si>
  <si>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</si>
  <si>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</si>
  <si>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</si>
  <si>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</si>
  <si>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</si>
  <si>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</si>
  <si>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</si>
  <si>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</si>
  <si>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</si>
  <si>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</si>
  <si>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</si>
  <si>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</si>
  <si>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</si>
  <si>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</si>
  <si>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</si>
  <si>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</si>
  <si>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</si>
  <si>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</si>
  <si>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</si>
  <si>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</si>
  <si>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</si>
  <si>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</si>
  <si>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</si>
  <si>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</si>
  <si>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</si>
  <si>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</si>
  <si>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</si>
  <si>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</si>
  <si>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</si>
  <si>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</si>
  <si>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</si>
  <si>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</si>
  <si>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</si>
  <si>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</si>
  <si>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</si>
  <si>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</si>
  <si>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</si>
  <si>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</si>
  <si>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</si>
  <si>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</si>
  <si>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</si>
  <si>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</si>
  <si>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</si>
  <si>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</si>
  <si>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</si>
  <si>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</si>
  <si>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</si>
  <si>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</si>
  <si>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</si>
  <si>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</si>
  <si>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</si>
  <si>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</si>
  <si>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</si>
  <si>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</si>
  <si>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</si>
  <si>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</si>
  <si>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</si>
  <si>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</si>
  <si>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</si>
  <si>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</si>
  <si>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</si>
  <si>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</si>
  <si>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</si>
  <si>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</si>
  <si>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</si>
  <si>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</si>
  <si>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</si>
  <si>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</si>
  <si>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</si>
  <si>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</si>
  <si>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</si>
  <si>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</si>
  <si>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</si>
  <si>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</si>
  <si>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</si>
  <si>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</si>
  <si>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</si>
  <si>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</si>
  <si>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</si>
  <si>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</si>
  <si>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</si>
  <si>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</si>
  <si>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</si>
  <si>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</si>
  <si>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</si>
  <si>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</si>
  <si>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</si>
  <si>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</si>
  <si>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</si>
  <si>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</si>
  <si>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</si>
  <si>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</si>
  <si>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</si>
  <si>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</si>
  <si>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</si>
  <si>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</si>
  <si>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</si>
  <si>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</si>
  <si>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</si>
  <si>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</si>
  <si>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</si>
  <si>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</si>
  <si>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</si>
  <si>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</si>
  <si>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</si>
  <si>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</si>
  <si>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</si>
  <si>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</si>
  <si>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</si>
  <si>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</si>
  <si>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</si>
  <si>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</si>
  <si>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</si>
  <si>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</si>
  <si>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</si>
  <si>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</si>
  <si>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</si>
  <si>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</si>
  <si>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</si>
  <si>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</si>
  <si>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</si>
  <si>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</si>
  <si>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</si>
  <si>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</si>
  <si>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</si>
  <si>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</si>
  <si>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</si>
  <si>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</si>
  <si>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</si>
  <si>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</si>
  <si>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</si>
  <si>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</si>
  <si>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</si>
  <si>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</si>
  <si>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</si>
  <si>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</si>
  <si>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</si>
  <si>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</si>
  <si>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</si>
  <si>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</si>
  <si>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</si>
  <si>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</si>
  <si>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</si>
  <si>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</si>
  <si>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</si>
  <si>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</si>
  <si>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</si>
  <si>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</si>
  <si>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</si>
  <si>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</si>
  <si>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</si>
  <si>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</si>
  <si>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</si>
  <si>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</si>
  <si>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</si>
  <si>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</si>
  <si>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</si>
  <si>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</si>
  <si>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</si>
  <si>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</si>
  <si>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</si>
  <si>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</si>
  <si>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</si>
  <si>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</si>
  <si>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</si>
  <si>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</si>
  <si>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</si>
  <si>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</si>
  <si>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</si>
  <si>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</si>
  <si>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</si>
  <si>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</si>
  <si>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</si>
  <si>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</si>
  <si>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</si>
  <si>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</si>
  <si>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</si>
  <si>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</si>
  <si>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</si>
  <si>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</si>
  <si>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</si>
  <si>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</si>
  <si>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</si>
  <si>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</si>
  <si>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</si>
  <si>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</si>
  <si>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</si>
  <si>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</si>
  <si>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</si>
  <si>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</si>
  <si>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</si>
  <si>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</si>
  <si>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</si>
  <si>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</si>
  <si>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</si>
  <si>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</si>
  <si>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</si>
  <si>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</si>
  <si>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</si>
  <si>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</si>
  <si>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</si>
  <si>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</si>
  <si>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</si>
  <si>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</si>
  <si>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</si>
  <si>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</si>
  <si>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</si>
  <si>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</si>
  <si>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</si>
  <si>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</si>
  <si>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</si>
  <si>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</si>
  <si>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</si>
  <si>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</si>
  <si>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</si>
  <si>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</si>
  <si>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</si>
  <si>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</si>
  <si>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</si>
  <si>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</si>
  <si>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</si>
  <si>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</si>
  <si>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</si>
  <si>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</si>
  <si>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</si>
  <si>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</si>
  <si>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</si>
  <si>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</si>
  <si>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</si>
  <si>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</si>
  <si>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</si>
  <si>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</si>
  <si>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</si>
  <si>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</si>
  <si>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</si>
  <si>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</si>
  <si>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</si>
  <si>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</si>
  <si>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</si>
  <si>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</si>
  <si>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</si>
  <si>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</si>
  <si>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</si>
  <si>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</si>
  <si>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</si>
  <si>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</si>
  <si>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</si>
  <si>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</si>
  <si>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</si>
  <si>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</si>
  <si>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</si>
  <si>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</si>
  <si>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</si>
  <si>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</si>
  <si>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</si>
  <si>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</si>
  <si>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</si>
  <si>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</si>
  <si>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</si>
  <si>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</si>
  <si>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</si>
  <si>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</si>
  <si>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</si>
  <si>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</si>
  <si>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</si>
  <si>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</si>
  <si>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</si>
  <si>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</si>
  <si>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</si>
  <si>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</si>
  <si>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</si>
  <si>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</si>
  <si>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</si>
  <si>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</si>
  <si>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</si>
  <si>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</si>
  <si>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</si>
  <si>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</si>
  <si>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</si>
  <si>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</si>
  <si>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</si>
  <si>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</si>
  <si>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</si>
  <si>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</si>
  <si>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</si>
  <si>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</si>
  <si>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</si>
  <si>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</si>
  <si>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</si>
  <si>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</si>
  <si>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</si>
  <si>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</si>
  <si>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</si>
  <si>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</si>
  <si>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</si>
  <si>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</si>
  <si>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</si>
  <si>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</si>
  <si>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</si>
  <si>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</si>
  <si>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</si>
  <si>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</si>
  <si>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</si>
  <si>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</si>
  <si>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</si>
  <si>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</si>
  <si>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</si>
  <si>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</si>
  <si>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</si>
  <si>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</si>
  <si>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</si>
  <si>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</si>
  <si>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</si>
  <si>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</si>
  <si>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</si>
  <si>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</si>
  <si>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</si>
  <si>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</si>
  <si>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</si>
  <si>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</si>
  <si>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</si>
  <si>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</si>
  <si>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</si>
  <si>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</si>
  <si>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</si>
  <si>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</si>
  <si>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</si>
  <si>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</si>
  <si>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</si>
  <si>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</si>
  <si>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</si>
  <si>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</si>
  <si>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</si>
  <si>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</si>
  <si>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</si>
  <si>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</si>
  <si>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</si>
  <si>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</si>
  <si>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</si>
  <si>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</si>
  <si>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</si>
  <si>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8-Jul-22--15-Jul-22</t>
  </si>
  <si>
    <t>D-2469</t>
  </si>
  <si>
    <t>D-2470</t>
  </si>
  <si>
    <t>D-2471</t>
  </si>
  <si>
    <t>D-2472</t>
  </si>
  <si>
    <t>D-2473</t>
  </si>
  <si>
    <t>D-2474</t>
  </si>
  <si>
    <t>D-2475</t>
  </si>
  <si>
    <t>D-2476</t>
  </si>
  <si>
    <t>D-2477</t>
  </si>
  <si>
    <t>D-2478</t>
  </si>
  <si>
    <t>D-2479</t>
  </si>
  <si>
    <t>D-2480</t>
  </si>
  <si>
    <t>D-2481</t>
  </si>
  <si>
    <t>D-2482</t>
  </si>
  <si>
    <t>2-Jul-22--4-Jul-22</t>
  </si>
  <si>
    <t>D-2483</t>
  </si>
  <si>
    <t>D-2484</t>
  </si>
  <si>
    <t>D-2485</t>
  </si>
  <si>
    <t>D-2486</t>
  </si>
  <si>
    <t>D-2487</t>
  </si>
  <si>
    <t>D-2488</t>
  </si>
  <si>
    <t>D-2489</t>
  </si>
  <si>
    <t>D-2490</t>
  </si>
  <si>
    <t>D-2491</t>
  </si>
  <si>
    <t>D-2492</t>
  </si>
  <si>
    <t>D-2493</t>
  </si>
  <si>
    <t>D-2494</t>
  </si>
  <si>
    <t>D-2495</t>
  </si>
  <si>
    <t>D-2496</t>
  </si>
  <si>
    <t>D-2497</t>
  </si>
  <si>
    <t>2-Jul-22--3-Jul-22</t>
  </si>
  <si>
    <t>D-2498</t>
  </si>
  <si>
    <t>D-2499</t>
  </si>
  <si>
    <t>D-2500</t>
  </si>
  <si>
    <t>D-2501</t>
  </si>
  <si>
    <t>D-2502</t>
  </si>
  <si>
    <t>D-2503</t>
  </si>
  <si>
    <t>(427)ROGELIO ESCOBAR TLAXCO</t>
  </si>
  <si>
    <t>D-2504</t>
  </si>
  <si>
    <t>D-2505</t>
  </si>
  <si>
    <t>D-2506</t>
  </si>
  <si>
    <t>D-2507</t>
  </si>
  <si>
    <t>D-2508</t>
  </si>
  <si>
    <t>D-2509</t>
  </si>
  <si>
    <t>D-2510</t>
  </si>
  <si>
    <t>D-2511</t>
  </si>
  <si>
    <t>D-2512</t>
  </si>
  <si>
    <t>D-2513</t>
  </si>
  <si>
    <t>D-2514</t>
  </si>
  <si>
    <t>D-2515</t>
  </si>
  <si>
    <t>D-2516</t>
  </si>
  <si>
    <t>D-2517</t>
  </si>
  <si>
    <t>D-2518</t>
  </si>
  <si>
    <t>D-2519</t>
  </si>
  <si>
    <t>D-2520</t>
  </si>
  <si>
    <t>D-2521</t>
  </si>
  <si>
    <t>1-Jul-22--12-Jul-22</t>
  </si>
  <si>
    <t>D-2522</t>
  </si>
  <si>
    <t>D-2523</t>
  </si>
  <si>
    <t>D-2524</t>
  </si>
  <si>
    <t>D-2525</t>
  </si>
  <si>
    <t>D-2526</t>
  </si>
  <si>
    <t>D-2527</t>
  </si>
  <si>
    <t>D-2528</t>
  </si>
  <si>
    <t>D-2529</t>
  </si>
  <si>
    <t>D-2530</t>
  </si>
  <si>
    <t>D-2531</t>
  </si>
  <si>
    <t>D-2532</t>
  </si>
  <si>
    <t>D-2533</t>
  </si>
  <si>
    <t>D-2534</t>
  </si>
  <si>
    <t>D-2535</t>
  </si>
  <si>
    <t>D-2536</t>
  </si>
  <si>
    <t>D-2537</t>
  </si>
  <si>
    <t>D-2538</t>
  </si>
  <si>
    <t>D-2539</t>
  </si>
  <si>
    <t>D-2540</t>
  </si>
  <si>
    <t>D-2541</t>
  </si>
  <si>
    <t>D-2542</t>
  </si>
  <si>
    <t>D-2543</t>
  </si>
  <si>
    <t>D-2544</t>
  </si>
  <si>
    <t>D-2545</t>
  </si>
  <si>
    <t>D-2546</t>
  </si>
  <si>
    <t>D-2547</t>
  </si>
  <si>
    <t>D-2548</t>
  </si>
  <si>
    <t>D-2549</t>
  </si>
  <si>
    <t>D-2550</t>
  </si>
  <si>
    <t>D-2551</t>
  </si>
  <si>
    <t>D-2552</t>
  </si>
  <si>
    <t>D-2553</t>
  </si>
  <si>
    <t>D-2554</t>
  </si>
  <si>
    <t>D-2555</t>
  </si>
  <si>
    <t>D-2556</t>
  </si>
  <si>
    <t>D-2557</t>
  </si>
  <si>
    <t>D-2558</t>
  </si>
  <si>
    <t>D-2559</t>
  </si>
  <si>
    <t>D-2560</t>
  </si>
  <si>
    <t>D-2561</t>
  </si>
  <si>
    <t>D-2562</t>
  </si>
  <si>
    <t>D-2563</t>
  </si>
  <si>
    <t>D-2564</t>
  </si>
  <si>
    <t>D-2565</t>
  </si>
  <si>
    <t>D-2566</t>
  </si>
  <si>
    <t>D-2567</t>
  </si>
  <si>
    <t>D-2568</t>
  </si>
  <si>
    <t>D-2569</t>
  </si>
  <si>
    <t>D-2570</t>
  </si>
  <si>
    <t>D-2571</t>
  </si>
  <si>
    <t>D-2572</t>
  </si>
  <si>
    <t>D-2573</t>
  </si>
  <si>
    <r>
      <t xml:space="preserve">(234)ANTONIO JUAREZ  </t>
    </r>
    <r>
      <rPr>
        <b/>
        <sz val="12"/>
        <color rgb="FFFF0000"/>
        <rFont val="Calibri"/>
        <family val="2"/>
        <scheme val="minor"/>
      </rPr>
      <t>CANCELADA</t>
    </r>
  </si>
  <si>
    <t>D-2574</t>
  </si>
  <si>
    <t>D-2575</t>
  </si>
  <si>
    <t>D-2576</t>
  </si>
  <si>
    <t>D-2577</t>
  </si>
  <si>
    <t>D-2578</t>
  </si>
  <si>
    <t>D-2579</t>
  </si>
  <si>
    <t>D-2580</t>
  </si>
  <si>
    <t>D-2581</t>
  </si>
  <si>
    <t>D-2582</t>
  </si>
  <si>
    <t>D-2583</t>
  </si>
  <si>
    <t>D-2584</t>
  </si>
  <si>
    <t>D-2585</t>
  </si>
  <si>
    <t>D-2586</t>
  </si>
  <si>
    <t>D-2587</t>
  </si>
  <si>
    <t>D-2588</t>
  </si>
  <si>
    <t>D-2589</t>
  </si>
  <si>
    <t>D-2590</t>
  </si>
  <si>
    <t>D-2591</t>
  </si>
  <si>
    <t>D-2592</t>
  </si>
  <si>
    <t>D-2593</t>
  </si>
  <si>
    <t>D-2594</t>
  </si>
  <si>
    <t>D-2595</t>
  </si>
  <si>
    <t>D-2596</t>
  </si>
  <si>
    <t>D-2597</t>
  </si>
  <si>
    <t>D-2598</t>
  </si>
  <si>
    <t>D-2599</t>
  </si>
  <si>
    <t>D-2600</t>
  </si>
  <si>
    <t>D-2601</t>
  </si>
  <si>
    <t>D-2602</t>
  </si>
  <si>
    <t>D-2603</t>
  </si>
  <si>
    <t>D-2604</t>
  </si>
  <si>
    <t>3-Jul-22--4-Jul-22</t>
  </si>
  <si>
    <t>D-2605</t>
  </si>
  <si>
    <t>D-2606</t>
  </si>
  <si>
    <t>D-2607</t>
  </si>
  <si>
    <t>D-2608</t>
  </si>
  <si>
    <t>D-2609</t>
  </si>
  <si>
    <t>D-2610</t>
  </si>
  <si>
    <t>D-2611</t>
  </si>
  <si>
    <t>D-2612</t>
  </si>
  <si>
    <t>D-2613</t>
  </si>
  <si>
    <t>D-2614</t>
  </si>
  <si>
    <t>D-2615</t>
  </si>
  <si>
    <t>D-2616</t>
  </si>
  <si>
    <t>D-2617</t>
  </si>
  <si>
    <t>4-Jul-22--5-Jul-22</t>
  </si>
  <si>
    <t>D-2618</t>
  </si>
  <si>
    <t>D-2619</t>
  </si>
  <si>
    <t>D-2620</t>
  </si>
  <si>
    <t>D-2621</t>
  </si>
  <si>
    <t>D-2622</t>
  </si>
  <si>
    <t>D-2623</t>
  </si>
  <si>
    <t>D-2624</t>
  </si>
  <si>
    <t>D-2625</t>
  </si>
  <si>
    <t>D-2626</t>
  </si>
  <si>
    <t>D-2627</t>
  </si>
  <si>
    <t>D-2628</t>
  </si>
  <si>
    <t>D-2629</t>
  </si>
  <si>
    <t>D-2630</t>
  </si>
  <si>
    <t>D-2631</t>
  </si>
  <si>
    <t>D-2632</t>
  </si>
  <si>
    <t>D-2633</t>
  </si>
  <si>
    <t>D-2634</t>
  </si>
  <si>
    <t>D-2635</t>
  </si>
  <si>
    <t>D-2636</t>
  </si>
  <si>
    <t>D-2637</t>
  </si>
  <si>
    <t>D-2638</t>
  </si>
  <si>
    <t>D-2639</t>
  </si>
  <si>
    <t>15-Jul-22--22-Jul-22</t>
  </si>
  <si>
    <t>D-2640</t>
  </si>
  <si>
    <t>D-2641</t>
  </si>
  <si>
    <t>D-2642</t>
  </si>
  <si>
    <t>D-2643</t>
  </si>
  <si>
    <t>D-2644</t>
  </si>
  <si>
    <t>D-2645</t>
  </si>
  <si>
    <t>D-2646</t>
  </si>
  <si>
    <t>D-2647</t>
  </si>
  <si>
    <t>D-2648</t>
  </si>
  <si>
    <t>D-2649</t>
  </si>
  <si>
    <t>D-2650</t>
  </si>
  <si>
    <t>D-2651</t>
  </si>
  <si>
    <t>D-2652</t>
  </si>
  <si>
    <t>D-2653</t>
  </si>
  <si>
    <t>D-2654</t>
  </si>
  <si>
    <t>D-2655</t>
  </si>
  <si>
    <t>D-2656</t>
  </si>
  <si>
    <t>D-2657</t>
  </si>
  <si>
    <t>D-2658</t>
  </si>
  <si>
    <t>D-2659</t>
  </si>
  <si>
    <t>D-2660</t>
  </si>
  <si>
    <t>D-2661</t>
  </si>
  <si>
    <t>D-2662</t>
  </si>
  <si>
    <t>D-2663</t>
  </si>
  <si>
    <t>D-2664</t>
  </si>
  <si>
    <t>D-2665</t>
  </si>
  <si>
    <t>D-2666</t>
  </si>
  <si>
    <t>D-2667</t>
  </si>
  <si>
    <t>D-2668</t>
  </si>
  <si>
    <t>D-2669</t>
  </si>
  <si>
    <t>D-2670</t>
  </si>
  <si>
    <t>D-2671</t>
  </si>
  <si>
    <t>D-2672</t>
  </si>
  <si>
    <t>D-2673</t>
  </si>
  <si>
    <t>D-2674</t>
  </si>
  <si>
    <t>D-2675</t>
  </si>
  <si>
    <t>D-2676</t>
  </si>
  <si>
    <t>D-2677</t>
  </si>
  <si>
    <t>D-2678</t>
  </si>
  <si>
    <t>D-2679</t>
  </si>
  <si>
    <t>D-2680</t>
  </si>
  <si>
    <t>D-2681</t>
  </si>
  <si>
    <t>D-2682</t>
  </si>
  <si>
    <t>D-2683</t>
  </si>
  <si>
    <t>D-2684</t>
  </si>
  <si>
    <t>D-2685</t>
  </si>
  <si>
    <t>D-2686</t>
  </si>
  <si>
    <t>D-2687</t>
  </si>
  <si>
    <t>D-2688</t>
  </si>
  <si>
    <t>D-2689</t>
  </si>
  <si>
    <t>D-2690</t>
  </si>
  <si>
    <t>D-2691</t>
  </si>
  <si>
    <t>D-2692</t>
  </si>
  <si>
    <t>D-2693</t>
  </si>
  <si>
    <t>D-2694</t>
  </si>
  <si>
    <t>D-2695</t>
  </si>
  <si>
    <t>D-2696</t>
  </si>
  <si>
    <t>D-2697</t>
  </si>
  <si>
    <t>D-2698</t>
  </si>
  <si>
    <t>D-2699</t>
  </si>
  <si>
    <t>D-2700</t>
  </si>
  <si>
    <t>D-2701</t>
  </si>
  <si>
    <t>D-2702</t>
  </si>
  <si>
    <t>D-2703</t>
  </si>
  <si>
    <t>2-Jul-22--5-Jul-22</t>
  </si>
  <si>
    <t>D-2704</t>
  </si>
  <si>
    <t>D-2705</t>
  </si>
  <si>
    <t>D-2706</t>
  </si>
  <si>
    <t>D-2707</t>
  </si>
  <si>
    <t>D-2708</t>
  </si>
  <si>
    <t>D-2709</t>
  </si>
  <si>
    <t>D-2710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</si>
  <si>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</si>
  <si>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2711</t>
  </si>
  <si>
    <t>D-2711</t>
  </si>
  <si>
    <t>D-2712</t>
  </si>
  <si>
    <t>D-2713</t>
  </si>
  <si>
    <t>D-2714</t>
  </si>
  <si>
    <t>D-2715</t>
  </si>
  <si>
    <t>D-2716</t>
  </si>
  <si>
    <t>D-2717</t>
  </si>
  <si>
    <t>D-2718</t>
  </si>
  <si>
    <t>D-2719</t>
  </si>
  <si>
    <t>D-2720</t>
  </si>
  <si>
    <t>D-2721</t>
  </si>
  <si>
    <t>D-2722</t>
  </si>
  <si>
    <t>D-2723</t>
  </si>
  <si>
    <t>D-2724</t>
  </si>
  <si>
    <t>D-2725</t>
  </si>
  <si>
    <t>D-2726</t>
  </si>
  <si>
    <t>D-2727</t>
  </si>
  <si>
    <t>D-2728</t>
  </si>
  <si>
    <t>D-2729</t>
  </si>
  <si>
    <t>D-2730</t>
  </si>
  <si>
    <t>D-2731</t>
  </si>
  <si>
    <t>D-2732</t>
  </si>
  <si>
    <t>D-2733</t>
  </si>
  <si>
    <t>D-2734</t>
  </si>
  <si>
    <t>D-2735</t>
  </si>
  <si>
    <t>D-2736</t>
  </si>
  <si>
    <t>D-2737</t>
  </si>
  <si>
    <t>D-2738</t>
  </si>
  <si>
    <t>D-2739</t>
  </si>
  <si>
    <t>D-2740</t>
  </si>
  <si>
    <t>D-2741</t>
  </si>
  <si>
    <t>D-2742</t>
  </si>
  <si>
    <t>D-2743</t>
  </si>
  <si>
    <t>D-2744</t>
  </si>
  <si>
    <t>D-2745</t>
  </si>
  <si>
    <t>D-2746</t>
  </si>
  <si>
    <t>D-2747</t>
  </si>
  <si>
    <t>D-2748</t>
  </si>
  <si>
    <t>D-2749</t>
  </si>
  <si>
    <t>D-2750</t>
  </si>
  <si>
    <t>D-2751</t>
  </si>
  <si>
    <t>D-2752</t>
  </si>
  <si>
    <t>D-2753</t>
  </si>
  <si>
    <t>D-2754</t>
  </si>
  <si>
    <t>D-2755</t>
  </si>
  <si>
    <t>D-2756</t>
  </si>
  <si>
    <t>D-2757</t>
  </si>
  <si>
    <t>D-2758</t>
  </si>
  <si>
    <t>D-2759</t>
  </si>
  <si>
    <t>D-2760</t>
  </si>
  <si>
    <t>D-2761</t>
  </si>
  <si>
    <t>D-2762</t>
  </si>
  <si>
    <t>D-2763</t>
  </si>
  <si>
    <t>D-2764</t>
  </si>
  <si>
    <t>D-2765</t>
  </si>
  <si>
    <t>D-2766</t>
  </si>
  <si>
    <t>D-2767</t>
  </si>
  <si>
    <t>D-2768</t>
  </si>
  <si>
    <t>D-2769</t>
  </si>
  <si>
    <t>D-2770</t>
  </si>
  <si>
    <t>D-2771</t>
  </si>
  <si>
    <t>D-2772</t>
  </si>
  <si>
    <t>D-2773</t>
  </si>
  <si>
    <t>D-2774</t>
  </si>
  <si>
    <t>D-2775</t>
  </si>
  <si>
    <t>D-2776</t>
  </si>
  <si>
    <t>D-2777</t>
  </si>
  <si>
    <t>D-2778</t>
  </si>
  <si>
    <t>D-2779</t>
  </si>
  <si>
    <t>D-2780</t>
  </si>
  <si>
    <t>D-2781</t>
  </si>
  <si>
    <t>D-2782</t>
  </si>
  <si>
    <t>D-2783</t>
  </si>
  <si>
    <t>D-2784</t>
  </si>
  <si>
    <t>D-2785</t>
  </si>
  <si>
    <t>D-2786</t>
  </si>
  <si>
    <t>D-2787</t>
  </si>
  <si>
    <t>5-Jul-22--7-Jul-22</t>
  </si>
  <si>
    <t>D-2788</t>
  </si>
  <si>
    <t>D-2789</t>
  </si>
  <si>
    <t>D-2790</t>
  </si>
  <si>
    <t>D-2791</t>
  </si>
  <si>
    <t>D-2792</t>
  </si>
  <si>
    <t>D-2793</t>
  </si>
  <si>
    <t>D-2794</t>
  </si>
  <si>
    <t>D-2795</t>
  </si>
  <si>
    <t>5-Jul-22--6-Jul-22</t>
  </si>
  <si>
    <t>D-2796</t>
  </si>
  <si>
    <t>D-2797</t>
  </si>
  <si>
    <t>D-2798</t>
  </si>
  <si>
    <t>D-2799</t>
  </si>
  <si>
    <t>D-2800</t>
  </si>
  <si>
    <t>D-2801</t>
  </si>
  <si>
    <t>D-2802</t>
  </si>
  <si>
    <t>D-2803</t>
  </si>
  <si>
    <t>D-2804</t>
  </si>
  <si>
    <t>D-2805</t>
  </si>
  <si>
    <t>D-2806</t>
  </si>
  <si>
    <t>D-2807</t>
  </si>
  <si>
    <t>D-2808</t>
  </si>
  <si>
    <t>D-2809</t>
  </si>
  <si>
    <t>D-2810</t>
  </si>
  <si>
    <t>D-2811</t>
  </si>
  <si>
    <t>D-2812</t>
  </si>
  <si>
    <t>D-2813</t>
  </si>
  <si>
    <t>D-2814</t>
  </si>
  <si>
    <t>D-2815</t>
  </si>
  <si>
    <r>
      <t xml:space="preserve">(708)EL SAGRARIO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</si>
  <si>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D-2816</t>
  </si>
  <si>
    <t>D-2817</t>
  </si>
  <si>
    <t>D-2818</t>
  </si>
  <si>
    <t>D-2819</t>
  </si>
  <si>
    <t>D-2820</t>
  </si>
  <si>
    <t>D-2821</t>
  </si>
  <si>
    <t>D-2822</t>
  </si>
  <si>
    <t>D-2823</t>
  </si>
  <si>
    <t>D-2824</t>
  </si>
  <si>
    <t>D-2825</t>
  </si>
  <si>
    <t>D-2826</t>
  </si>
  <si>
    <t>D-2827</t>
  </si>
  <si>
    <t>D-2828</t>
  </si>
  <si>
    <t>D-2829</t>
  </si>
  <si>
    <t>D-2830</t>
  </si>
  <si>
    <t>D-2831</t>
  </si>
  <si>
    <t>D-2832</t>
  </si>
  <si>
    <t>D-2833</t>
  </si>
  <si>
    <t>D-2834</t>
  </si>
  <si>
    <t>D-2835</t>
  </si>
  <si>
    <t>D-2836</t>
  </si>
  <si>
    <t>D-2837</t>
  </si>
  <si>
    <t>D-2838</t>
  </si>
  <si>
    <t>D-2839</t>
  </si>
  <si>
    <t>D-2840</t>
  </si>
  <si>
    <t>D-2841</t>
  </si>
  <si>
    <t>D-2842</t>
  </si>
  <si>
    <t>D-2843</t>
  </si>
  <si>
    <t>D-2844</t>
  </si>
  <si>
    <t>D-2845</t>
  </si>
  <si>
    <t>D-2846</t>
  </si>
  <si>
    <t>D-2847</t>
  </si>
  <si>
    <t>D-2848</t>
  </si>
  <si>
    <t>D-2849</t>
  </si>
  <si>
    <t>D-2850</t>
  </si>
  <si>
    <t>D-2851</t>
  </si>
  <si>
    <t>D-2852</t>
  </si>
  <si>
    <t>D-2853</t>
  </si>
  <si>
    <t>D-2854</t>
  </si>
  <si>
    <t>D-2855</t>
  </si>
  <si>
    <t>D-2856</t>
  </si>
  <si>
    <t>D-2857</t>
  </si>
  <si>
    <t>D-2858</t>
  </si>
  <si>
    <t>D-2859</t>
  </si>
  <si>
    <t>D-2860</t>
  </si>
  <si>
    <t>D-2861</t>
  </si>
  <si>
    <t>D-2862</t>
  </si>
  <si>
    <t>D-2863</t>
  </si>
  <si>
    <t>D-2864</t>
  </si>
  <si>
    <t>D-2865</t>
  </si>
  <si>
    <t>D-2866</t>
  </si>
  <si>
    <t>D-2867</t>
  </si>
  <si>
    <t>D-2868</t>
  </si>
  <si>
    <t>D-2869</t>
  </si>
  <si>
    <t>D-2870</t>
  </si>
  <si>
    <t>D-2871</t>
  </si>
  <si>
    <t>D-2872</t>
  </si>
  <si>
    <t>D-2873</t>
  </si>
  <si>
    <t>D-2874</t>
  </si>
  <si>
    <t>D-2875</t>
  </si>
  <si>
    <t>D-2876</t>
  </si>
  <si>
    <t>D-2877</t>
  </si>
  <si>
    <t>D-2878</t>
  </si>
  <si>
    <t>D-2879</t>
  </si>
  <si>
    <t>D-2880</t>
  </si>
  <si>
    <t>D-2881</t>
  </si>
  <si>
    <t>D-2882</t>
  </si>
  <si>
    <t>D-2883</t>
  </si>
  <si>
    <t>D-2884</t>
  </si>
  <si>
    <t>D-2885</t>
  </si>
  <si>
    <t>D-2886</t>
  </si>
  <si>
    <t>D-2887</t>
  </si>
  <si>
    <t>D-2888</t>
  </si>
  <si>
    <t>D-2889</t>
  </si>
  <si>
    <t>D-2890</t>
  </si>
  <si>
    <t>D-2891</t>
  </si>
  <si>
    <t>D-2892</t>
  </si>
  <si>
    <t>D-2893</t>
  </si>
  <si>
    <t>D-2894</t>
  </si>
  <si>
    <t>D-2895</t>
  </si>
  <si>
    <t>D-2896</t>
  </si>
  <si>
    <t>D-2897</t>
  </si>
  <si>
    <t>D-2898</t>
  </si>
  <si>
    <t>D-2899</t>
  </si>
  <si>
    <t>D-2900</t>
  </si>
  <si>
    <t>D-2901</t>
  </si>
  <si>
    <t>D-2902</t>
  </si>
  <si>
    <t>D-2903</t>
  </si>
  <si>
    <t>D-2904</t>
  </si>
  <si>
    <t>D-2905</t>
  </si>
  <si>
    <t>12-Jul-22--16-Jul-22</t>
  </si>
  <si>
    <t>D-2906</t>
  </si>
  <si>
    <t>D-2907</t>
  </si>
  <si>
    <t>D-2908</t>
  </si>
  <si>
    <t>D-2909</t>
  </si>
  <si>
    <t>D-2910</t>
  </si>
  <si>
    <t>D-2911</t>
  </si>
  <si>
    <t>D-2912</t>
  </si>
  <si>
    <t>D-2913</t>
  </si>
  <si>
    <t>D-2914</t>
  </si>
  <si>
    <t>D-2915</t>
  </si>
  <si>
    <t>D-2916</t>
  </si>
  <si>
    <t>D-2917</t>
  </si>
  <si>
    <t>D-2918</t>
  </si>
  <si>
    <t>D-2919</t>
  </si>
  <si>
    <t>D-2920</t>
  </si>
  <si>
    <t>D-2921</t>
  </si>
  <si>
    <t>D-2922</t>
  </si>
  <si>
    <t>D-2923</t>
  </si>
  <si>
    <t>D-2924</t>
  </si>
  <si>
    <t>D-2925</t>
  </si>
  <si>
    <t>D-2926</t>
  </si>
  <si>
    <t>D-2927</t>
  </si>
  <si>
    <t>D-2928</t>
  </si>
  <si>
    <t>D-2929</t>
  </si>
  <si>
    <t>D-2930</t>
  </si>
  <si>
    <t>D-2931</t>
  </si>
  <si>
    <t>D-2932</t>
  </si>
  <si>
    <t>D-2933</t>
  </si>
  <si>
    <t>D-2934</t>
  </si>
  <si>
    <t>7-Jul-22--8-Jul-22</t>
  </si>
  <si>
    <t>D-2935</t>
  </si>
  <si>
    <t>D-2936</t>
  </si>
  <si>
    <t>D-2937</t>
  </si>
  <si>
    <t>D-2938</t>
  </si>
  <si>
    <t>D-2939</t>
  </si>
  <si>
    <t>D-2940</t>
  </si>
  <si>
    <t>D-2941</t>
  </si>
  <si>
    <t>D-2942</t>
  </si>
  <si>
    <t>D-2943</t>
  </si>
  <si>
    <t>D-2944</t>
  </si>
  <si>
    <t>D-2945</t>
  </si>
  <si>
    <t>D-2946</t>
  </si>
  <si>
    <t>D-2947</t>
  </si>
  <si>
    <t>D-2948</t>
  </si>
  <si>
    <t>se sustituyo x la 2953</t>
  </si>
  <si>
    <t>D-2949</t>
  </si>
  <si>
    <t>D-2950</t>
  </si>
  <si>
    <t>D-2951</t>
  </si>
  <si>
    <t>D-2952</t>
  </si>
  <si>
    <t>D-2953</t>
  </si>
  <si>
    <t>D-2954</t>
  </si>
  <si>
    <t>D-2955</t>
  </si>
  <si>
    <t>D-2956</t>
  </si>
  <si>
    <t>D-2957</t>
  </si>
  <si>
    <t>D-2958</t>
  </si>
  <si>
    <t>D-2959</t>
  </si>
  <si>
    <t>D-2960</t>
  </si>
  <si>
    <t>D-2961</t>
  </si>
  <si>
    <t>D-2962</t>
  </si>
  <si>
    <t>D-2963</t>
  </si>
  <si>
    <t>D-2964</t>
  </si>
  <si>
    <t>D-2965</t>
  </si>
  <si>
    <t>D-2966</t>
  </si>
  <si>
    <t>D-2967</t>
  </si>
  <si>
    <t>D-2968</t>
  </si>
  <si>
    <t>D-2969</t>
  </si>
  <si>
    <t>D-2970</t>
  </si>
  <si>
    <t>D-2971</t>
  </si>
  <si>
    <t>D-2972</t>
  </si>
  <si>
    <t>D-2973</t>
  </si>
  <si>
    <t>D-2974</t>
  </si>
  <si>
    <t>D-2975</t>
  </si>
  <si>
    <t>D-2976</t>
  </si>
  <si>
    <t>D-2977</t>
  </si>
  <si>
    <t>D-2978</t>
  </si>
  <si>
    <t>D-2979</t>
  </si>
  <si>
    <t>D-2980</t>
  </si>
  <si>
    <t>D-2981</t>
  </si>
  <si>
    <t>D-2982</t>
  </si>
  <si>
    <t>D-2983</t>
  </si>
  <si>
    <t>D-2984</t>
  </si>
  <si>
    <t>D-2985</t>
  </si>
  <si>
    <t>D-2986</t>
  </si>
  <si>
    <t>D-2987</t>
  </si>
  <si>
    <t>D-2988</t>
  </si>
  <si>
    <t>D-2989</t>
  </si>
  <si>
    <t>D-2990</t>
  </si>
  <si>
    <t>D-2991</t>
  </si>
  <si>
    <t>D-2992</t>
  </si>
  <si>
    <t>D-2993</t>
  </si>
  <si>
    <r>
      <t xml:space="preserve">(904)ALBERTO CARRILLO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</si>
  <si>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2995</t>
  </si>
  <si>
    <t>D-2994</t>
  </si>
  <si>
    <t>D-2995</t>
  </si>
  <si>
    <t>(904)ALBERTO CARRILLO</t>
  </si>
  <si>
    <t>D-2996</t>
  </si>
  <si>
    <t>D-2997</t>
  </si>
  <si>
    <t>D-2998</t>
  </si>
  <si>
    <t>D-2999</t>
  </si>
  <si>
    <t>D-3000</t>
  </si>
  <si>
    <t>D-3001</t>
  </si>
  <si>
    <t>D-3002</t>
  </si>
  <si>
    <t>D-3003</t>
  </si>
  <si>
    <t>D-3004</t>
  </si>
  <si>
    <t>D-3005</t>
  </si>
  <si>
    <t>D-3006</t>
  </si>
  <si>
    <t>D-3007</t>
  </si>
  <si>
    <t>D-3008</t>
  </si>
  <si>
    <t>D-3009</t>
  </si>
  <si>
    <t>D-3010</t>
  </si>
  <si>
    <t>D-3011</t>
  </si>
  <si>
    <t>D-3012</t>
  </si>
  <si>
    <t>D-3013</t>
  </si>
  <si>
    <t>D-3014</t>
  </si>
  <si>
    <t>D-3015</t>
  </si>
  <si>
    <t>(905)EL LECHON DE YORKSHIRE</t>
  </si>
  <si>
    <t>D-3016</t>
  </si>
  <si>
    <t>D-3017</t>
  </si>
  <si>
    <t>D-3018</t>
  </si>
  <si>
    <t>D-3019</t>
  </si>
  <si>
    <t>D-3020</t>
  </si>
  <si>
    <t>D-3021</t>
  </si>
  <si>
    <t>D-3022</t>
  </si>
  <si>
    <t>D-3023</t>
  </si>
  <si>
    <t>D-3024</t>
  </si>
  <si>
    <t>D-3025</t>
  </si>
  <si>
    <t>D-3026</t>
  </si>
  <si>
    <t>D-3027</t>
  </si>
  <si>
    <t>D-3028</t>
  </si>
  <si>
    <t>D-3029</t>
  </si>
  <si>
    <t>D-3030</t>
  </si>
  <si>
    <t>D-3031</t>
  </si>
  <si>
    <t>D-3032</t>
  </si>
  <si>
    <t>D-3033</t>
  </si>
  <si>
    <t>D-3034</t>
  </si>
  <si>
    <t>D-3035</t>
  </si>
  <si>
    <t>D-3036</t>
  </si>
  <si>
    <t>D-3037</t>
  </si>
  <si>
    <t>D-3038</t>
  </si>
  <si>
    <t>D-3039</t>
  </si>
  <si>
    <t>D-3040</t>
  </si>
  <si>
    <t>D-3041</t>
  </si>
  <si>
    <t>D-3042</t>
  </si>
  <si>
    <t>D-3043</t>
  </si>
  <si>
    <t>D-3044</t>
  </si>
  <si>
    <t>D-3045</t>
  </si>
  <si>
    <t>D-3046</t>
  </si>
  <si>
    <t>D-3047</t>
  </si>
  <si>
    <r>
      <t xml:space="preserve">(790)POLLERIA TORRES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</si>
  <si>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D-3048</t>
  </si>
  <si>
    <t>D-3049</t>
  </si>
  <si>
    <t>D-3050</t>
  </si>
  <si>
    <t>D-3051</t>
  </si>
  <si>
    <t>D-3052</t>
  </si>
  <si>
    <t>D-3053</t>
  </si>
  <si>
    <t>D-3054</t>
  </si>
  <si>
    <t>D-3055</t>
  </si>
  <si>
    <t>D-3056</t>
  </si>
  <si>
    <t>D-3057</t>
  </si>
  <si>
    <t>D-3058</t>
  </si>
  <si>
    <t>D-3059</t>
  </si>
  <si>
    <t>D-3060</t>
  </si>
  <si>
    <t>D-3061</t>
  </si>
  <si>
    <t>D-3062</t>
  </si>
  <si>
    <t>D-3063</t>
  </si>
  <si>
    <t>D-3064</t>
  </si>
  <si>
    <t>D-3065</t>
  </si>
  <si>
    <t>D-3066</t>
  </si>
  <si>
    <t>D-3067</t>
  </si>
  <si>
    <t>D-3068</t>
  </si>
  <si>
    <t>D-3069</t>
  </si>
  <si>
    <t>D-3070</t>
  </si>
  <si>
    <t>D-3071</t>
  </si>
  <si>
    <t>D-3072</t>
  </si>
  <si>
    <t>D-3073</t>
  </si>
  <si>
    <t>D-3074</t>
  </si>
  <si>
    <t>D-3075</t>
  </si>
  <si>
    <t>D-3076</t>
  </si>
  <si>
    <t>D-3077</t>
  </si>
  <si>
    <t>D-3078</t>
  </si>
  <si>
    <t>D-3079</t>
  </si>
  <si>
    <t>D-3080</t>
  </si>
  <si>
    <t>D-3081</t>
  </si>
  <si>
    <t>D-3082</t>
  </si>
  <si>
    <t>D-3083</t>
  </si>
  <si>
    <t>D-3084</t>
  </si>
  <si>
    <t>D-3085</t>
  </si>
  <si>
    <t>D-3086</t>
  </si>
  <si>
    <t>D-3087</t>
  </si>
  <si>
    <t>D-3088</t>
  </si>
  <si>
    <t>D-3089</t>
  </si>
  <si>
    <t>D-3090</t>
  </si>
  <si>
    <t>D-3091</t>
  </si>
  <si>
    <t>D-3092</t>
  </si>
  <si>
    <t>D-3093</t>
  </si>
  <si>
    <t>D-3094</t>
  </si>
  <si>
    <t>D-3095</t>
  </si>
  <si>
    <t>D-3096</t>
  </si>
  <si>
    <t>D-3097</t>
  </si>
  <si>
    <t>D-3098</t>
  </si>
  <si>
    <t>D-3099</t>
  </si>
  <si>
    <r>
      <t xml:space="preserve">(651)NEALTICAN YOLANDA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</si>
  <si>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D-3100</t>
  </si>
  <si>
    <t>D-3101</t>
  </si>
  <si>
    <t>D-3102</t>
  </si>
  <si>
    <t>D-3103</t>
  </si>
  <si>
    <t>D-3104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</si>
  <si>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</si>
  <si>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3110</t>
  </si>
  <si>
    <t>D-3105</t>
  </si>
  <si>
    <t>D-3106</t>
  </si>
  <si>
    <t>D-3107</t>
  </si>
  <si>
    <t>D-3108</t>
  </si>
  <si>
    <t>D-3109</t>
  </si>
  <si>
    <t>D-3110</t>
  </si>
  <si>
    <t>D-3111</t>
  </si>
  <si>
    <t>D-3112</t>
  </si>
  <si>
    <t>D-3113</t>
  </si>
  <si>
    <t>D-3114</t>
  </si>
  <si>
    <t>D-3115</t>
  </si>
  <si>
    <t>D-3116</t>
  </si>
  <si>
    <t>D-3117</t>
  </si>
  <si>
    <t>D-3118</t>
  </si>
  <si>
    <t>D-3119</t>
  </si>
  <si>
    <t>D-3120</t>
  </si>
  <si>
    <t>D-3121</t>
  </si>
  <si>
    <t>D-3122</t>
  </si>
  <si>
    <t>D-3123</t>
  </si>
  <si>
    <t>D-3124</t>
  </si>
  <si>
    <t>D-3125</t>
  </si>
  <si>
    <t>D-3126</t>
  </si>
  <si>
    <t>D-3127</t>
  </si>
  <si>
    <t>D-3128</t>
  </si>
  <si>
    <t>D-3129</t>
  </si>
  <si>
    <t>D-3130</t>
  </si>
  <si>
    <t>D-3131</t>
  </si>
  <si>
    <t>D-3132</t>
  </si>
  <si>
    <t>D-3133</t>
  </si>
  <si>
    <t>8-Jul-22--9-Jul-22</t>
  </si>
  <si>
    <t>D-3134</t>
  </si>
  <si>
    <t>D-3135</t>
  </si>
  <si>
    <t>D-3136</t>
  </si>
  <si>
    <t>D-3137</t>
  </si>
  <si>
    <t>D-3138</t>
  </si>
  <si>
    <t>D-3139</t>
  </si>
  <si>
    <t>D-3140</t>
  </si>
  <si>
    <t>D-3141</t>
  </si>
  <si>
    <t>D-3142</t>
  </si>
  <si>
    <t>D-3143</t>
  </si>
  <si>
    <t>D-3144</t>
  </si>
  <si>
    <t>D-3145</t>
  </si>
  <si>
    <t>D-3146</t>
  </si>
  <si>
    <t>D-3147</t>
  </si>
  <si>
    <t>D-3148</t>
  </si>
  <si>
    <t>D-3149</t>
  </si>
  <si>
    <t>D-3150</t>
  </si>
  <si>
    <t>D-3151</t>
  </si>
  <si>
    <t>D-3152</t>
  </si>
  <si>
    <t>D-3153</t>
  </si>
  <si>
    <t>D-3154</t>
  </si>
  <si>
    <t>D-3155</t>
  </si>
  <si>
    <t>D-3156</t>
  </si>
  <si>
    <t>D-3157</t>
  </si>
  <si>
    <t>D-3158</t>
  </si>
  <si>
    <t>D-3159</t>
  </si>
  <si>
    <t>D-3160</t>
  </si>
  <si>
    <t>D-3161</t>
  </si>
  <si>
    <t>D-3162</t>
  </si>
  <si>
    <t>D-3163</t>
  </si>
  <si>
    <t>D-3164</t>
  </si>
  <si>
    <t>D-3165</t>
  </si>
  <si>
    <t>D-3166</t>
  </si>
  <si>
    <t>D-3167</t>
  </si>
  <si>
    <t>D-3168</t>
  </si>
  <si>
    <t>D-3169</t>
  </si>
  <si>
    <t>D-3170</t>
  </si>
  <si>
    <t>D-3171</t>
  </si>
  <si>
    <t>D-3172</t>
  </si>
  <si>
    <t>D-3173</t>
  </si>
  <si>
    <t>D-3174</t>
  </si>
  <si>
    <t>D-3175</t>
  </si>
  <si>
    <t>D-3176</t>
  </si>
  <si>
    <t>D-3177</t>
  </si>
  <si>
    <t>D-3178</t>
  </si>
  <si>
    <t>D-3179</t>
  </si>
  <si>
    <t>D-3180</t>
  </si>
  <si>
    <t>D-3181</t>
  </si>
  <si>
    <t>D-3182</t>
  </si>
  <si>
    <t>D-3183</t>
  </si>
  <si>
    <t>D-3184</t>
  </si>
  <si>
    <t>D-3185</t>
  </si>
  <si>
    <t>D-3186</t>
  </si>
  <si>
    <t>D-3187</t>
  </si>
  <si>
    <t>D-3188</t>
  </si>
  <si>
    <t>D-3189</t>
  </si>
  <si>
    <t>D-3190</t>
  </si>
  <si>
    <t>D-3191</t>
  </si>
  <si>
    <t>D-3192</t>
  </si>
  <si>
    <t>D-3193</t>
  </si>
  <si>
    <t>D-3194</t>
  </si>
  <si>
    <t>D-3195</t>
  </si>
  <si>
    <t>D-3196</t>
  </si>
  <si>
    <t>D-3197</t>
  </si>
  <si>
    <t>D-3198</t>
  </si>
  <si>
    <t>D-3199</t>
  </si>
  <si>
    <t>D-3200</t>
  </si>
  <si>
    <t>D-3201</t>
  </si>
  <si>
    <t>D-3202</t>
  </si>
  <si>
    <t>D-3203</t>
  </si>
  <si>
    <t>D-3204</t>
  </si>
  <si>
    <t>D-3205</t>
  </si>
  <si>
    <t>D-3206</t>
  </si>
  <si>
    <t>D-3207</t>
  </si>
  <si>
    <t>D-3208</t>
  </si>
  <si>
    <t>D-3209</t>
  </si>
  <si>
    <t>D-3210</t>
  </si>
  <si>
    <t>D-3211</t>
  </si>
  <si>
    <t>D-3212</t>
  </si>
  <si>
    <t>D-3213</t>
  </si>
  <si>
    <t>D-3214</t>
  </si>
  <si>
    <t>D-3215</t>
  </si>
  <si>
    <t>D-3216</t>
  </si>
  <si>
    <t>D-3217</t>
  </si>
  <si>
    <t>D-3218</t>
  </si>
  <si>
    <t>D-3219</t>
  </si>
  <si>
    <t>D-3220</t>
  </si>
  <si>
    <t>D-3221</t>
  </si>
  <si>
    <t>D-3222</t>
  </si>
  <si>
    <t>D-3223</t>
  </si>
  <si>
    <t>D-3224</t>
  </si>
  <si>
    <t>D-3225</t>
  </si>
  <si>
    <t>D-3226</t>
  </si>
  <si>
    <t>D-3227</t>
  </si>
  <si>
    <t>D-3228</t>
  </si>
  <si>
    <t>D-3229</t>
  </si>
  <si>
    <t>D-3230</t>
  </si>
  <si>
    <t>D-3231</t>
  </si>
  <si>
    <t>D-3232</t>
  </si>
  <si>
    <t>D-3233</t>
  </si>
  <si>
    <t>D-3234</t>
  </si>
  <si>
    <t>D-3235</t>
  </si>
  <si>
    <t>D-3236</t>
  </si>
  <si>
    <t>D-3237</t>
  </si>
  <si>
    <t>D-3238</t>
  </si>
  <si>
    <t>D-3239</t>
  </si>
  <si>
    <t>D-3240</t>
  </si>
  <si>
    <t>D-3241</t>
  </si>
  <si>
    <t>D-3242</t>
  </si>
  <si>
    <t>D-3243</t>
  </si>
  <si>
    <t>D-3244</t>
  </si>
  <si>
    <t>9-Jul-22--11-Jul-22</t>
  </si>
  <si>
    <t>D-3245</t>
  </si>
  <si>
    <t>D-3246</t>
  </si>
  <si>
    <t>D-3247</t>
  </si>
  <si>
    <t>D-3248</t>
  </si>
  <si>
    <t>D-3249</t>
  </si>
  <si>
    <t>D-3250</t>
  </si>
  <si>
    <t>D-3251</t>
  </si>
  <si>
    <t>D-3252</t>
  </si>
  <si>
    <t>9-Jul-22--10-Jul-22</t>
  </si>
  <si>
    <t>D-3253</t>
  </si>
  <si>
    <t>D-3254</t>
  </si>
  <si>
    <t>D-3255</t>
  </si>
  <si>
    <t>D-3256</t>
  </si>
  <si>
    <t>D-3257</t>
  </si>
  <si>
    <t>D-3258</t>
  </si>
  <si>
    <t>D-3259</t>
  </si>
  <si>
    <t>D-3260</t>
  </si>
  <si>
    <t>D-3261</t>
  </si>
  <si>
    <t>D-3262</t>
  </si>
  <si>
    <t>D-3263</t>
  </si>
  <si>
    <t>D-3264</t>
  </si>
  <si>
    <t>D-3265</t>
  </si>
  <si>
    <t>D-3266</t>
  </si>
  <si>
    <t>D-3267</t>
  </si>
  <si>
    <t>D-3268</t>
  </si>
  <si>
    <t>D-3269</t>
  </si>
  <si>
    <t>D-3270</t>
  </si>
  <si>
    <r>
      <t xml:space="preserve">(710)ERIK  </t>
    </r>
    <r>
      <rPr>
        <b/>
        <sz val="12"/>
        <color rgb="FFFF0000"/>
        <rFont val="Calibri"/>
        <family val="2"/>
        <scheme val="minor"/>
      </rPr>
      <t>CANCELADA</t>
    </r>
  </si>
  <si>
    <t>D-3271</t>
  </si>
  <si>
    <t>D-3272</t>
  </si>
  <si>
    <t>D-3273</t>
  </si>
  <si>
    <t>D-3274</t>
  </si>
  <si>
    <t>D-3275</t>
  </si>
  <si>
    <t>D-3276</t>
  </si>
  <si>
    <t>D-3277</t>
  </si>
  <si>
    <t>D-3278</t>
  </si>
  <si>
    <t>D-3279</t>
  </si>
  <si>
    <t>D-3280</t>
  </si>
  <si>
    <t>D-3281</t>
  </si>
  <si>
    <t>D-3282</t>
  </si>
  <si>
    <t>D-3283</t>
  </si>
  <si>
    <t>D-3284</t>
  </si>
  <si>
    <t>D-3285</t>
  </si>
  <si>
    <t>D-3286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</si>
  <si>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</si>
  <si>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D-3287</t>
  </si>
  <si>
    <t>D-3288</t>
  </si>
  <si>
    <t>D-3289</t>
  </si>
  <si>
    <t>D-3290</t>
  </si>
  <si>
    <t>D-3291</t>
  </si>
  <si>
    <t>D-3292</t>
  </si>
  <si>
    <t>D-3293</t>
  </si>
  <si>
    <t>D-3294</t>
  </si>
  <si>
    <t>D-3295</t>
  </si>
  <si>
    <t>D-3296</t>
  </si>
  <si>
    <t>D-3297</t>
  </si>
  <si>
    <t>D-3298</t>
  </si>
  <si>
    <t>D-3299</t>
  </si>
  <si>
    <t>D-3300</t>
  </si>
  <si>
    <t>D-3301</t>
  </si>
  <si>
    <t>D-3302</t>
  </si>
  <si>
    <t>D-3303</t>
  </si>
  <si>
    <t>D-3304</t>
  </si>
  <si>
    <t>D-3305</t>
  </si>
  <si>
    <t>D-3306</t>
  </si>
  <si>
    <t>D-3307</t>
  </si>
  <si>
    <t>D-3308</t>
  </si>
  <si>
    <t>D-3309</t>
  </si>
  <si>
    <t>D-3310</t>
  </si>
  <si>
    <t>D-3311</t>
  </si>
  <si>
    <t>D-3312</t>
  </si>
  <si>
    <t>D-3313</t>
  </si>
  <si>
    <t>D-3314</t>
  </si>
  <si>
    <t>D-3315</t>
  </si>
  <si>
    <t>D-3316</t>
  </si>
  <si>
    <t>D-3317</t>
  </si>
  <si>
    <t>D-3318</t>
  </si>
  <si>
    <t>D-3319</t>
  </si>
  <si>
    <t>D-3320</t>
  </si>
  <si>
    <t>D-3321</t>
  </si>
  <si>
    <t>D-3322</t>
  </si>
  <si>
    <t>D-3323</t>
  </si>
  <si>
    <t>D-3324</t>
  </si>
  <si>
    <t>D-3325</t>
  </si>
  <si>
    <t>D-3326</t>
  </si>
  <si>
    <t>D-3327</t>
  </si>
  <si>
    <t>D-3328</t>
  </si>
  <si>
    <t>D-3329</t>
  </si>
  <si>
    <t>D-3330</t>
  </si>
  <si>
    <t>D-3331</t>
  </si>
  <si>
    <t>D-3332</t>
  </si>
  <si>
    <t>D-3333</t>
  </si>
  <si>
    <t>D-3334</t>
  </si>
  <si>
    <t>D-3335</t>
  </si>
  <si>
    <t>D-3336</t>
  </si>
  <si>
    <t>D-3337</t>
  </si>
  <si>
    <t>D-3338</t>
  </si>
  <si>
    <t>D-3339</t>
  </si>
  <si>
    <t>D-3340</t>
  </si>
  <si>
    <t>D-3341</t>
  </si>
  <si>
    <t>se sustituyo x la 3348</t>
  </si>
  <si>
    <t>D-3342</t>
  </si>
  <si>
    <t>D-3343</t>
  </si>
  <si>
    <t>D-3344</t>
  </si>
  <si>
    <t>D-3345</t>
  </si>
  <si>
    <t>D-3346</t>
  </si>
  <si>
    <t>D-3347</t>
  </si>
  <si>
    <t>D-3348</t>
  </si>
  <si>
    <t>D-3349</t>
  </si>
  <si>
    <t>D-3350</t>
  </si>
  <si>
    <t>D-3351</t>
  </si>
  <si>
    <t>D-3352</t>
  </si>
  <si>
    <t>D-3353</t>
  </si>
  <si>
    <t>D-3354</t>
  </si>
  <si>
    <t>D-3355</t>
  </si>
  <si>
    <t>D-3356</t>
  </si>
  <si>
    <t>D-3357</t>
  </si>
  <si>
    <t>D-3358</t>
  </si>
  <si>
    <t>D-3359</t>
  </si>
  <si>
    <t>D-3360</t>
  </si>
  <si>
    <t>D-3361</t>
  </si>
  <si>
    <t>D-3362</t>
  </si>
  <si>
    <t>D-3363</t>
  </si>
  <si>
    <t>D-3364</t>
  </si>
  <si>
    <t>D-3365</t>
  </si>
  <si>
    <t>D-3366</t>
  </si>
  <si>
    <t>D-3367</t>
  </si>
  <si>
    <t>D-3368</t>
  </si>
  <si>
    <t>10-Jul-22--11-Jul-22</t>
  </si>
  <si>
    <t>D-3369</t>
  </si>
  <si>
    <t>D-3370</t>
  </si>
  <si>
    <t>D-3371</t>
  </si>
  <si>
    <t>D-3372</t>
  </si>
  <si>
    <t>D-3373</t>
  </si>
  <si>
    <t>12-Jul-22--13-Jul-22</t>
  </si>
  <si>
    <t>D-3374</t>
  </si>
  <si>
    <t>D-3375</t>
  </si>
  <si>
    <t>D-3376</t>
  </si>
  <si>
    <t>D-3377</t>
  </si>
  <si>
    <t>D-3378</t>
  </si>
  <si>
    <t>D-3379</t>
  </si>
  <si>
    <t>D-3380</t>
  </si>
  <si>
    <t>D-3381</t>
  </si>
  <si>
    <t>D-3382</t>
  </si>
  <si>
    <t>D-3383</t>
  </si>
  <si>
    <t>11-Jul-22--12-Jul-22--13-Jul-22</t>
  </si>
  <si>
    <t>D-3384</t>
  </si>
  <si>
    <t>D-3385</t>
  </si>
  <si>
    <t>D-3386</t>
  </si>
  <si>
    <t>D-3387</t>
  </si>
  <si>
    <t>D-3388</t>
  </si>
  <si>
    <r>
      <t xml:space="preserve">(373)MARIA LUISA TELLEZ LOMA VERDE   </t>
    </r>
    <r>
      <rPr>
        <b/>
        <sz val="12"/>
        <color rgb="FFFF0000"/>
        <rFont val="Calibri"/>
        <family val="2"/>
        <scheme val="minor"/>
      </rPr>
      <t>CANCELADA</t>
    </r>
  </si>
  <si>
    <t>D-3389</t>
  </si>
  <si>
    <t>D-3390</t>
  </si>
  <si>
    <t>D-3391</t>
  </si>
  <si>
    <t>D-3392</t>
  </si>
  <si>
    <t>D-3393</t>
  </si>
  <si>
    <t>D-3394</t>
  </si>
  <si>
    <t>D-3395</t>
  </si>
  <si>
    <t>D-3396</t>
  </si>
  <si>
    <t>D-3397</t>
  </si>
  <si>
    <t>D-3398</t>
  </si>
  <si>
    <t>D-3399</t>
  </si>
  <si>
    <t>D-3400</t>
  </si>
  <si>
    <t>D-3401</t>
  </si>
  <si>
    <t>D-3402</t>
  </si>
  <si>
    <t>D-3403</t>
  </si>
  <si>
    <t>D-3404</t>
  </si>
  <si>
    <t>D-3405</t>
  </si>
  <si>
    <t>D-3406</t>
  </si>
  <si>
    <t>D-3407</t>
  </si>
  <si>
    <t>D-3408</t>
  </si>
  <si>
    <t>D-3409</t>
  </si>
  <si>
    <t>D-3410</t>
  </si>
  <si>
    <t>D-3411</t>
  </si>
  <si>
    <t>D-3412</t>
  </si>
  <si>
    <t>D-3413</t>
  </si>
  <si>
    <t>D-3414</t>
  </si>
  <si>
    <t>D-3415</t>
  </si>
  <si>
    <t>D-3416</t>
  </si>
  <si>
    <t>D-3417</t>
  </si>
  <si>
    <t>D-3418</t>
  </si>
  <si>
    <t>D-3419</t>
  </si>
  <si>
    <t>D-3420</t>
  </si>
  <si>
    <t>D-3421</t>
  </si>
  <si>
    <t>D-3422</t>
  </si>
  <si>
    <t>D-3423</t>
  </si>
  <si>
    <t>D-3424</t>
  </si>
  <si>
    <t>D-3425</t>
  </si>
  <si>
    <t>D-3426</t>
  </si>
  <si>
    <t>D-3427</t>
  </si>
  <si>
    <t>D-3428</t>
  </si>
  <si>
    <t>D-3429</t>
  </si>
  <si>
    <t>D-3430</t>
  </si>
  <si>
    <r>
      <t xml:space="preserve">(47)NOE COYOTL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</si>
  <si>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D-3431</t>
  </si>
  <si>
    <t>D-3432</t>
  </si>
  <si>
    <t>D-3433</t>
  </si>
  <si>
    <t>D-3434</t>
  </si>
  <si>
    <t>D-3435</t>
  </si>
  <si>
    <t>D-3436</t>
  </si>
  <si>
    <t>D-3437</t>
  </si>
  <si>
    <t>D-3438</t>
  </si>
  <si>
    <t>D-3439</t>
  </si>
  <si>
    <t>D-3440</t>
  </si>
  <si>
    <t>D-3441</t>
  </si>
  <si>
    <t>D-3442</t>
  </si>
  <si>
    <t>D-3443</t>
  </si>
  <si>
    <t>D-3444</t>
  </si>
  <si>
    <t>D-3445</t>
  </si>
  <si>
    <t>D-3446</t>
  </si>
  <si>
    <t>D-3447</t>
  </si>
  <si>
    <t>D-3448</t>
  </si>
  <si>
    <t>D-3449</t>
  </si>
  <si>
    <t>D-3450</t>
  </si>
  <si>
    <t>D-3451</t>
  </si>
  <si>
    <t>D-3452</t>
  </si>
  <si>
    <t>D-3453</t>
  </si>
  <si>
    <t>D-3454</t>
  </si>
  <si>
    <t>D-3455</t>
  </si>
  <si>
    <t>D-3456</t>
  </si>
  <si>
    <t>18-Jul-22--22-Jul-22</t>
  </si>
  <si>
    <t>D-3457</t>
  </si>
  <si>
    <t>D-3458</t>
  </si>
  <si>
    <t>se sustituyo x la 3459</t>
  </si>
  <si>
    <t>D-3459</t>
  </si>
  <si>
    <t>D-3460</t>
  </si>
  <si>
    <t>D-3461</t>
  </si>
  <si>
    <t>D-3462</t>
  </si>
  <si>
    <t>D-3463</t>
  </si>
  <si>
    <t>D-3464</t>
  </si>
  <si>
    <t>22-Jul-22--29-Jul-22</t>
  </si>
  <si>
    <t>D-3465</t>
  </si>
  <si>
    <t>D-3466</t>
  </si>
  <si>
    <t>D-3467</t>
  </si>
  <si>
    <t>D-3468</t>
  </si>
  <si>
    <t>D-3469</t>
  </si>
  <si>
    <t>D-3470</t>
  </si>
  <si>
    <t>D-3471</t>
  </si>
  <si>
    <t>D-3472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</si>
  <si>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</si>
  <si>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D-3473</t>
  </si>
  <si>
    <t>D-3474</t>
  </si>
  <si>
    <t>D-3475</t>
  </si>
  <si>
    <t>D-3476</t>
  </si>
  <si>
    <t>D-3477</t>
  </si>
  <si>
    <t>D-3478</t>
  </si>
  <si>
    <t>D-3479</t>
  </si>
  <si>
    <t>D-3480</t>
  </si>
  <si>
    <t>D-3481</t>
  </si>
  <si>
    <t>D-3482</t>
  </si>
  <si>
    <t>D-3483</t>
  </si>
  <si>
    <t>D-3484</t>
  </si>
  <si>
    <t>D-3485</t>
  </si>
  <si>
    <t>D-3486</t>
  </si>
  <si>
    <t>D-3487</t>
  </si>
  <si>
    <t>D-3488</t>
  </si>
  <si>
    <t>D-3489</t>
  </si>
  <si>
    <t>D-3490</t>
  </si>
  <si>
    <t>D-3491</t>
  </si>
  <si>
    <t>D-3492</t>
  </si>
  <si>
    <t>D-3493</t>
  </si>
  <si>
    <t>D-3494</t>
  </si>
  <si>
    <t>D-3495</t>
  </si>
  <si>
    <t>D-3496</t>
  </si>
  <si>
    <t>(876)JOSE ANTONIO</t>
  </si>
  <si>
    <t>D-3497</t>
  </si>
  <si>
    <t>D-3498</t>
  </si>
  <si>
    <t>D-3499</t>
  </si>
  <si>
    <t>D-3500</t>
  </si>
  <si>
    <t>D-3501</t>
  </si>
  <si>
    <t>D-3502</t>
  </si>
  <si>
    <t>D-3503</t>
  </si>
  <si>
    <t>D-3504</t>
  </si>
  <si>
    <t>D-3505</t>
  </si>
  <si>
    <t>11-Jul-22--13-Jul-22</t>
  </si>
  <si>
    <t>D-3506</t>
  </si>
  <si>
    <t>D-3507</t>
  </si>
  <si>
    <t>D-3508</t>
  </si>
  <si>
    <t>D-3509</t>
  </si>
  <si>
    <t>D-3510</t>
  </si>
  <si>
    <t>D-3511</t>
  </si>
  <si>
    <t>D-3512</t>
  </si>
  <si>
    <t>D-3513</t>
  </si>
  <si>
    <t xml:space="preserve">11-Jul-22--12-Jul-22  </t>
  </si>
  <si>
    <t>D-3514</t>
  </si>
  <si>
    <t>D-3515</t>
  </si>
  <si>
    <t>D-3516</t>
  </si>
  <si>
    <t>D-3517</t>
  </si>
  <si>
    <t>D-3518</t>
  </si>
  <si>
    <t>D-3519</t>
  </si>
  <si>
    <t>D-3520</t>
  </si>
  <si>
    <t>D-3521</t>
  </si>
  <si>
    <t>D-3522</t>
  </si>
  <si>
    <t>D-3523</t>
  </si>
  <si>
    <t>D-3524</t>
  </si>
  <si>
    <t>D-3525</t>
  </si>
  <si>
    <t>D-3526</t>
  </si>
  <si>
    <t>D-3527</t>
  </si>
  <si>
    <t>D-3528</t>
  </si>
  <si>
    <t>D-3529</t>
  </si>
  <si>
    <t>D-3530</t>
  </si>
  <si>
    <t>10-Jul-22--12-Jul-22-----</t>
  </si>
  <si>
    <t>D-3531</t>
  </si>
  <si>
    <t>D-3532</t>
  </si>
  <si>
    <t>D-3533</t>
  </si>
  <si>
    <t>D-3534</t>
  </si>
  <si>
    <t>D-3535</t>
  </si>
  <si>
    <t>D-3536</t>
  </si>
  <si>
    <t>D-3537</t>
  </si>
  <si>
    <t>D-3538</t>
  </si>
  <si>
    <t>D-3539</t>
  </si>
  <si>
    <t>D-3540</t>
  </si>
  <si>
    <t>D-3541</t>
  </si>
  <si>
    <t>D-3542</t>
  </si>
  <si>
    <t>D-3543</t>
  </si>
  <si>
    <t>D-3544</t>
  </si>
  <si>
    <t>D-3545</t>
  </si>
  <si>
    <t>D-3546</t>
  </si>
  <si>
    <t>D-3547</t>
  </si>
  <si>
    <t>D-3548</t>
  </si>
  <si>
    <t>D-3549</t>
  </si>
  <si>
    <t>D-3550</t>
  </si>
  <si>
    <t>D-3551</t>
  </si>
  <si>
    <t>D-3552</t>
  </si>
  <si>
    <t>D-3553</t>
  </si>
  <si>
    <t>D-3554</t>
  </si>
  <si>
    <t>D-3555</t>
  </si>
  <si>
    <t>D-3556</t>
  </si>
  <si>
    <t>D-3557</t>
  </si>
  <si>
    <t>13-Jul-22--14-Jul-22</t>
  </si>
  <si>
    <t>D-3558</t>
  </si>
  <si>
    <t>D-3559</t>
  </si>
  <si>
    <t>D-3560</t>
  </si>
  <si>
    <t>D-3561</t>
  </si>
  <si>
    <t>D-3562</t>
  </si>
  <si>
    <t>D-3563</t>
  </si>
  <si>
    <t>D-3564</t>
  </si>
  <si>
    <t>D-3565</t>
  </si>
  <si>
    <t>D-3566</t>
  </si>
  <si>
    <t>D-3567</t>
  </si>
  <si>
    <t>D-3568</t>
  </si>
  <si>
    <t>D-3569</t>
  </si>
  <si>
    <t>D-3570</t>
  </si>
  <si>
    <t>D-3571</t>
  </si>
  <si>
    <t>D-3572</t>
  </si>
  <si>
    <t>D-3573</t>
  </si>
  <si>
    <t>D-3574</t>
  </si>
  <si>
    <t>D-3575</t>
  </si>
  <si>
    <t>D-3576</t>
  </si>
  <si>
    <t>D-3577</t>
  </si>
  <si>
    <t>D-3578</t>
  </si>
  <si>
    <t>D-3579</t>
  </si>
  <si>
    <t>D-3580</t>
  </si>
  <si>
    <t>D-3581</t>
  </si>
  <si>
    <t>D-3582</t>
  </si>
  <si>
    <t>D-3583</t>
  </si>
  <si>
    <t>D-3584</t>
  </si>
  <si>
    <t>D-3585</t>
  </si>
  <si>
    <t>D-3586</t>
  </si>
  <si>
    <t>D-3587</t>
  </si>
  <si>
    <t>D-3588</t>
  </si>
  <si>
    <t>D-3589</t>
  </si>
  <si>
    <t>D-3590</t>
  </si>
  <si>
    <t>D-3591</t>
  </si>
  <si>
    <t>D-3592</t>
  </si>
  <si>
    <t>D-3593</t>
  </si>
  <si>
    <t>D-3594</t>
  </si>
  <si>
    <t>D-3595</t>
  </si>
  <si>
    <t>D-3596</t>
  </si>
  <si>
    <t>D-3597</t>
  </si>
  <si>
    <t>D-3598</t>
  </si>
  <si>
    <t>D-3599</t>
  </si>
  <si>
    <t>D-3600</t>
  </si>
  <si>
    <t>D-3601</t>
  </si>
  <si>
    <t>D-3602</t>
  </si>
  <si>
    <t>D-3603</t>
  </si>
  <si>
    <t>D-3604</t>
  </si>
  <si>
    <t>D-3605</t>
  </si>
  <si>
    <t>D-3606</t>
  </si>
  <si>
    <t>D-3607</t>
  </si>
  <si>
    <t>D-3608</t>
  </si>
  <si>
    <t>D-3609</t>
  </si>
  <si>
    <t>D-3610</t>
  </si>
  <si>
    <t>D-3611</t>
  </si>
  <si>
    <t>D-3612</t>
  </si>
  <si>
    <t>D-3613</t>
  </si>
  <si>
    <t>D-3614</t>
  </si>
  <si>
    <t>D-3615</t>
  </si>
  <si>
    <t>D-3616</t>
  </si>
  <si>
    <t>D-3617</t>
  </si>
  <si>
    <t>D-3618</t>
  </si>
  <si>
    <t>D-3619</t>
  </si>
  <si>
    <t>D-3620</t>
  </si>
  <si>
    <t>D-3621</t>
  </si>
  <si>
    <t>D-3622</t>
  </si>
  <si>
    <t>D-3623</t>
  </si>
  <si>
    <t>D-3624</t>
  </si>
  <si>
    <t>D-3625</t>
  </si>
  <si>
    <t>D-3626</t>
  </si>
  <si>
    <t>D-3627</t>
  </si>
  <si>
    <t>D-3628</t>
  </si>
  <si>
    <t>D-3629</t>
  </si>
  <si>
    <t>D-3630</t>
  </si>
  <si>
    <t>D-3631</t>
  </si>
  <si>
    <t>D-3632</t>
  </si>
  <si>
    <t>D-3633</t>
  </si>
  <si>
    <t>D-3634</t>
  </si>
  <si>
    <t>D-3635</t>
  </si>
  <si>
    <t>D-3636</t>
  </si>
  <si>
    <t>D-3637</t>
  </si>
  <si>
    <t>D-3638</t>
  </si>
  <si>
    <t>D-3639</t>
  </si>
  <si>
    <t>D-3640</t>
  </si>
  <si>
    <t>D-3641</t>
  </si>
  <si>
    <t>D-3642</t>
  </si>
  <si>
    <t>D-3643</t>
  </si>
  <si>
    <t>D-3644</t>
  </si>
  <si>
    <t>D-3645</t>
  </si>
  <si>
    <t>D-3646</t>
  </si>
  <si>
    <t>D-3647</t>
  </si>
  <si>
    <t>D-3648</t>
  </si>
  <si>
    <t>D-3649</t>
  </si>
  <si>
    <t>D-3650</t>
  </si>
  <si>
    <t>D-3651</t>
  </si>
  <si>
    <t>D-3652</t>
  </si>
  <si>
    <t>D-3653</t>
  </si>
  <si>
    <t>D-3654</t>
  </si>
  <si>
    <t>D-3655</t>
  </si>
  <si>
    <t>D-3656</t>
  </si>
  <si>
    <t>D-3657</t>
  </si>
  <si>
    <t>D-3658</t>
  </si>
  <si>
    <t>D-3659</t>
  </si>
  <si>
    <t>D-3660</t>
  </si>
  <si>
    <t>D-3661</t>
  </si>
  <si>
    <t>D-3662</t>
  </si>
  <si>
    <t>D-3663</t>
  </si>
  <si>
    <t>D-3664</t>
  </si>
  <si>
    <t>D-3665</t>
  </si>
  <si>
    <t>D-3666</t>
  </si>
  <si>
    <t>D-3667</t>
  </si>
  <si>
    <t>D-3668</t>
  </si>
  <si>
    <t>D-3669</t>
  </si>
  <si>
    <t>D-3670</t>
  </si>
  <si>
    <t>D-3671</t>
  </si>
  <si>
    <t>D-3672</t>
  </si>
  <si>
    <t>D-3673</t>
  </si>
  <si>
    <t>D-3674</t>
  </si>
  <si>
    <t>D-3675</t>
  </si>
  <si>
    <t>D-3676</t>
  </si>
  <si>
    <t>D-3677</t>
  </si>
  <si>
    <t>D-3678</t>
  </si>
  <si>
    <t>D-3679</t>
  </si>
  <si>
    <t>D-3680</t>
  </si>
  <si>
    <t>D-3681</t>
  </si>
  <si>
    <t>D-3682</t>
  </si>
  <si>
    <t>D-3683</t>
  </si>
  <si>
    <t>D-3684</t>
  </si>
  <si>
    <t>D-3685</t>
  </si>
  <si>
    <t>D-3686</t>
  </si>
  <si>
    <t>D-3687</t>
  </si>
  <si>
    <t>D-3688</t>
  </si>
  <si>
    <t>D-3689</t>
  </si>
  <si>
    <t>14-Jul-22--15-Jul-22</t>
  </si>
  <si>
    <t>D-3690</t>
  </si>
  <si>
    <t>D-3691</t>
  </si>
  <si>
    <t>D-3692</t>
  </si>
  <si>
    <t>D-3693</t>
  </si>
  <si>
    <t>D-3694</t>
  </si>
  <si>
    <t>D-3695</t>
  </si>
  <si>
    <r>
      <t xml:space="preserve">(748)HECTOR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</si>
  <si>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3696</t>
  </si>
  <si>
    <t>D-3696</t>
  </si>
  <si>
    <t>D-3697</t>
  </si>
  <si>
    <t>D-3698</t>
  </si>
  <si>
    <t>D-3699</t>
  </si>
  <si>
    <t>D-3700</t>
  </si>
  <si>
    <t>D-3701</t>
  </si>
  <si>
    <t>D-3702</t>
  </si>
  <si>
    <t>D-3703</t>
  </si>
  <si>
    <t>D-3704</t>
  </si>
  <si>
    <t>D-3705</t>
  </si>
  <si>
    <t>D-3706</t>
  </si>
  <si>
    <t>D-3707</t>
  </si>
  <si>
    <t>D-3708</t>
  </si>
  <si>
    <t>D-3709</t>
  </si>
  <si>
    <t>D-3710</t>
  </si>
  <si>
    <t>D-3711</t>
  </si>
  <si>
    <t>D-3712</t>
  </si>
  <si>
    <t>D-3713</t>
  </si>
  <si>
    <t>D-3714</t>
  </si>
  <si>
    <t>D-3715</t>
  </si>
  <si>
    <t>D-3716</t>
  </si>
  <si>
    <t>D-3717</t>
  </si>
  <si>
    <t>D-3718</t>
  </si>
  <si>
    <t>D-3719</t>
  </si>
  <si>
    <t>D-3720</t>
  </si>
  <si>
    <t>D-3721</t>
  </si>
  <si>
    <t>D-3722</t>
  </si>
  <si>
    <t>D-3723</t>
  </si>
  <si>
    <t>D-3724</t>
  </si>
  <si>
    <t>D-3725</t>
  </si>
  <si>
    <t>D-3726</t>
  </si>
  <si>
    <t>D-3727</t>
  </si>
  <si>
    <t>D-3728</t>
  </si>
  <si>
    <t>D-3729</t>
  </si>
  <si>
    <t>D-3730</t>
  </si>
  <si>
    <t>D-3731</t>
  </si>
  <si>
    <t>D-3732</t>
  </si>
  <si>
    <t>D-3733</t>
  </si>
  <si>
    <t>D-3734</t>
  </si>
  <si>
    <t>D-3735</t>
  </si>
  <si>
    <t>D-3736</t>
  </si>
  <si>
    <t>D-3737</t>
  </si>
  <si>
    <t>D-3738</t>
  </si>
  <si>
    <t>D-3739</t>
  </si>
  <si>
    <t>D-3740</t>
  </si>
  <si>
    <t>D-3741</t>
  </si>
  <si>
    <t>D-3742</t>
  </si>
  <si>
    <t>D-3743</t>
  </si>
  <si>
    <t>D-3744</t>
  </si>
  <si>
    <t>D-3745</t>
  </si>
  <si>
    <t>D-3746</t>
  </si>
  <si>
    <t>D-3747</t>
  </si>
  <si>
    <t>D-3748</t>
  </si>
  <si>
    <t>D-3749</t>
  </si>
  <si>
    <t>D-3750</t>
  </si>
  <si>
    <t>D-3751</t>
  </si>
  <si>
    <t>D-3752</t>
  </si>
  <si>
    <t>D-3753</t>
  </si>
  <si>
    <t>D-3754</t>
  </si>
  <si>
    <t>D-3755</t>
  </si>
  <si>
    <t>D-3756</t>
  </si>
  <si>
    <t>D-3757</t>
  </si>
  <si>
    <t>D-3758</t>
  </si>
  <si>
    <t>D-3759</t>
  </si>
  <si>
    <t>D-3760</t>
  </si>
  <si>
    <t>D-3761</t>
  </si>
  <si>
    <t>D-3762</t>
  </si>
  <si>
    <t>D-3763</t>
  </si>
  <si>
    <t>D-3764</t>
  </si>
  <si>
    <t>D-3765</t>
  </si>
  <si>
    <t>D-3766</t>
  </si>
  <si>
    <t>D-3767</t>
  </si>
  <si>
    <t>D-3768</t>
  </si>
  <si>
    <t>D-3769</t>
  </si>
  <si>
    <t>D-3770</t>
  </si>
  <si>
    <t>D-3771</t>
  </si>
  <si>
    <t>D-3772</t>
  </si>
  <si>
    <t>D-3773</t>
  </si>
  <si>
    <t>D-3774</t>
  </si>
  <si>
    <t>D-3775</t>
  </si>
  <si>
    <t>D-3776</t>
  </si>
  <si>
    <t>D-3777</t>
  </si>
  <si>
    <t>D-3778</t>
  </si>
  <si>
    <t>D-3779</t>
  </si>
  <si>
    <t>D-3780</t>
  </si>
  <si>
    <t>D-3781</t>
  </si>
  <si>
    <t>D-3782</t>
  </si>
  <si>
    <t>D-3783</t>
  </si>
  <si>
    <t>D-3784</t>
  </si>
  <si>
    <t>D-3785</t>
  </si>
  <si>
    <t>D-3786</t>
  </si>
  <si>
    <t>D-3787</t>
  </si>
  <si>
    <t>D-3788</t>
  </si>
  <si>
    <t>D-3789</t>
  </si>
  <si>
    <t>D-3790</t>
  </si>
  <si>
    <t>D-3791</t>
  </si>
  <si>
    <t>D-3792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</si>
  <si>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</si>
  <si>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3872</t>
  </si>
  <si>
    <t>D-3793</t>
  </si>
  <si>
    <t>D-3794</t>
  </si>
  <si>
    <t>D-3795</t>
  </si>
  <si>
    <t>D-3796</t>
  </si>
  <si>
    <t>D-3797</t>
  </si>
  <si>
    <t>D-3798</t>
  </si>
  <si>
    <t>D-3799</t>
  </si>
  <si>
    <t>D-3800</t>
  </si>
  <si>
    <t>D-3801</t>
  </si>
  <si>
    <t>D-3802</t>
  </si>
  <si>
    <t>D-3803</t>
  </si>
  <si>
    <t>D-3804</t>
  </si>
  <si>
    <t>D-3805</t>
  </si>
  <si>
    <t>D-3806</t>
  </si>
  <si>
    <t>D-3807</t>
  </si>
  <si>
    <t>D-3808</t>
  </si>
  <si>
    <t>D-3809</t>
  </si>
  <si>
    <t>D-3810</t>
  </si>
  <si>
    <t>D-3811</t>
  </si>
  <si>
    <t>D-3812</t>
  </si>
  <si>
    <t>D-3813</t>
  </si>
  <si>
    <t>D-3814</t>
  </si>
  <si>
    <t>D-3815</t>
  </si>
  <si>
    <t>D-3816</t>
  </si>
  <si>
    <t>D-3817</t>
  </si>
  <si>
    <t>D-3818</t>
  </si>
  <si>
    <t>D-3819</t>
  </si>
  <si>
    <t>D-3820</t>
  </si>
  <si>
    <t>D-3821</t>
  </si>
  <si>
    <t>D-3822</t>
  </si>
  <si>
    <t>se sustituyo x la 3833</t>
  </si>
  <si>
    <t>D-3823</t>
  </si>
  <si>
    <t>D-3824</t>
  </si>
  <si>
    <t>D-3825</t>
  </si>
  <si>
    <t>D-3826</t>
  </si>
  <si>
    <t>D-3827</t>
  </si>
  <si>
    <t>D-3828</t>
  </si>
  <si>
    <t>D-3829</t>
  </si>
  <si>
    <t>D-3830</t>
  </si>
  <si>
    <t>D-3831</t>
  </si>
  <si>
    <t>D-3832</t>
  </si>
  <si>
    <t>D-3833</t>
  </si>
  <si>
    <t>D-3834</t>
  </si>
  <si>
    <t>D-3835</t>
  </si>
  <si>
    <t>D-3836</t>
  </si>
  <si>
    <t>D-3837</t>
  </si>
  <si>
    <t>D-3838</t>
  </si>
  <si>
    <t>D-3839</t>
  </si>
  <si>
    <t>D-3840</t>
  </si>
  <si>
    <t>D-3841</t>
  </si>
  <si>
    <t>D-3842</t>
  </si>
  <si>
    <t>D-3843</t>
  </si>
  <si>
    <t>D-3844</t>
  </si>
  <si>
    <t>D-3845</t>
  </si>
  <si>
    <t>D-3846</t>
  </si>
  <si>
    <t>D-3847</t>
  </si>
  <si>
    <t>D-3848</t>
  </si>
  <si>
    <t>13-Jul-22--28-Jul-22</t>
  </si>
  <si>
    <t>D-3849</t>
  </si>
  <si>
    <t>D-3850</t>
  </si>
  <si>
    <t>D-3851</t>
  </si>
  <si>
    <t>D-3852</t>
  </si>
  <si>
    <t>D-3853</t>
  </si>
  <si>
    <t>D-3854</t>
  </si>
  <si>
    <t>D-3855</t>
  </si>
  <si>
    <t>D-3856</t>
  </si>
  <si>
    <t>D-3857</t>
  </si>
  <si>
    <t>D-3858</t>
  </si>
  <si>
    <t>D-3859</t>
  </si>
  <si>
    <t>D-3860</t>
  </si>
  <si>
    <t>D-3861</t>
  </si>
  <si>
    <t>D-3862</t>
  </si>
  <si>
    <t>D-3863</t>
  </si>
  <si>
    <t>D-3864</t>
  </si>
  <si>
    <t>D-3865</t>
  </si>
  <si>
    <t>D-3866</t>
  </si>
  <si>
    <t>D-3867</t>
  </si>
  <si>
    <t>D-3868</t>
  </si>
  <si>
    <t>D-3869</t>
  </si>
  <si>
    <t>D-3870</t>
  </si>
  <si>
    <t>D-3871</t>
  </si>
  <si>
    <t>D-3872</t>
  </si>
  <si>
    <t>D-3873</t>
  </si>
  <si>
    <t>D-3874</t>
  </si>
  <si>
    <t>D-3875</t>
  </si>
  <si>
    <t>D-3876</t>
  </si>
  <si>
    <t>D-3877</t>
  </si>
  <si>
    <t>D-3878</t>
  </si>
  <si>
    <t>D-3879</t>
  </si>
  <si>
    <t>D-3880</t>
  </si>
  <si>
    <t>D-3881</t>
  </si>
  <si>
    <t>D-3882</t>
  </si>
  <si>
    <t>D-3883</t>
  </si>
  <si>
    <t>D-3884</t>
  </si>
  <si>
    <t>D-3885</t>
  </si>
  <si>
    <t>D-3886</t>
  </si>
  <si>
    <t>D-3887</t>
  </si>
  <si>
    <t>D-3888</t>
  </si>
  <si>
    <t>D-3889</t>
  </si>
  <si>
    <t>D-3890</t>
  </si>
  <si>
    <t>D-3891</t>
  </si>
  <si>
    <t>D-3892</t>
  </si>
  <si>
    <t>D-3893</t>
  </si>
  <si>
    <t>D-3894</t>
  </si>
  <si>
    <t>D-3895</t>
  </si>
  <si>
    <t>D-3896</t>
  </si>
  <si>
    <t>D-3897</t>
  </si>
  <si>
    <t>D-3898</t>
  </si>
  <si>
    <t>D-3899</t>
  </si>
  <si>
    <t>(459)MIGUEL HERRERA</t>
  </si>
  <si>
    <t>D-3900</t>
  </si>
  <si>
    <t>D-3901</t>
  </si>
  <si>
    <t>D-3902</t>
  </si>
  <si>
    <t>D-3903</t>
  </si>
  <si>
    <t>D-3904</t>
  </si>
  <si>
    <t>D-3905</t>
  </si>
  <si>
    <t>D-3906</t>
  </si>
  <si>
    <t>D-3907</t>
  </si>
  <si>
    <t>D-3908</t>
  </si>
  <si>
    <t>D-3909</t>
  </si>
  <si>
    <t>D-3910</t>
  </si>
  <si>
    <t>15-Jul-22--16-Jul-22</t>
  </si>
  <si>
    <t>D-3911</t>
  </si>
  <si>
    <t>D-3912</t>
  </si>
  <si>
    <t>D-3913</t>
  </si>
  <si>
    <t>D-3914</t>
  </si>
  <si>
    <t>D-3915</t>
  </si>
  <si>
    <t>D-3916</t>
  </si>
  <si>
    <t>D-3917</t>
  </si>
  <si>
    <t>D-3918</t>
  </si>
  <si>
    <t>D-3919</t>
  </si>
  <si>
    <t>D-3920</t>
  </si>
  <si>
    <t>D-3921</t>
  </si>
  <si>
    <t>D-3922</t>
  </si>
  <si>
    <t>D-3923</t>
  </si>
  <si>
    <t>D-3924</t>
  </si>
  <si>
    <t>D-3925</t>
  </si>
  <si>
    <t>D-3926</t>
  </si>
  <si>
    <t>D-3927</t>
  </si>
  <si>
    <t>D-3928</t>
  </si>
  <si>
    <t>D-3929</t>
  </si>
  <si>
    <t>D-3930</t>
  </si>
  <si>
    <t>D-3931</t>
  </si>
  <si>
    <t>(906)ROLANDO ALMAZAN</t>
  </si>
  <si>
    <t>D-3932</t>
  </si>
  <si>
    <t>D-3933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</si>
  <si>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</si>
  <si>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3991</t>
  </si>
  <si>
    <t>D-3934</t>
  </si>
  <si>
    <t>D-3935</t>
  </si>
  <si>
    <t>D-3936</t>
  </si>
  <si>
    <t>D-3937</t>
  </si>
  <si>
    <t>D-3938</t>
  </si>
  <si>
    <t>D-3939</t>
  </si>
  <si>
    <t>D-3940</t>
  </si>
  <si>
    <t>D-3941</t>
  </si>
  <si>
    <t>14-Jul-22--15-Jul-22--16-Jul-22</t>
  </si>
  <si>
    <t>D-3942</t>
  </si>
  <si>
    <t>D-3943</t>
  </si>
  <si>
    <t>D-3944</t>
  </si>
  <si>
    <t>D-3945</t>
  </si>
  <si>
    <t>D-3946</t>
  </si>
  <si>
    <t>D-3947</t>
  </si>
  <si>
    <t>D-3948</t>
  </si>
  <si>
    <t>D-3949</t>
  </si>
  <si>
    <t>D-3950</t>
  </si>
  <si>
    <t>D-3951</t>
  </si>
  <si>
    <t>D-3952</t>
  </si>
  <si>
    <t>D-3953</t>
  </si>
  <si>
    <t>D-3954</t>
  </si>
  <si>
    <t>D-3955</t>
  </si>
  <si>
    <t>D-3956</t>
  </si>
  <si>
    <t>D-3957</t>
  </si>
  <si>
    <t>D-3958</t>
  </si>
  <si>
    <t>D-3959</t>
  </si>
  <si>
    <t>D-3960</t>
  </si>
  <si>
    <t>D-3961</t>
  </si>
  <si>
    <t>D-3962</t>
  </si>
  <si>
    <t>D-3963</t>
  </si>
  <si>
    <t>D-3964</t>
  </si>
  <si>
    <t>D-3965</t>
  </si>
  <si>
    <t>D-3966</t>
  </si>
  <si>
    <t>D-3967</t>
  </si>
  <si>
    <t>D-3968</t>
  </si>
  <si>
    <t>D-3969</t>
  </si>
  <si>
    <t>D-3970</t>
  </si>
  <si>
    <t>D-3971</t>
  </si>
  <si>
    <t>D-3972</t>
  </si>
  <si>
    <t>D-3973</t>
  </si>
  <si>
    <t>D-3974</t>
  </si>
  <si>
    <t>D-3975</t>
  </si>
  <si>
    <t>D-3976</t>
  </si>
  <si>
    <t>D-3977</t>
  </si>
  <si>
    <t>D-3978</t>
  </si>
  <si>
    <t>D-3979</t>
  </si>
  <si>
    <t>D-3980</t>
  </si>
  <si>
    <t>D-3981</t>
  </si>
  <si>
    <t>D-3982</t>
  </si>
  <si>
    <t>D-3983</t>
  </si>
  <si>
    <t>D-3984</t>
  </si>
  <si>
    <t>D-3985</t>
  </si>
  <si>
    <t>D-3986</t>
  </si>
  <si>
    <t>D-3987</t>
  </si>
  <si>
    <t>D-3988</t>
  </si>
  <si>
    <t>D-3989</t>
  </si>
  <si>
    <t>D-3990</t>
  </si>
  <si>
    <t>D-3991</t>
  </si>
  <si>
    <t>D-3992</t>
  </si>
  <si>
    <t>D-3993</t>
  </si>
  <si>
    <t>D-3994</t>
  </si>
  <si>
    <t>D-3995</t>
  </si>
  <si>
    <t>D-3996</t>
  </si>
  <si>
    <t>D-3997</t>
  </si>
  <si>
    <t>D-3998</t>
  </si>
  <si>
    <t>D-3999</t>
  </si>
  <si>
    <t>D-4000</t>
  </si>
  <si>
    <t>D-4001</t>
  </si>
  <si>
    <t>D-4002</t>
  </si>
  <si>
    <t>D-4003</t>
  </si>
  <si>
    <t>D-4004</t>
  </si>
  <si>
    <t>D-4005</t>
  </si>
  <si>
    <t>D-4006</t>
  </si>
  <si>
    <t>D-4007</t>
  </si>
  <si>
    <t>D-4008</t>
  </si>
  <si>
    <t>D-4009</t>
  </si>
  <si>
    <t>D-4010</t>
  </si>
  <si>
    <t>16-Jul-22--17-Jul-22</t>
  </si>
  <si>
    <t>D-4011</t>
  </si>
  <si>
    <t>D-4012</t>
  </si>
  <si>
    <t>D-4013</t>
  </si>
  <si>
    <t>D-4014</t>
  </si>
  <si>
    <t>D-4015</t>
  </si>
  <si>
    <t>D-4016</t>
  </si>
  <si>
    <t>D-4017</t>
  </si>
  <si>
    <t>D-4018</t>
  </si>
  <si>
    <t>D-4019</t>
  </si>
  <si>
    <t>D-4020</t>
  </si>
  <si>
    <t>D-4021</t>
  </si>
  <si>
    <t>D-4022</t>
  </si>
  <si>
    <t>D-4023</t>
  </si>
  <si>
    <t>D-4024</t>
  </si>
  <si>
    <t>D-4025</t>
  </si>
  <si>
    <t>D-4026</t>
  </si>
  <si>
    <t>D-4027</t>
  </si>
  <si>
    <t>D-4028</t>
  </si>
  <si>
    <t>16-Jul-22--18-Jul-22</t>
  </si>
  <si>
    <t>D-4029</t>
  </si>
  <si>
    <t>D-4030</t>
  </si>
  <si>
    <t>D-4031</t>
  </si>
  <si>
    <t>D-4032</t>
  </si>
  <si>
    <t>D-4033</t>
  </si>
  <si>
    <t>D-4034</t>
  </si>
  <si>
    <t>D-4035</t>
  </si>
  <si>
    <t>D-4036</t>
  </si>
  <si>
    <t>D-4037</t>
  </si>
  <si>
    <t>D-4038</t>
  </si>
  <si>
    <t>D-4039</t>
  </si>
  <si>
    <t>D-4040</t>
  </si>
  <si>
    <t>D-4041</t>
  </si>
  <si>
    <t>D-4042</t>
  </si>
  <si>
    <t>D-4043</t>
  </si>
  <si>
    <t>D-4044</t>
  </si>
  <si>
    <t>D-4045</t>
  </si>
  <si>
    <t>D-4046</t>
  </si>
  <si>
    <t>D-4047</t>
  </si>
  <si>
    <t>D-4048</t>
  </si>
  <si>
    <t>D-4049</t>
  </si>
  <si>
    <t>D-4050</t>
  </si>
  <si>
    <t>D-4051</t>
  </si>
  <si>
    <t>D-4052</t>
  </si>
  <si>
    <t>D-4053</t>
  </si>
  <si>
    <t>D-4054</t>
  </si>
  <si>
    <t>D-4055</t>
  </si>
  <si>
    <t>D-4056</t>
  </si>
  <si>
    <t>D-4057</t>
  </si>
  <si>
    <t>D-4058</t>
  </si>
  <si>
    <t>D-4059</t>
  </si>
  <si>
    <t>D-4060</t>
  </si>
  <si>
    <t>D-4061</t>
  </si>
  <si>
    <t>D-4062</t>
  </si>
  <si>
    <t>D-4063</t>
  </si>
  <si>
    <t>D-4064</t>
  </si>
  <si>
    <t>D-4065</t>
  </si>
  <si>
    <t>D-4066</t>
  </si>
  <si>
    <t>D-4067</t>
  </si>
  <si>
    <t>D-4068</t>
  </si>
  <si>
    <t>D-4069</t>
  </si>
  <si>
    <t>D-4070</t>
  </si>
  <si>
    <t>D-4071</t>
  </si>
  <si>
    <t>D-4072</t>
  </si>
  <si>
    <t>D-4073</t>
  </si>
  <si>
    <t>D-4074</t>
  </si>
  <si>
    <t>D-4075</t>
  </si>
  <si>
    <t>D-4076</t>
  </si>
  <si>
    <t>D-4077</t>
  </si>
  <si>
    <t>D-4078</t>
  </si>
  <si>
    <t>D-4079</t>
  </si>
  <si>
    <t>D-4080</t>
  </si>
  <si>
    <t>D-4081</t>
  </si>
  <si>
    <t>D-4082</t>
  </si>
  <si>
    <t>D-4083</t>
  </si>
  <si>
    <t>D-4084</t>
  </si>
  <si>
    <t>D-4085</t>
  </si>
  <si>
    <t>D-4086</t>
  </si>
  <si>
    <t>D-4087</t>
  </si>
  <si>
    <t>D-4088</t>
  </si>
  <si>
    <t>D-4089</t>
  </si>
  <si>
    <t>D-4090</t>
  </si>
  <si>
    <t>D-4091</t>
  </si>
  <si>
    <t>D-4092</t>
  </si>
  <si>
    <t>D-4093</t>
  </si>
  <si>
    <t>D-4094</t>
  </si>
  <si>
    <t>D-4095</t>
  </si>
  <si>
    <t>D-4096</t>
  </si>
  <si>
    <t>D-4097</t>
  </si>
  <si>
    <t>D-4098</t>
  </si>
  <si>
    <t>D-4099</t>
  </si>
  <si>
    <t>D-4100</t>
  </si>
  <si>
    <t>D-4101</t>
  </si>
  <si>
    <t>D-4102</t>
  </si>
  <si>
    <t>D-4103</t>
  </si>
  <si>
    <t>D-4104</t>
  </si>
  <si>
    <t>D-4105</t>
  </si>
  <si>
    <t>D-4106</t>
  </si>
  <si>
    <t>D-4107</t>
  </si>
  <si>
    <t>D-4108</t>
  </si>
  <si>
    <t>D-4109</t>
  </si>
  <si>
    <t>D-4110</t>
  </si>
  <si>
    <t>D-4111</t>
  </si>
  <si>
    <t>D-4112</t>
  </si>
  <si>
    <t>D-4113</t>
  </si>
  <si>
    <t>D-4114</t>
  </si>
  <si>
    <t>D-4115</t>
  </si>
  <si>
    <t>D-4116</t>
  </si>
  <si>
    <t>D-4117</t>
  </si>
  <si>
    <t>D-4118</t>
  </si>
  <si>
    <t>D-4119</t>
  </si>
  <si>
    <t>D-4120</t>
  </si>
  <si>
    <t>D-4121</t>
  </si>
  <si>
    <t>D-4122</t>
  </si>
  <si>
    <t>D-4123</t>
  </si>
  <si>
    <t>D-4124</t>
  </si>
  <si>
    <t>D-4125</t>
  </si>
  <si>
    <t>D-4126</t>
  </si>
  <si>
    <t>D-4127</t>
  </si>
  <si>
    <t>D-4128</t>
  </si>
  <si>
    <t>D-4129</t>
  </si>
  <si>
    <t>D-4130</t>
  </si>
  <si>
    <t>D-4131</t>
  </si>
  <si>
    <t>D-4132</t>
  </si>
  <si>
    <t>17-Jul-22--18-Jul-22</t>
  </si>
  <si>
    <t>D-4133</t>
  </si>
  <si>
    <t>D-4134</t>
  </si>
  <si>
    <t>D-4135</t>
  </si>
  <si>
    <t>D-4136</t>
  </si>
  <si>
    <t>D-4137</t>
  </si>
  <si>
    <t>D-4138</t>
  </si>
  <si>
    <t>D-4139</t>
  </si>
  <si>
    <t>D-4140</t>
  </si>
  <si>
    <t>D-4141</t>
  </si>
  <si>
    <t>D-4142</t>
  </si>
  <si>
    <t>D-4143</t>
  </si>
  <si>
    <t>D-4144</t>
  </si>
  <si>
    <t>D-4145</t>
  </si>
  <si>
    <t>D-4146</t>
  </si>
  <si>
    <t>se sustituyo x la 4147</t>
  </si>
  <si>
    <t>D-4147</t>
  </si>
  <si>
    <t>D-4148</t>
  </si>
  <si>
    <t>D-4149</t>
  </si>
  <si>
    <t>D-4150</t>
  </si>
  <si>
    <t>D-4151</t>
  </si>
  <si>
    <t>D-4152</t>
  </si>
  <si>
    <t>D-4153</t>
  </si>
  <si>
    <t>D-4154</t>
  </si>
  <si>
    <t>D-4155</t>
  </si>
  <si>
    <t>D-4156</t>
  </si>
  <si>
    <t>D-4157</t>
  </si>
  <si>
    <t>18-Jul-22--19-Jul-22</t>
  </si>
  <si>
    <t>D-4158</t>
  </si>
  <si>
    <t>D-4159</t>
  </si>
  <si>
    <t>18-Jul-22--19-Jul-22--20-Jul-22</t>
  </si>
  <si>
    <t>D-4160</t>
  </si>
  <si>
    <t>D-4161</t>
  </si>
  <si>
    <t>29-Jul-22--31-Jul-22</t>
  </si>
  <si>
    <t>D-4162</t>
  </si>
  <si>
    <t>D-4163</t>
  </si>
  <si>
    <t>D-4164</t>
  </si>
  <si>
    <t>D-4165</t>
  </si>
  <si>
    <t>D-4166</t>
  </si>
  <si>
    <t>D-4167</t>
  </si>
  <si>
    <t>D-4168</t>
  </si>
  <si>
    <t>D-4169</t>
  </si>
  <si>
    <t>D-4170</t>
  </si>
  <si>
    <t>D-4171</t>
  </si>
  <si>
    <t>D-4172</t>
  </si>
  <si>
    <t>D-4173</t>
  </si>
  <si>
    <t>D-4174</t>
  </si>
  <si>
    <t>D-4175</t>
  </si>
  <si>
    <t>D-4176</t>
  </si>
  <si>
    <t>D-4177</t>
  </si>
  <si>
    <t>D-4178</t>
  </si>
  <si>
    <t>D-4179</t>
  </si>
  <si>
    <t>D-4180</t>
  </si>
  <si>
    <t>D-4181</t>
  </si>
  <si>
    <t>D-4182</t>
  </si>
  <si>
    <t>D-4183</t>
  </si>
  <si>
    <t>D-4184</t>
  </si>
  <si>
    <t>D-4185</t>
  </si>
  <si>
    <t>D-4186</t>
  </si>
  <si>
    <t>D-4187</t>
  </si>
  <si>
    <t>D-4188</t>
  </si>
  <si>
    <t>D-4189</t>
  </si>
  <si>
    <t>D-4190</t>
  </si>
  <si>
    <t>D-4191</t>
  </si>
  <si>
    <t>D-4192</t>
  </si>
  <si>
    <t>D-4193</t>
  </si>
  <si>
    <t>D-4194</t>
  </si>
  <si>
    <t>D-4195</t>
  </si>
  <si>
    <t>D-4196</t>
  </si>
  <si>
    <t>D-4197</t>
  </si>
  <si>
    <t>D-4198</t>
  </si>
  <si>
    <t>D-4199</t>
  </si>
  <si>
    <t>D-4200</t>
  </si>
  <si>
    <t>D-4201</t>
  </si>
  <si>
    <t>D-4202</t>
  </si>
  <si>
    <t>D-4203</t>
  </si>
  <si>
    <t>D-4204</t>
  </si>
  <si>
    <t>D-4205</t>
  </si>
  <si>
    <t>D-4206</t>
  </si>
  <si>
    <t>D-4207</t>
  </si>
  <si>
    <t>D-4208</t>
  </si>
  <si>
    <t>D-4209</t>
  </si>
  <si>
    <t>D-4210</t>
  </si>
  <si>
    <t>D-4211</t>
  </si>
  <si>
    <t>D-4212</t>
  </si>
  <si>
    <t>D-4213</t>
  </si>
  <si>
    <t>D-4214</t>
  </si>
  <si>
    <t>D-4215</t>
  </si>
  <si>
    <t>D-4216</t>
  </si>
  <si>
    <t>D-4217</t>
  </si>
  <si>
    <t>D-4218</t>
  </si>
  <si>
    <t>D-4219</t>
  </si>
  <si>
    <t>D-4220</t>
  </si>
  <si>
    <t>D-4221</t>
  </si>
  <si>
    <t>D-4222</t>
  </si>
  <si>
    <t>D-4223</t>
  </si>
  <si>
    <t>D-4224</t>
  </si>
  <si>
    <t>D-4225</t>
  </si>
  <si>
    <t>D-4226</t>
  </si>
  <si>
    <t>D-4227</t>
  </si>
  <si>
    <t>D-4228</t>
  </si>
  <si>
    <t>D-4229</t>
  </si>
  <si>
    <t>D-4230</t>
  </si>
  <si>
    <t>D-4231</t>
  </si>
  <si>
    <t>D-4232</t>
  </si>
  <si>
    <t>D-4233</t>
  </si>
  <si>
    <t>D-4234</t>
  </si>
  <si>
    <t>D-4235</t>
  </si>
  <si>
    <t>D-4236</t>
  </si>
  <si>
    <t>D-4237</t>
  </si>
  <si>
    <t>D-4238</t>
  </si>
  <si>
    <t>D-4239</t>
  </si>
  <si>
    <t>D-4240</t>
  </si>
  <si>
    <t>D-4241</t>
  </si>
  <si>
    <t>D-4242</t>
  </si>
  <si>
    <t>D-4243</t>
  </si>
  <si>
    <t>D-4244</t>
  </si>
  <si>
    <t>D-4245</t>
  </si>
  <si>
    <t>D-4246</t>
  </si>
  <si>
    <t>D-4247</t>
  </si>
  <si>
    <t>D-4248</t>
  </si>
  <si>
    <t>D-4249</t>
  </si>
  <si>
    <t>D-4250</t>
  </si>
  <si>
    <t>D-4251</t>
  </si>
  <si>
    <t>D-4252</t>
  </si>
  <si>
    <t>D-4253</t>
  </si>
  <si>
    <t>D-4254</t>
  </si>
  <si>
    <t>D-4255</t>
  </si>
  <si>
    <t>D-4256</t>
  </si>
  <si>
    <t>D-4257</t>
  </si>
  <si>
    <t>18-Jul-22--20-Jul-22</t>
  </si>
  <si>
    <t>D-4258</t>
  </si>
  <si>
    <t>D-4259</t>
  </si>
  <si>
    <t>D-4260</t>
  </si>
  <si>
    <t>D-4261</t>
  </si>
  <si>
    <t>D-4262</t>
  </si>
  <si>
    <t>D-4263</t>
  </si>
  <si>
    <t>D-4264</t>
  </si>
  <si>
    <t>D-4265</t>
  </si>
  <si>
    <t>D-4266</t>
  </si>
  <si>
    <t>D-4267</t>
  </si>
  <si>
    <t>D-4268</t>
  </si>
  <si>
    <t>D-4269</t>
  </si>
  <si>
    <t>D-4270</t>
  </si>
  <si>
    <t>D-4271</t>
  </si>
  <si>
    <t>D-4272</t>
  </si>
  <si>
    <t>D-4273</t>
  </si>
  <si>
    <t>D-4274</t>
  </si>
  <si>
    <t>D-4275</t>
  </si>
  <si>
    <t>D-4276</t>
  </si>
  <si>
    <t>D-4277</t>
  </si>
  <si>
    <t>D-4278</t>
  </si>
  <si>
    <t>D-4279</t>
  </si>
  <si>
    <t>D-4280</t>
  </si>
  <si>
    <t>D-4281</t>
  </si>
  <si>
    <t>D-4282</t>
  </si>
  <si>
    <t>D-4283</t>
  </si>
  <si>
    <t>D-4284</t>
  </si>
  <si>
    <t>D-4285</t>
  </si>
  <si>
    <t>D-4286</t>
  </si>
  <si>
    <t>D-4287</t>
  </si>
  <si>
    <t>D-4288</t>
  </si>
  <si>
    <t>D-4289</t>
  </si>
  <si>
    <t>D-4290</t>
  </si>
  <si>
    <t>D-4291</t>
  </si>
  <si>
    <t>D-4292</t>
  </si>
  <si>
    <t>D-4293</t>
  </si>
  <si>
    <t>D-4294</t>
  </si>
  <si>
    <t>D-4295</t>
  </si>
  <si>
    <t>D-4296</t>
  </si>
  <si>
    <t>D-4297</t>
  </si>
  <si>
    <t>D-4298</t>
  </si>
  <si>
    <t>D-4299</t>
  </si>
  <si>
    <t>D-4300</t>
  </si>
  <si>
    <t>D-4301</t>
  </si>
  <si>
    <t>D-4302</t>
  </si>
  <si>
    <t>D-4303</t>
  </si>
  <si>
    <t>D-4304</t>
  </si>
  <si>
    <t>D-4305</t>
  </si>
  <si>
    <t>D-4306</t>
  </si>
  <si>
    <t>D-4307</t>
  </si>
  <si>
    <t>D-4308</t>
  </si>
  <si>
    <t>D-4309</t>
  </si>
  <si>
    <t>D-4310</t>
  </si>
  <si>
    <t>D-4311</t>
  </si>
  <si>
    <t>D-4312</t>
  </si>
  <si>
    <t>D-4313</t>
  </si>
  <si>
    <t>D-4314</t>
  </si>
  <si>
    <t>D-4315</t>
  </si>
  <si>
    <t>D-4316</t>
  </si>
  <si>
    <t>D-4317</t>
  </si>
  <si>
    <t>D-4318</t>
  </si>
  <si>
    <t>D-4319</t>
  </si>
  <si>
    <t>D-4320</t>
  </si>
  <si>
    <t>D-4321</t>
  </si>
  <si>
    <t>D-4322</t>
  </si>
  <si>
    <t>D-4323</t>
  </si>
  <si>
    <t>D-4324</t>
  </si>
  <si>
    <t>D-4325</t>
  </si>
  <si>
    <t>D-4326</t>
  </si>
  <si>
    <t>D-4327</t>
  </si>
  <si>
    <t>D-4328</t>
  </si>
  <si>
    <t>D-4329</t>
  </si>
  <si>
    <t>D-4330</t>
  </si>
  <si>
    <t>D-4331</t>
  </si>
  <si>
    <t>D-4332</t>
  </si>
  <si>
    <t>D-4333</t>
  </si>
  <si>
    <t>D-4334</t>
  </si>
  <si>
    <t>D-4335</t>
  </si>
  <si>
    <t>D-4336</t>
  </si>
  <si>
    <t>19-Jul-22--20-Jul-22</t>
  </si>
  <si>
    <t>D-4337</t>
  </si>
  <si>
    <t>D-4338</t>
  </si>
  <si>
    <t>D-4339</t>
  </si>
  <si>
    <t>D-4340</t>
  </si>
  <si>
    <t>D-4341</t>
  </si>
  <si>
    <t>(785)GOZO</t>
  </si>
  <si>
    <t>D-4342</t>
  </si>
  <si>
    <t>D-4343</t>
  </si>
  <si>
    <t>D-4344</t>
  </si>
  <si>
    <t>D-4345</t>
  </si>
  <si>
    <t>D-4346</t>
  </si>
  <si>
    <t>D-4347</t>
  </si>
  <si>
    <t>D-4348</t>
  </si>
  <si>
    <t>D-4349</t>
  </si>
  <si>
    <t>D-4350</t>
  </si>
  <si>
    <t>D-4351</t>
  </si>
  <si>
    <t>D-4352</t>
  </si>
  <si>
    <t>D-4353</t>
  </si>
  <si>
    <t>D-4354</t>
  </si>
  <si>
    <t>D-4355</t>
  </si>
  <si>
    <t>D-4356</t>
  </si>
  <si>
    <t>D-4357</t>
  </si>
  <si>
    <t>D-4358</t>
  </si>
  <si>
    <t>D-4359</t>
  </si>
  <si>
    <t>D-4360</t>
  </si>
  <si>
    <t>D-4361</t>
  </si>
  <si>
    <t>D-4362</t>
  </si>
  <si>
    <t>D-4363</t>
  </si>
  <si>
    <t>D-4364</t>
  </si>
  <si>
    <t>D-4365</t>
  </si>
  <si>
    <t>D-4366</t>
  </si>
  <si>
    <t>D-4367</t>
  </si>
  <si>
    <t>D-4368</t>
  </si>
  <si>
    <t>D-4369</t>
  </si>
  <si>
    <t>D-4370</t>
  </si>
  <si>
    <t>D-4371</t>
  </si>
  <si>
    <t>D-4372</t>
  </si>
  <si>
    <t>D-4373</t>
  </si>
  <si>
    <t>D-4374</t>
  </si>
  <si>
    <t>D-4375</t>
  </si>
  <si>
    <t>D-4376</t>
  </si>
  <si>
    <t>D-4377</t>
  </si>
  <si>
    <t>D-4378</t>
  </si>
  <si>
    <t>D-4379</t>
  </si>
  <si>
    <t>D-4380</t>
  </si>
  <si>
    <t>D-4381</t>
  </si>
  <si>
    <t>D-4382</t>
  </si>
  <si>
    <t>D-4383</t>
  </si>
  <si>
    <t>D-4384</t>
  </si>
  <si>
    <t>D-4385</t>
  </si>
  <si>
    <t>D-4386</t>
  </si>
  <si>
    <t>D-4387</t>
  </si>
  <si>
    <t>D-4388</t>
  </si>
  <si>
    <t>D-4389</t>
  </si>
  <si>
    <t>D-4390</t>
  </si>
  <si>
    <t>D-4391</t>
  </si>
  <si>
    <t>D-4392</t>
  </si>
  <si>
    <t>D-4393</t>
  </si>
  <si>
    <t>D-4394</t>
  </si>
  <si>
    <t>D-4395</t>
  </si>
  <si>
    <t>D-4396</t>
  </si>
  <si>
    <t>D-4397</t>
  </si>
  <si>
    <t>D-4398</t>
  </si>
  <si>
    <t>D-4399</t>
  </si>
  <si>
    <t>D-4400</t>
  </si>
  <si>
    <t>D-4401</t>
  </si>
  <si>
    <t>D-4402</t>
  </si>
  <si>
    <t>D-4403</t>
  </si>
  <si>
    <t>D-4404</t>
  </si>
  <si>
    <t>D-4405</t>
  </si>
  <si>
    <t>D-4406</t>
  </si>
  <si>
    <t>D-4407</t>
  </si>
  <si>
    <t>D-4408</t>
  </si>
  <si>
    <t>D-4409</t>
  </si>
  <si>
    <t>D-4410</t>
  </si>
  <si>
    <t>D-4411</t>
  </si>
  <si>
    <t>D-4412</t>
  </si>
  <si>
    <t>D-4413</t>
  </si>
  <si>
    <t>D-4414</t>
  </si>
  <si>
    <t>D-4415</t>
  </si>
  <si>
    <t>D-4416</t>
  </si>
  <si>
    <t>D-4417</t>
  </si>
  <si>
    <t>D-4418</t>
  </si>
  <si>
    <t>D-4419</t>
  </si>
  <si>
    <t>D-4420</t>
  </si>
  <si>
    <t>D-4421</t>
  </si>
  <si>
    <t>D-4422</t>
  </si>
  <si>
    <t>D-4423</t>
  </si>
  <si>
    <t>D-4424</t>
  </si>
  <si>
    <t>D-4425</t>
  </si>
  <si>
    <t>D-4426</t>
  </si>
  <si>
    <t>D-4427</t>
  </si>
  <si>
    <t>D-4428</t>
  </si>
  <si>
    <t>D-4429</t>
  </si>
  <si>
    <t>D-4430</t>
  </si>
  <si>
    <t>D-4431</t>
  </si>
  <si>
    <t>D-4432</t>
  </si>
  <si>
    <t>D-4433</t>
  </si>
  <si>
    <t>D-4434</t>
  </si>
  <si>
    <t>D-4435</t>
  </si>
  <si>
    <t>D-4436</t>
  </si>
  <si>
    <t>D-4437</t>
  </si>
  <si>
    <t>D-4438</t>
  </si>
  <si>
    <t>D-4439</t>
  </si>
  <si>
    <t>D-4440</t>
  </si>
  <si>
    <t>D-4441</t>
  </si>
  <si>
    <t>D-4442</t>
  </si>
  <si>
    <t>D-4443</t>
  </si>
  <si>
    <t>D-4444</t>
  </si>
  <si>
    <t>D-4445</t>
  </si>
  <si>
    <t>D-4446</t>
  </si>
  <si>
    <t>D-4447</t>
  </si>
  <si>
    <t>21-Jul-22--22-Jul-22</t>
  </si>
  <si>
    <t>D-4448</t>
  </si>
  <si>
    <t>D-4449</t>
  </si>
  <si>
    <t>D-4450</t>
  </si>
  <si>
    <t>D-4451</t>
  </si>
  <si>
    <t>D-4452</t>
  </si>
  <si>
    <t>D-4453</t>
  </si>
  <si>
    <t>D-4454</t>
  </si>
  <si>
    <t>D-4455</t>
  </si>
  <si>
    <t>D-4456</t>
  </si>
  <si>
    <t>20-Jul-22--21-Jul-22</t>
  </si>
  <si>
    <t>D-4457</t>
  </si>
  <si>
    <t>D-4458</t>
  </si>
  <si>
    <t>D-4459</t>
  </si>
  <si>
    <t>D-4460</t>
  </si>
  <si>
    <t>D-4461</t>
  </si>
  <si>
    <t>D-4462</t>
  </si>
  <si>
    <t>D-4463</t>
  </si>
  <si>
    <t>D-4464</t>
  </si>
  <si>
    <t>D-4465</t>
  </si>
  <si>
    <t>D-4466</t>
  </si>
  <si>
    <t>D-4467</t>
  </si>
  <si>
    <t>D-4468</t>
  </si>
  <si>
    <t>D-4469</t>
  </si>
  <si>
    <t>D-4470</t>
  </si>
  <si>
    <t>D-4471</t>
  </si>
  <si>
    <t>D-4472</t>
  </si>
  <si>
    <t>D-4473</t>
  </si>
  <si>
    <t>D-4474</t>
  </si>
  <si>
    <t>D-4475</t>
  </si>
  <si>
    <t>D-4476</t>
  </si>
  <si>
    <t>D-4477</t>
  </si>
  <si>
    <t>D-4478</t>
  </si>
  <si>
    <t>D-4479</t>
  </si>
  <si>
    <t>D-4480</t>
  </si>
  <si>
    <t>D-4481</t>
  </si>
  <si>
    <t>D-4482</t>
  </si>
  <si>
    <t>D-4483</t>
  </si>
  <si>
    <t>D-4484</t>
  </si>
  <si>
    <t>D-4485</t>
  </si>
  <si>
    <t>D-4486</t>
  </si>
  <si>
    <t>D-4487</t>
  </si>
  <si>
    <t>D-4488</t>
  </si>
  <si>
    <t>D-4489</t>
  </si>
  <si>
    <t>D-4490</t>
  </si>
  <si>
    <t>D-4491</t>
  </si>
  <si>
    <t>D-4492</t>
  </si>
  <si>
    <t>D-4493</t>
  </si>
  <si>
    <t>D-4494</t>
  </si>
  <si>
    <t>D-4495</t>
  </si>
  <si>
    <t>D-4496</t>
  </si>
  <si>
    <t>D-4497</t>
  </si>
  <si>
    <t>D-4498</t>
  </si>
  <si>
    <t>D-4499</t>
  </si>
  <si>
    <t>D-4500</t>
  </si>
  <si>
    <t>D-4501</t>
  </si>
  <si>
    <t>D-4502</t>
  </si>
  <si>
    <t>D-4503</t>
  </si>
  <si>
    <t>D-4504</t>
  </si>
  <si>
    <t>D-4505</t>
  </si>
  <si>
    <t>D-4506</t>
  </si>
  <si>
    <t>D-4507</t>
  </si>
  <si>
    <t>se sustituyo x la 4508</t>
  </si>
  <si>
    <t>D-4508</t>
  </si>
  <si>
    <t>D-4509</t>
  </si>
  <si>
    <t>D-4510</t>
  </si>
  <si>
    <t>D-4511</t>
  </si>
  <si>
    <t>D-4512</t>
  </si>
  <si>
    <t>D-4513</t>
  </si>
  <si>
    <t>D-4514</t>
  </si>
  <si>
    <t>D-4515</t>
  </si>
  <si>
    <t>D-4516</t>
  </si>
  <si>
    <t>D-4517</t>
  </si>
  <si>
    <t>D-4518</t>
  </si>
  <si>
    <t>D-4519</t>
  </si>
  <si>
    <t>D-4520</t>
  </si>
  <si>
    <t>D-4521</t>
  </si>
  <si>
    <t>D-4522</t>
  </si>
  <si>
    <t>D-4523</t>
  </si>
  <si>
    <t>D-4524</t>
  </si>
  <si>
    <t>D-4525</t>
  </si>
  <si>
    <t>D-4526</t>
  </si>
  <si>
    <t>D-4527</t>
  </si>
  <si>
    <t>D-4528</t>
  </si>
  <si>
    <t>D-4529</t>
  </si>
  <si>
    <t>D-4530</t>
  </si>
  <si>
    <t>D-4531</t>
  </si>
  <si>
    <t>D-4532</t>
  </si>
  <si>
    <t>D-4533</t>
  </si>
  <si>
    <t>D-4534</t>
  </si>
  <si>
    <t>D-4535</t>
  </si>
  <si>
    <t>D-4536</t>
  </si>
  <si>
    <t>D-4537</t>
  </si>
  <si>
    <t>D-4538</t>
  </si>
  <si>
    <t>D-4539</t>
  </si>
  <si>
    <t>D-4540</t>
  </si>
  <si>
    <t>D-4541</t>
  </si>
  <si>
    <t>D-4542</t>
  </si>
  <si>
    <t>D-4543</t>
  </si>
  <si>
    <t>D-4544</t>
  </si>
  <si>
    <t>D-4545</t>
  </si>
  <si>
    <t>D-4546</t>
  </si>
  <si>
    <t>D-4547</t>
  </si>
  <si>
    <t>D-4548</t>
  </si>
  <si>
    <t>D-4549</t>
  </si>
  <si>
    <t>D-4550</t>
  </si>
  <si>
    <t>D-4551</t>
  </si>
  <si>
    <t>D-4552</t>
  </si>
  <si>
    <t>D-4553</t>
  </si>
  <si>
    <t>D-4554</t>
  </si>
  <si>
    <t>D-4555</t>
  </si>
  <si>
    <t>D-4556</t>
  </si>
  <si>
    <r>
      <t xml:space="preserve">(330)PANCHO ALTEPEJI  </t>
    </r>
    <r>
      <rPr>
        <b/>
        <sz val="12"/>
        <color rgb="FFFF0000"/>
        <rFont val="Calibri"/>
        <family val="2"/>
        <scheme val="minor"/>
      </rPr>
      <t>CANCELADA</t>
    </r>
  </si>
  <si>
    <t>D-4557</t>
  </si>
  <si>
    <t>D-4558</t>
  </si>
  <si>
    <t>D-4559</t>
  </si>
  <si>
    <t>D-4560</t>
  </si>
  <si>
    <t>D-4561</t>
  </si>
  <si>
    <t>D-4562</t>
  </si>
  <si>
    <t>D-4563</t>
  </si>
  <si>
    <t>D-4564</t>
  </si>
  <si>
    <t>D-4565</t>
  </si>
  <si>
    <t>D-4566</t>
  </si>
  <si>
    <t>D-4567</t>
  </si>
  <si>
    <t>D-4568</t>
  </si>
  <si>
    <t>D-4569</t>
  </si>
  <si>
    <r>
      <t>(113)SAGRADO CORAZON HEROES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</si>
  <si>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4617</t>
  </si>
  <si>
    <t>D-4570</t>
  </si>
  <si>
    <t>D-4571</t>
  </si>
  <si>
    <t>D-4572</t>
  </si>
  <si>
    <t>D-4573</t>
  </si>
  <si>
    <t>D-4574</t>
  </si>
  <si>
    <t>D-4575</t>
  </si>
  <si>
    <t>D-4576</t>
  </si>
  <si>
    <t>D-4577</t>
  </si>
  <si>
    <t>D-4578</t>
  </si>
  <si>
    <t>D-4579</t>
  </si>
  <si>
    <t>D-4580</t>
  </si>
  <si>
    <t>D-4581</t>
  </si>
  <si>
    <t>D-4582</t>
  </si>
  <si>
    <t>se sustituyo x la 4588</t>
  </si>
  <si>
    <t>D-4583</t>
  </si>
  <si>
    <t>D-4584</t>
  </si>
  <si>
    <t>D-4585</t>
  </si>
  <si>
    <t>D-4586</t>
  </si>
  <si>
    <t>D-4587</t>
  </si>
  <si>
    <t>D-4588</t>
  </si>
  <si>
    <t>D-4589</t>
  </si>
  <si>
    <t>D-4590</t>
  </si>
  <si>
    <t>D-4591</t>
  </si>
  <si>
    <t>D-4592</t>
  </si>
  <si>
    <t>D-4593</t>
  </si>
  <si>
    <t>D-4594</t>
  </si>
  <si>
    <t>D-4595</t>
  </si>
  <si>
    <t>D-4596</t>
  </si>
  <si>
    <t>D-4597</t>
  </si>
  <si>
    <t>D-4598</t>
  </si>
  <si>
    <t>D-4599</t>
  </si>
  <si>
    <t>D-4600</t>
  </si>
  <si>
    <t>D-4601</t>
  </si>
  <si>
    <t>D-4602</t>
  </si>
  <si>
    <t>D-4603</t>
  </si>
  <si>
    <t>D-4604</t>
  </si>
  <si>
    <t>D-4605</t>
  </si>
  <si>
    <t>D-4606</t>
  </si>
  <si>
    <t>D-4607</t>
  </si>
  <si>
    <t>D-4608</t>
  </si>
  <si>
    <t>D-4609</t>
  </si>
  <si>
    <t>D-4610</t>
  </si>
  <si>
    <t>D-4611</t>
  </si>
  <si>
    <t>D-4612</t>
  </si>
  <si>
    <t>D-4613</t>
  </si>
  <si>
    <t>D-4614</t>
  </si>
  <si>
    <t>D-4615</t>
  </si>
  <si>
    <t>D-4616</t>
  </si>
  <si>
    <t>D-4617</t>
  </si>
  <si>
    <t>D-4618</t>
  </si>
  <si>
    <t>D-4619</t>
  </si>
  <si>
    <t>D-4620</t>
  </si>
  <si>
    <t>D-4621</t>
  </si>
  <si>
    <t>D-4622</t>
  </si>
  <si>
    <t>D-4623</t>
  </si>
  <si>
    <t>D-4624</t>
  </si>
  <si>
    <t>D-4625</t>
  </si>
  <si>
    <t>D-4626</t>
  </si>
  <si>
    <t>D-4627</t>
  </si>
  <si>
    <t>D-4628</t>
  </si>
  <si>
    <t>D-4629</t>
  </si>
  <si>
    <t>D-4630</t>
  </si>
  <si>
    <t>D-4631</t>
  </si>
  <si>
    <t>D-4632</t>
  </si>
  <si>
    <t>D-4633</t>
  </si>
  <si>
    <t>D-4634</t>
  </si>
  <si>
    <t>D-4635</t>
  </si>
  <si>
    <t>D-4636</t>
  </si>
  <si>
    <t>D-4637</t>
  </si>
  <si>
    <t>23-Jul-22--25-Jul-22</t>
  </si>
  <si>
    <t>D-4638</t>
  </si>
  <si>
    <t>D-4639</t>
  </si>
  <si>
    <t>D-4640</t>
  </si>
  <si>
    <t>D-4641</t>
  </si>
  <si>
    <t>D-4642</t>
  </si>
  <si>
    <t>D-4643</t>
  </si>
  <si>
    <t>D-4644</t>
  </si>
  <si>
    <t>D-4645</t>
  </si>
  <si>
    <t>D-4646</t>
  </si>
  <si>
    <t>D-4647</t>
  </si>
  <si>
    <t>D-4648</t>
  </si>
  <si>
    <t>D-4649</t>
  </si>
  <si>
    <t>D-4650</t>
  </si>
  <si>
    <t>D-4651</t>
  </si>
  <si>
    <t>22-Jul-22--23-Jul-22</t>
  </si>
  <si>
    <t>D-4652</t>
  </si>
  <si>
    <t>D-4653</t>
  </si>
  <si>
    <t>D-4654</t>
  </si>
  <si>
    <t>D-4655</t>
  </si>
  <si>
    <t>D-4656</t>
  </si>
  <si>
    <t>D-4657</t>
  </si>
  <si>
    <t>D-4658</t>
  </si>
  <si>
    <t>D-4659</t>
  </si>
  <si>
    <t>D-4660</t>
  </si>
  <si>
    <t>D-4661</t>
  </si>
  <si>
    <t>D-4662</t>
  </si>
  <si>
    <t>D-4663</t>
  </si>
  <si>
    <t>D-4664</t>
  </si>
  <si>
    <t>D-4665</t>
  </si>
  <si>
    <t>D-4666</t>
  </si>
  <si>
    <t>D-4667</t>
  </si>
  <si>
    <t>D-4668</t>
  </si>
  <si>
    <t>D-4669</t>
  </si>
  <si>
    <t>D-4670</t>
  </si>
  <si>
    <t>D-4671</t>
  </si>
  <si>
    <t>D-4672</t>
  </si>
  <si>
    <t>D-4673</t>
  </si>
  <si>
    <t>D-4674</t>
  </si>
  <si>
    <t>D-4675</t>
  </si>
  <si>
    <t>D-4676</t>
  </si>
  <si>
    <t>D-4677</t>
  </si>
  <si>
    <t>D-4678</t>
  </si>
  <si>
    <t>D-4679</t>
  </si>
  <si>
    <t>D-4680</t>
  </si>
  <si>
    <t>D-4681</t>
  </si>
  <si>
    <t>D-4682</t>
  </si>
  <si>
    <t>D-4683</t>
  </si>
  <si>
    <t>D-4684</t>
  </si>
  <si>
    <t>D-4685</t>
  </si>
  <si>
    <t>D-4686</t>
  </si>
  <si>
    <t>D-4687</t>
  </si>
  <si>
    <t>D-4688</t>
  </si>
  <si>
    <t>D-4689</t>
  </si>
  <si>
    <t>D-4690</t>
  </si>
  <si>
    <t>D-4691</t>
  </si>
  <si>
    <t>D-4692</t>
  </si>
  <si>
    <t>D-4693</t>
  </si>
  <si>
    <t>D-4694</t>
  </si>
  <si>
    <t>D-4695</t>
  </si>
  <si>
    <t>D-4696</t>
  </si>
  <si>
    <t>D-4697</t>
  </si>
  <si>
    <t>se sustituyo x la 4713 D</t>
  </si>
  <si>
    <t>D-4698</t>
  </si>
  <si>
    <t>D-4699</t>
  </si>
  <si>
    <t>D-4700</t>
  </si>
  <si>
    <t>D-4701</t>
  </si>
  <si>
    <t>D-4702</t>
  </si>
  <si>
    <t>D-4703</t>
  </si>
  <si>
    <t>D-4704</t>
  </si>
  <si>
    <t>D-4705</t>
  </si>
  <si>
    <t>D-4706</t>
  </si>
  <si>
    <t>D-4707</t>
  </si>
  <si>
    <t>D-4708</t>
  </si>
  <si>
    <t>D-4709</t>
  </si>
  <si>
    <t>D-4710</t>
  </si>
  <si>
    <t>D-4711</t>
  </si>
  <si>
    <t>D-4712</t>
  </si>
  <si>
    <t>D-4713</t>
  </si>
  <si>
    <t>D-4714</t>
  </si>
  <si>
    <t>D-4715</t>
  </si>
  <si>
    <t>D-4716</t>
  </si>
  <si>
    <t>D-4717</t>
  </si>
  <si>
    <t>D-4718</t>
  </si>
  <si>
    <t>D-4719</t>
  </si>
  <si>
    <t>D-4720</t>
  </si>
  <si>
    <t>D-4721</t>
  </si>
  <si>
    <t>D-4722</t>
  </si>
  <si>
    <t>D-4723</t>
  </si>
  <si>
    <t>D-4724</t>
  </si>
  <si>
    <t>se sustituyo x la 4726 D</t>
  </si>
  <si>
    <t>D-4725</t>
  </si>
  <si>
    <t>D-4726</t>
  </si>
  <si>
    <t>D-4727</t>
  </si>
  <si>
    <t>D-4728</t>
  </si>
  <si>
    <t>D-4729</t>
  </si>
  <si>
    <t>D-4730</t>
  </si>
  <si>
    <t>D-4731</t>
  </si>
  <si>
    <t>D-4732</t>
  </si>
  <si>
    <t>D-4733</t>
  </si>
  <si>
    <t>D-4734</t>
  </si>
  <si>
    <t>D-4735</t>
  </si>
  <si>
    <t>D-4736</t>
  </si>
  <si>
    <t>D-4737</t>
  </si>
  <si>
    <t>D-4738</t>
  </si>
  <si>
    <t>D-4739</t>
  </si>
  <si>
    <t>D-4740</t>
  </si>
  <si>
    <t>D-4741</t>
  </si>
  <si>
    <t>D-4742</t>
  </si>
  <si>
    <t>D-4743</t>
  </si>
  <si>
    <t>D-4744</t>
  </si>
  <si>
    <t>25-Jul-22--26-Jul-22</t>
  </si>
  <si>
    <t>D-4745</t>
  </si>
  <si>
    <t>D-4746</t>
  </si>
  <si>
    <t>D-4747</t>
  </si>
  <si>
    <t>D-4748</t>
  </si>
  <si>
    <t>D-4749</t>
  </si>
  <si>
    <t>D-4750</t>
  </si>
  <si>
    <t>D-4751</t>
  </si>
  <si>
    <t>D-4752</t>
  </si>
  <si>
    <t>D-4753</t>
  </si>
  <si>
    <t>D-4754</t>
  </si>
  <si>
    <t>D-4755</t>
  </si>
  <si>
    <t>D-4756</t>
  </si>
  <si>
    <t>D-4757</t>
  </si>
  <si>
    <t>D-4758</t>
  </si>
  <si>
    <t>D-4759</t>
  </si>
  <si>
    <t>D-4760</t>
  </si>
  <si>
    <t>D-4761</t>
  </si>
  <si>
    <t>D-4762</t>
  </si>
  <si>
    <t>D-4763</t>
  </si>
  <si>
    <t>D-4764</t>
  </si>
  <si>
    <t>23-Jul-22--24-Jul-22</t>
  </si>
  <si>
    <t>D-4765</t>
  </si>
  <si>
    <t>D-4766</t>
  </si>
  <si>
    <t>D-4767</t>
  </si>
  <si>
    <t>D-4768</t>
  </si>
  <si>
    <t>D-4769</t>
  </si>
  <si>
    <t>D-4770</t>
  </si>
  <si>
    <t>D-4771</t>
  </si>
  <si>
    <t>D-4772</t>
  </si>
  <si>
    <t>D-4773</t>
  </si>
  <si>
    <t>D-4774</t>
  </si>
  <si>
    <t>D-4775</t>
  </si>
  <si>
    <t>D-4776</t>
  </si>
  <si>
    <t>D-4777</t>
  </si>
  <si>
    <t>D-4778</t>
  </si>
  <si>
    <t>D-4779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</si>
  <si>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>CANCELADA</t>
    </r>
  </si>
  <si>
    <t>D-4780</t>
  </si>
  <si>
    <t>D-4781</t>
  </si>
  <si>
    <t>D-4782</t>
  </si>
  <si>
    <t>D-4783</t>
  </si>
  <si>
    <t>D-4784</t>
  </si>
  <si>
    <t>D-4785</t>
  </si>
  <si>
    <t>D-4786</t>
  </si>
  <si>
    <t>D-4787</t>
  </si>
  <si>
    <t>D-4788</t>
  </si>
  <si>
    <t>D-4789</t>
  </si>
  <si>
    <t>D-4790</t>
  </si>
  <si>
    <t>D-4791</t>
  </si>
  <si>
    <t>D-4792</t>
  </si>
  <si>
    <t>D-4793</t>
  </si>
  <si>
    <r>
      <t xml:space="preserve">(122)PATY FLORES  </t>
    </r>
    <r>
      <rPr>
        <b/>
        <sz val="12"/>
        <color rgb="FFFF0000"/>
        <rFont val="Calibri"/>
        <family val="2"/>
        <scheme val="minor"/>
      </rPr>
      <t>CANCELADA</t>
    </r>
  </si>
  <si>
    <t>falta Original y copia VERDE  Y ponen cancelada la 04916 D Original y copia verde</t>
  </si>
  <si>
    <t>D-4794</t>
  </si>
  <si>
    <t>D-4795</t>
  </si>
  <si>
    <t>D-4796</t>
  </si>
  <si>
    <t>D-4797</t>
  </si>
  <si>
    <t>D-4798</t>
  </si>
  <si>
    <t>D-4799</t>
  </si>
  <si>
    <t>D-4800</t>
  </si>
  <si>
    <t>D-4801</t>
  </si>
  <si>
    <t>D-4802</t>
  </si>
  <si>
    <t>D-4803</t>
  </si>
  <si>
    <t>D-4804</t>
  </si>
  <si>
    <t>D-4805</t>
  </si>
  <si>
    <t>D-4806</t>
  </si>
  <si>
    <t>D-4807</t>
  </si>
  <si>
    <t>D-4808</t>
  </si>
  <si>
    <t>D-4809</t>
  </si>
  <si>
    <t>D-4810</t>
  </si>
  <si>
    <t>D-4811</t>
  </si>
  <si>
    <t>D-4812</t>
  </si>
  <si>
    <t>D-4813</t>
  </si>
  <si>
    <t>D-4814</t>
  </si>
  <si>
    <t>D-4815</t>
  </si>
  <si>
    <t>D-4816</t>
  </si>
  <si>
    <r>
      <t xml:space="preserve">(678)MAURO LOPEZ XIMELLO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</si>
  <si>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D-4817</t>
  </si>
  <si>
    <t>D-4818</t>
  </si>
  <si>
    <t>D-4819</t>
  </si>
  <si>
    <t>D-4820</t>
  </si>
  <si>
    <t>D-4821</t>
  </si>
  <si>
    <t>D-4822</t>
  </si>
  <si>
    <t>D-4823</t>
  </si>
  <si>
    <t>D-4824</t>
  </si>
  <si>
    <t>D-4825</t>
  </si>
  <si>
    <r>
      <t xml:space="preserve">(679)JUANA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</si>
  <si>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D-4826</t>
  </si>
  <si>
    <t>D-4827</t>
  </si>
  <si>
    <t>D-4828</t>
  </si>
  <si>
    <t>D-4829</t>
  </si>
  <si>
    <t>D-4830</t>
  </si>
  <si>
    <t>D-4831</t>
  </si>
  <si>
    <t>D-4832</t>
  </si>
  <si>
    <t>D-4833</t>
  </si>
  <si>
    <t>D-4834</t>
  </si>
  <si>
    <t>D-4835</t>
  </si>
  <si>
    <t>D-4836</t>
  </si>
  <si>
    <t>D-4837</t>
  </si>
  <si>
    <t>D-4838</t>
  </si>
  <si>
    <t>D-4839</t>
  </si>
  <si>
    <t>D-4840</t>
  </si>
  <si>
    <t>D-4841</t>
  </si>
  <si>
    <t>D-4842</t>
  </si>
  <si>
    <t>D-4843</t>
  </si>
  <si>
    <t>D-4844</t>
  </si>
  <si>
    <t>D-4845</t>
  </si>
  <si>
    <t>D-4846</t>
  </si>
  <si>
    <t>D-4847</t>
  </si>
  <si>
    <t>D-4848</t>
  </si>
  <si>
    <t>D-4849</t>
  </si>
  <si>
    <t>D-4850</t>
  </si>
  <si>
    <t>24-Jul-22--25-Jul-22</t>
  </si>
  <si>
    <t>D-4851</t>
  </si>
  <si>
    <t>D-4852</t>
  </si>
  <si>
    <t>D-4853</t>
  </si>
  <si>
    <t>D-4854</t>
  </si>
  <si>
    <t>25-Jul-22--26-Jul-22--27-Jul-22</t>
  </si>
  <si>
    <t>D-4855</t>
  </si>
  <si>
    <t>26-Jul-22---27-Jul-22--28-Jul-22</t>
  </si>
  <si>
    <t>D-4856</t>
  </si>
  <si>
    <t>D-4857</t>
  </si>
  <si>
    <t>D-4858</t>
  </si>
  <si>
    <t>D-4859</t>
  </si>
  <si>
    <t>D-4860</t>
  </si>
  <si>
    <t>D-4861</t>
  </si>
  <si>
    <t>D-4862</t>
  </si>
  <si>
    <t>D-4863</t>
  </si>
  <si>
    <t>D-4864</t>
  </si>
  <si>
    <t>D-4865</t>
  </si>
  <si>
    <t>D-4866</t>
  </si>
  <si>
    <t>D-4867</t>
  </si>
  <si>
    <t>D-4868</t>
  </si>
  <si>
    <t>D-4869</t>
  </si>
  <si>
    <t>D-4870</t>
  </si>
  <si>
    <t>D-4871</t>
  </si>
  <si>
    <t>D-4872</t>
  </si>
  <si>
    <t>D-4873</t>
  </si>
  <si>
    <t>D-4874</t>
  </si>
  <si>
    <t>D-4875</t>
  </si>
  <si>
    <t>D-4876</t>
  </si>
  <si>
    <t>D-4877</t>
  </si>
  <si>
    <t>D-4878</t>
  </si>
  <si>
    <t>D-4879</t>
  </si>
  <si>
    <t>D-4880</t>
  </si>
  <si>
    <t>D-4881</t>
  </si>
  <si>
    <t>D-4882</t>
  </si>
  <si>
    <r>
      <t xml:space="preserve">(204)ABASTO DE 4 CARNES SUC. 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</si>
  <si>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4883 D</t>
  </si>
  <si>
    <t>D-4883</t>
  </si>
  <si>
    <t>D-4884</t>
  </si>
  <si>
    <t>D-4885</t>
  </si>
  <si>
    <t>D-4886</t>
  </si>
  <si>
    <t>D-4887</t>
  </si>
  <si>
    <t>D-4888</t>
  </si>
  <si>
    <t>D-4889</t>
  </si>
  <si>
    <t>D-4890</t>
  </si>
  <si>
    <t>D-4891</t>
  </si>
  <si>
    <t>D-4892</t>
  </si>
  <si>
    <t>D-4893</t>
  </si>
  <si>
    <t>D-4894</t>
  </si>
  <si>
    <t>D-4895</t>
  </si>
  <si>
    <t>D-4896</t>
  </si>
  <si>
    <t>D-4897</t>
  </si>
  <si>
    <t>D-4898</t>
  </si>
  <si>
    <t>D-4899</t>
  </si>
  <si>
    <t>D-4900</t>
  </si>
  <si>
    <t>D-4901</t>
  </si>
  <si>
    <t>D-4902</t>
  </si>
  <si>
    <t>D-4903</t>
  </si>
  <si>
    <t>D-4904</t>
  </si>
  <si>
    <t>D-4905</t>
  </si>
  <si>
    <t>D-4906</t>
  </si>
  <si>
    <t>D-4907</t>
  </si>
  <si>
    <t>D-4908</t>
  </si>
  <si>
    <t>D-4909</t>
  </si>
  <si>
    <t>D-4910</t>
  </si>
  <si>
    <t>D-4911</t>
  </si>
  <si>
    <t>D-4912</t>
  </si>
  <si>
    <t>D-4913</t>
  </si>
  <si>
    <t>D-4914</t>
  </si>
  <si>
    <t>D-4915</t>
  </si>
  <si>
    <t>D-4916</t>
  </si>
  <si>
    <t>D-4917</t>
  </si>
  <si>
    <t>D-4918</t>
  </si>
  <si>
    <t>D-4919</t>
  </si>
  <si>
    <t>D-4920</t>
  </si>
  <si>
    <t>D-4921</t>
  </si>
  <si>
    <t>D-4922</t>
  </si>
  <si>
    <t>D-4923</t>
  </si>
  <si>
    <t>D-4924</t>
  </si>
  <si>
    <t>D-4925</t>
  </si>
  <si>
    <t>D-4926</t>
  </si>
  <si>
    <t>D-4927</t>
  </si>
  <si>
    <t>D-4928</t>
  </si>
  <si>
    <t>D-4929</t>
  </si>
  <si>
    <t>D-4930</t>
  </si>
  <si>
    <t>D-4931</t>
  </si>
  <si>
    <r>
      <t xml:space="preserve">(415)VIKI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</si>
  <si>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4932 D</t>
  </si>
  <si>
    <t>D-4932</t>
  </si>
  <si>
    <t>D-4933</t>
  </si>
  <si>
    <t>D-4934</t>
  </si>
  <si>
    <t>D-4935</t>
  </si>
  <si>
    <t>D-4936</t>
  </si>
  <si>
    <t>D-4937</t>
  </si>
  <si>
    <t>D-4938</t>
  </si>
  <si>
    <t>D-4939</t>
  </si>
  <si>
    <t>D-4940</t>
  </si>
  <si>
    <t>D-4941</t>
  </si>
  <si>
    <t>D-4942</t>
  </si>
  <si>
    <t>D-4943</t>
  </si>
  <si>
    <t>D-4944</t>
  </si>
  <si>
    <t>D-4945</t>
  </si>
  <si>
    <t>D-4946</t>
  </si>
  <si>
    <t>D-4947</t>
  </si>
  <si>
    <t>D-4948</t>
  </si>
  <si>
    <t>D-4949</t>
  </si>
  <si>
    <t>D-4950</t>
  </si>
  <si>
    <t>D-4951</t>
  </si>
  <si>
    <t>D-4952</t>
  </si>
  <si>
    <t>D-4953</t>
  </si>
  <si>
    <t>D-4954</t>
  </si>
  <si>
    <t>D-4955</t>
  </si>
  <si>
    <t>23/07/2022</t>
  </si>
  <si>
    <t>D-4956</t>
  </si>
  <si>
    <t>D-4957</t>
  </si>
  <si>
    <t>se sustituyo x la 4958 D</t>
  </si>
  <si>
    <t>D-4958</t>
  </si>
  <si>
    <t>D-4959</t>
  </si>
  <si>
    <t>D-4960</t>
  </si>
  <si>
    <t>D-4961</t>
  </si>
  <si>
    <t>D-4962</t>
  </si>
  <si>
    <t>D-4963</t>
  </si>
  <si>
    <t>D-4964</t>
  </si>
  <si>
    <t>D-4965</t>
  </si>
  <si>
    <t>D-4966</t>
  </si>
  <si>
    <t>D-4967</t>
  </si>
  <si>
    <t>D-4968</t>
  </si>
  <si>
    <t>FISICA CANCELADA LA 04969 D</t>
  </si>
  <si>
    <t>D-4969</t>
  </si>
  <si>
    <t>D-4970</t>
  </si>
  <si>
    <t>D-4971</t>
  </si>
  <si>
    <t>D-4972</t>
  </si>
  <si>
    <t>D-4973</t>
  </si>
  <si>
    <t>D-4974</t>
  </si>
  <si>
    <t>D-4975</t>
  </si>
  <si>
    <t>D-4976</t>
  </si>
  <si>
    <t>D-4977</t>
  </si>
  <si>
    <t>D-4978</t>
  </si>
  <si>
    <t>D-4979</t>
  </si>
  <si>
    <t>D-4980</t>
  </si>
  <si>
    <t>D-4981</t>
  </si>
  <si>
    <t>D-4982</t>
  </si>
  <si>
    <t>D-4983</t>
  </si>
  <si>
    <t>D-4984</t>
  </si>
  <si>
    <t>D-4985</t>
  </si>
  <si>
    <t>25-Jul-22--27-Jul-22</t>
  </si>
  <si>
    <t>D-4986</t>
  </si>
  <si>
    <t>D-4987</t>
  </si>
  <si>
    <t>D-4988</t>
  </si>
  <si>
    <t>D-4989</t>
  </si>
  <si>
    <t>D-4990</t>
  </si>
  <si>
    <t>D-4991</t>
  </si>
  <si>
    <t>D-4992</t>
  </si>
  <si>
    <t>D-4993</t>
  </si>
  <si>
    <t>D-4994</t>
  </si>
  <si>
    <t>D-4995</t>
  </si>
  <si>
    <t>D-4996</t>
  </si>
  <si>
    <t>D-4997</t>
  </si>
  <si>
    <t>D-4998</t>
  </si>
  <si>
    <t>D-4999</t>
  </si>
  <si>
    <t>D-5000</t>
  </si>
  <si>
    <t>D-5001</t>
  </si>
  <si>
    <t>D-5002</t>
  </si>
  <si>
    <t>D-5003</t>
  </si>
  <si>
    <t>D-5004</t>
  </si>
  <si>
    <t>D-5005</t>
  </si>
  <si>
    <t>D-5006</t>
  </si>
  <si>
    <t>D-5007</t>
  </si>
  <si>
    <t>D-5008</t>
  </si>
  <si>
    <t>D-5009</t>
  </si>
  <si>
    <t>D-5010</t>
  </si>
  <si>
    <t>D-5011</t>
  </si>
  <si>
    <t>D-5012</t>
  </si>
  <si>
    <t>D-5013</t>
  </si>
  <si>
    <t>D-5014</t>
  </si>
  <si>
    <t>D-5015</t>
  </si>
  <si>
    <t>D-5016</t>
  </si>
  <si>
    <t>D-5017</t>
  </si>
  <si>
    <t>D-5018</t>
  </si>
  <si>
    <t>D-5019</t>
  </si>
  <si>
    <t>D-5020</t>
  </si>
  <si>
    <t>D-5021</t>
  </si>
  <si>
    <t>D-5022</t>
  </si>
  <si>
    <t>D-5023</t>
  </si>
  <si>
    <t>se sustituyo x la 5025 D</t>
  </si>
  <si>
    <t>D-5024</t>
  </si>
  <si>
    <t>D-5025</t>
  </si>
  <si>
    <t>27-Jul-22--28-Jul-22</t>
  </si>
  <si>
    <t>D-5026</t>
  </si>
  <si>
    <t>D-5027</t>
  </si>
  <si>
    <t>D-5028</t>
  </si>
  <si>
    <t>D-5029</t>
  </si>
  <si>
    <t>D-5030</t>
  </si>
  <si>
    <t>D-5031</t>
  </si>
  <si>
    <t>D-5032</t>
  </si>
  <si>
    <t>D-5033</t>
  </si>
  <si>
    <t>D-5034</t>
  </si>
  <si>
    <t>D-5035</t>
  </si>
  <si>
    <t>D-5036</t>
  </si>
  <si>
    <t>D-5037</t>
  </si>
  <si>
    <t>D-5038</t>
  </si>
  <si>
    <t>D-5039</t>
  </si>
  <si>
    <t>D-5040</t>
  </si>
  <si>
    <t>D-5041</t>
  </si>
  <si>
    <t>D-5042</t>
  </si>
  <si>
    <t>D-5043</t>
  </si>
  <si>
    <t>D-5044</t>
  </si>
  <si>
    <t>D-5045</t>
  </si>
  <si>
    <t>D-5046</t>
  </si>
  <si>
    <t>D-5047</t>
  </si>
  <si>
    <t>D-5048</t>
  </si>
  <si>
    <t>D-5049</t>
  </si>
  <si>
    <t>D-5050</t>
  </si>
  <si>
    <t>D-5051</t>
  </si>
  <si>
    <t>D-5052</t>
  </si>
  <si>
    <t>D-5053</t>
  </si>
  <si>
    <t>D-5054</t>
  </si>
  <si>
    <t>D-5055</t>
  </si>
  <si>
    <t>D-5056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</si>
  <si>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>CANCELADA</t>
    </r>
  </si>
  <si>
    <t>se sustituyo x la 5057 D</t>
  </si>
  <si>
    <t>D-5057</t>
  </si>
  <si>
    <t>D-5058</t>
  </si>
  <si>
    <t>D-5059</t>
  </si>
  <si>
    <t>26-Jul-22--27-Jul-22</t>
  </si>
  <si>
    <t>D-5060</t>
  </si>
  <si>
    <t>D-5061</t>
  </si>
  <si>
    <t>D-5062</t>
  </si>
  <si>
    <t>D-5063</t>
  </si>
  <si>
    <t>D-5064</t>
  </si>
  <si>
    <t>D-5065</t>
  </si>
  <si>
    <t>D-5066</t>
  </si>
  <si>
    <t>D-5067</t>
  </si>
  <si>
    <t>D-5068</t>
  </si>
  <si>
    <t>D-5069</t>
  </si>
  <si>
    <t>D-5070</t>
  </si>
  <si>
    <t>D-5071</t>
  </si>
  <si>
    <t>D-5072</t>
  </si>
  <si>
    <t>D-5073</t>
  </si>
  <si>
    <t>D-5074</t>
  </si>
  <si>
    <t>D-5075</t>
  </si>
  <si>
    <t>D-5076</t>
  </si>
  <si>
    <t>D-5077</t>
  </si>
  <si>
    <t>D-5078</t>
  </si>
  <si>
    <t>D-5079</t>
  </si>
  <si>
    <t>D-5080</t>
  </si>
  <si>
    <t>D-5081</t>
  </si>
  <si>
    <t>D-5082</t>
  </si>
  <si>
    <t>D-5083</t>
  </si>
  <si>
    <t>D-5084</t>
  </si>
  <si>
    <t>D-5085</t>
  </si>
  <si>
    <t>D-5086</t>
  </si>
  <si>
    <t>D-5087</t>
  </si>
  <si>
    <t>D-5088</t>
  </si>
  <si>
    <t>D-5089</t>
  </si>
  <si>
    <t>D-5090</t>
  </si>
  <si>
    <t>D-5091</t>
  </si>
  <si>
    <t>D-5092</t>
  </si>
  <si>
    <t>D-5093</t>
  </si>
  <si>
    <t>D-5094</t>
  </si>
  <si>
    <t>D-5095</t>
  </si>
  <si>
    <t>D-5096</t>
  </si>
  <si>
    <t>D-5097</t>
  </si>
  <si>
    <t>D-5098</t>
  </si>
  <si>
    <t>D-5099</t>
  </si>
  <si>
    <t>D-5100</t>
  </si>
  <si>
    <t>se sustituyo x la 5103 D</t>
  </si>
  <si>
    <t>D-5101</t>
  </si>
  <si>
    <t>D-5102</t>
  </si>
  <si>
    <t>D-5103</t>
  </si>
  <si>
    <t>D-5104</t>
  </si>
  <si>
    <t>D-5105</t>
  </si>
  <si>
    <t>D-5106</t>
  </si>
  <si>
    <t>D-5107</t>
  </si>
  <si>
    <t>D-5108</t>
  </si>
  <si>
    <t>D-5109</t>
  </si>
  <si>
    <t>D-5110</t>
  </si>
  <si>
    <t>D-5111</t>
  </si>
  <si>
    <t>D-5112</t>
  </si>
  <si>
    <t>D-5113</t>
  </si>
  <si>
    <t>D-5114</t>
  </si>
  <si>
    <t>D-5115</t>
  </si>
  <si>
    <t>D-5116</t>
  </si>
  <si>
    <t>D-5117</t>
  </si>
  <si>
    <t>D-5118</t>
  </si>
  <si>
    <t>D-5119</t>
  </si>
  <si>
    <t>D-5120</t>
  </si>
  <si>
    <t>D-5121</t>
  </si>
  <si>
    <t>D-5122</t>
  </si>
  <si>
    <t>D-5123</t>
  </si>
  <si>
    <t>D-5124</t>
  </si>
  <si>
    <t>D-5125</t>
  </si>
  <si>
    <t>D-5126</t>
  </si>
  <si>
    <t>D-5127</t>
  </si>
  <si>
    <t>D-5128</t>
  </si>
  <si>
    <t>D-5129</t>
  </si>
  <si>
    <t>D-5130</t>
  </si>
  <si>
    <t>D-5131</t>
  </si>
  <si>
    <t>D-5132</t>
  </si>
  <si>
    <t>D-5133</t>
  </si>
  <si>
    <t>D-5134</t>
  </si>
  <si>
    <t>D-5135</t>
  </si>
  <si>
    <t>D-5136</t>
  </si>
  <si>
    <t>D-5137</t>
  </si>
  <si>
    <t>D-5138</t>
  </si>
  <si>
    <t>D-5139</t>
  </si>
  <si>
    <t>D-5140</t>
  </si>
  <si>
    <t>D-5141</t>
  </si>
  <si>
    <t>D-5142</t>
  </si>
  <si>
    <t>D-5143</t>
  </si>
  <si>
    <t>D-5144</t>
  </si>
  <si>
    <t>D-5145</t>
  </si>
  <si>
    <t>D-5146</t>
  </si>
  <si>
    <t>D-5147</t>
  </si>
  <si>
    <t>D-5148</t>
  </si>
  <si>
    <t>D-5149</t>
  </si>
  <si>
    <t>D-5150</t>
  </si>
  <si>
    <t>D-5151</t>
  </si>
  <si>
    <t>D-5152</t>
  </si>
  <si>
    <t>D-5153</t>
  </si>
  <si>
    <t>D-5154</t>
  </si>
  <si>
    <t>D-5155</t>
  </si>
  <si>
    <t>27-Jul-22--29-Jul-22</t>
  </si>
  <si>
    <t>D-5156</t>
  </si>
  <si>
    <t>D-5157</t>
  </si>
  <si>
    <t>D-5158</t>
  </si>
  <si>
    <t>D-5159</t>
  </si>
  <si>
    <t>D-5160</t>
  </si>
  <si>
    <t>D-5161</t>
  </si>
  <si>
    <t>D-5162</t>
  </si>
  <si>
    <t>D-5163</t>
  </si>
  <si>
    <t>D-5164</t>
  </si>
  <si>
    <t>D-5165</t>
  </si>
  <si>
    <t>D-5166</t>
  </si>
  <si>
    <t>D-5167</t>
  </si>
  <si>
    <t>D-5168</t>
  </si>
  <si>
    <t>D-5169</t>
  </si>
  <si>
    <t>D-5170</t>
  </si>
  <si>
    <t>D-5171</t>
  </si>
  <si>
    <t>D-5172</t>
  </si>
  <si>
    <t>D-5173</t>
  </si>
  <si>
    <t>D-5174</t>
  </si>
  <si>
    <t>D-5175</t>
  </si>
  <si>
    <t>D-5176</t>
  </si>
  <si>
    <t>D-5177</t>
  </si>
  <si>
    <t>D-5178</t>
  </si>
  <si>
    <t>D-5179</t>
  </si>
  <si>
    <t>D-5180</t>
  </si>
  <si>
    <t>D-5181</t>
  </si>
  <si>
    <t>D-5182</t>
  </si>
  <si>
    <t>D-5183</t>
  </si>
  <si>
    <t>D-5184</t>
  </si>
  <si>
    <t>D-5185</t>
  </si>
  <si>
    <t>D-5186</t>
  </si>
  <si>
    <t>D-5187</t>
  </si>
  <si>
    <t>D-5188</t>
  </si>
  <si>
    <t>D-5189</t>
  </si>
  <si>
    <t>D-5190</t>
  </si>
  <si>
    <t>D-5191</t>
  </si>
  <si>
    <t>D-5192</t>
  </si>
  <si>
    <t>D-5193</t>
  </si>
  <si>
    <t>D-5194</t>
  </si>
  <si>
    <t>D-5195</t>
  </si>
  <si>
    <t>D-5196</t>
  </si>
  <si>
    <t>D-5197</t>
  </si>
  <si>
    <t>D-5198</t>
  </si>
  <si>
    <t>D-5199</t>
  </si>
  <si>
    <t>D-5200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</si>
  <si>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</si>
  <si>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5217 D</t>
  </si>
  <si>
    <t>D-5201</t>
  </si>
  <si>
    <t>D-5202</t>
  </si>
  <si>
    <t>D-5203</t>
  </si>
  <si>
    <t>D-5204</t>
  </si>
  <si>
    <t>D-5205</t>
  </si>
  <si>
    <t>D-5206</t>
  </si>
  <si>
    <t>D-5207</t>
  </si>
  <si>
    <t>D-5208</t>
  </si>
  <si>
    <t>D-5209</t>
  </si>
  <si>
    <t>D-5210</t>
  </si>
  <si>
    <t>D-5211</t>
  </si>
  <si>
    <t>D-5212</t>
  </si>
  <si>
    <t>D-5213</t>
  </si>
  <si>
    <t>D-5214</t>
  </si>
  <si>
    <t>D-5215</t>
  </si>
  <si>
    <t>D-5216</t>
  </si>
  <si>
    <t>D-5217</t>
  </si>
  <si>
    <t>D-5218</t>
  </si>
  <si>
    <t>D-5219</t>
  </si>
  <si>
    <t>D-5220</t>
  </si>
  <si>
    <t>D-5221</t>
  </si>
  <si>
    <t>D-5222</t>
  </si>
  <si>
    <t>D-5223</t>
  </si>
  <si>
    <t>D-5224</t>
  </si>
  <si>
    <t>D-5225</t>
  </si>
  <si>
    <t>D-5226</t>
  </si>
  <si>
    <t>D-5227</t>
  </si>
  <si>
    <t>D-5228</t>
  </si>
  <si>
    <t>28-Jul-22---29-Jul-22</t>
  </si>
  <si>
    <t>D-5229</t>
  </si>
  <si>
    <t>D-5230</t>
  </si>
  <si>
    <t>D-5231</t>
  </si>
  <si>
    <t>D-5232</t>
  </si>
  <si>
    <t>D-5233</t>
  </si>
  <si>
    <t>D-5234</t>
  </si>
  <si>
    <t>D-5235</t>
  </si>
  <si>
    <t>D-5236</t>
  </si>
  <si>
    <t>D-5237</t>
  </si>
  <si>
    <t>D-5238</t>
  </si>
  <si>
    <t>D-5239</t>
  </si>
  <si>
    <t>D-5240</t>
  </si>
  <si>
    <t>D-5241</t>
  </si>
  <si>
    <t>D-5242</t>
  </si>
  <si>
    <t>D-5243</t>
  </si>
  <si>
    <t>D-5244</t>
  </si>
  <si>
    <t>D-5245</t>
  </si>
  <si>
    <t>D-5246</t>
  </si>
  <si>
    <t>D-5247</t>
  </si>
  <si>
    <t>D-5248</t>
  </si>
  <si>
    <t>D-5249</t>
  </si>
  <si>
    <t>D-5250</t>
  </si>
  <si>
    <t>D-5251</t>
  </si>
  <si>
    <t>D-5252</t>
  </si>
  <si>
    <t>D-5253</t>
  </si>
  <si>
    <t>D-5254</t>
  </si>
  <si>
    <t>D-5255</t>
  </si>
  <si>
    <t>D-5256</t>
  </si>
  <si>
    <t>D-5257</t>
  </si>
  <si>
    <t>D-5258</t>
  </si>
  <si>
    <t>D-5259</t>
  </si>
  <si>
    <t>D-5260</t>
  </si>
  <si>
    <t>D-5261</t>
  </si>
  <si>
    <t>D-5262</t>
  </si>
  <si>
    <t>D-5263</t>
  </si>
  <si>
    <t>D-5264</t>
  </si>
  <si>
    <t>D-5265</t>
  </si>
  <si>
    <t>D-5266</t>
  </si>
  <si>
    <t>D-5267</t>
  </si>
  <si>
    <t>D-5268</t>
  </si>
  <si>
    <t>D-5269</t>
  </si>
  <si>
    <t>D-5270</t>
  </si>
  <si>
    <t>D-5271</t>
  </si>
  <si>
    <t>D-5272</t>
  </si>
  <si>
    <t>D-5273</t>
  </si>
  <si>
    <t>D-5274</t>
  </si>
  <si>
    <t>D-5275</t>
  </si>
  <si>
    <t>D-5276</t>
  </si>
  <si>
    <t>D-5277</t>
  </si>
  <si>
    <t>D-5278</t>
  </si>
  <si>
    <t>D-5279</t>
  </si>
  <si>
    <t>D-5280</t>
  </si>
  <si>
    <t>D-5281</t>
  </si>
  <si>
    <t>D-5282</t>
  </si>
  <si>
    <t>D-5283</t>
  </si>
  <si>
    <t>D-5284</t>
  </si>
  <si>
    <t>D-5285</t>
  </si>
  <si>
    <t>D-5286</t>
  </si>
  <si>
    <t>D-5287</t>
  </si>
  <si>
    <t>D-5288</t>
  </si>
  <si>
    <t>D-5289</t>
  </si>
  <si>
    <t>D-5290</t>
  </si>
  <si>
    <t>D-5291</t>
  </si>
  <si>
    <t>D-5292</t>
  </si>
  <si>
    <t>D-5293</t>
  </si>
  <si>
    <t>D-5294</t>
  </si>
  <si>
    <t>D-5295</t>
  </si>
  <si>
    <t>D-5296</t>
  </si>
  <si>
    <t>D-5297</t>
  </si>
  <si>
    <t>D-5298</t>
  </si>
  <si>
    <t>D-5299</t>
  </si>
  <si>
    <t>D-5300</t>
  </si>
  <si>
    <t>D-5301</t>
  </si>
  <si>
    <t>D-5302</t>
  </si>
  <si>
    <t>D-5303</t>
  </si>
  <si>
    <t>D-5304</t>
  </si>
  <si>
    <t>D-5305</t>
  </si>
  <si>
    <t>D-5306</t>
  </si>
  <si>
    <t>D-5307</t>
  </si>
  <si>
    <t>D-5308</t>
  </si>
  <si>
    <t>D-5309</t>
  </si>
  <si>
    <t>D-5310</t>
  </si>
  <si>
    <t>D-5311</t>
  </si>
  <si>
    <t>D-5312</t>
  </si>
  <si>
    <t>D-5313</t>
  </si>
  <si>
    <t>D-5314</t>
  </si>
  <si>
    <t>D-5315</t>
  </si>
  <si>
    <t>D-5316</t>
  </si>
  <si>
    <t>D-5317</t>
  </si>
  <si>
    <t>D-5318</t>
  </si>
  <si>
    <t>D-5319</t>
  </si>
  <si>
    <t>D-5320</t>
  </si>
  <si>
    <t>D-5321</t>
  </si>
  <si>
    <t>D-5322</t>
  </si>
  <si>
    <t>D-5323</t>
  </si>
  <si>
    <t>29-Jul-22--30-Jul-22</t>
  </si>
  <si>
    <t>D-5324</t>
  </si>
  <si>
    <t>D-5325</t>
  </si>
  <si>
    <t>D-5326</t>
  </si>
  <si>
    <t>D-5327</t>
  </si>
  <si>
    <t>D-5328</t>
  </si>
  <si>
    <t>D-5329</t>
  </si>
  <si>
    <t>D-5330</t>
  </si>
  <si>
    <t>D-5331</t>
  </si>
  <si>
    <t>D-5332</t>
  </si>
  <si>
    <t>D-5333</t>
  </si>
  <si>
    <t>D-5334</t>
  </si>
  <si>
    <t>D-5335</t>
  </si>
  <si>
    <t>D-5336</t>
  </si>
  <si>
    <t>D-5337</t>
  </si>
  <si>
    <t>D-5338</t>
  </si>
  <si>
    <t>D-5339</t>
  </si>
  <si>
    <t>D-5340</t>
  </si>
  <si>
    <t>D-5341</t>
  </si>
  <si>
    <t>D-5342</t>
  </si>
  <si>
    <t>D-5343</t>
  </si>
  <si>
    <t>D-5344</t>
  </si>
  <si>
    <t>D-5345</t>
  </si>
  <si>
    <t>D-5346</t>
  </si>
  <si>
    <t>D-5347</t>
  </si>
  <si>
    <t>D-5348</t>
  </si>
  <si>
    <t>D-5349</t>
  </si>
  <si>
    <t>D-5350</t>
  </si>
  <si>
    <t>D-5351</t>
  </si>
  <si>
    <t>D-5352</t>
  </si>
  <si>
    <t>D-5353</t>
  </si>
  <si>
    <t>D-5354</t>
  </si>
  <si>
    <t>D-5355</t>
  </si>
  <si>
    <t>D-5356</t>
  </si>
  <si>
    <t>D-5357</t>
  </si>
  <si>
    <t>D-5358</t>
  </si>
  <si>
    <t>D-5359</t>
  </si>
  <si>
    <t>D-5360</t>
  </si>
  <si>
    <t>D-5361</t>
  </si>
  <si>
    <t>D-5362</t>
  </si>
  <si>
    <t>D-5363</t>
  </si>
  <si>
    <t>D-5364</t>
  </si>
  <si>
    <t>D-5365</t>
  </si>
  <si>
    <t>D-5366</t>
  </si>
  <si>
    <t>D-5367</t>
  </si>
  <si>
    <t>D-5368</t>
  </si>
  <si>
    <t>D-5369</t>
  </si>
  <si>
    <t>D-5370</t>
  </si>
  <si>
    <t>D-5371</t>
  </si>
  <si>
    <t>D-5372</t>
  </si>
  <si>
    <t>D-5373</t>
  </si>
  <si>
    <t>D-5374</t>
  </si>
  <si>
    <t>28-Jul-22--30-Jul-22</t>
  </si>
  <si>
    <t>D-5375</t>
  </si>
  <si>
    <t>D-5376</t>
  </si>
  <si>
    <t>D-5377</t>
  </si>
  <si>
    <t>(871)CESAR FLORES</t>
  </si>
  <si>
    <t>D-5378</t>
  </si>
  <si>
    <t>D-5379</t>
  </si>
  <si>
    <t>D-5380</t>
  </si>
  <si>
    <t>D-5381</t>
  </si>
  <si>
    <t>D-5382</t>
  </si>
  <si>
    <t>D-5383</t>
  </si>
  <si>
    <t>D-5384</t>
  </si>
  <si>
    <t>D-5385</t>
  </si>
  <si>
    <t>D-5386</t>
  </si>
  <si>
    <t>D-5387</t>
  </si>
  <si>
    <t>D-5388</t>
  </si>
  <si>
    <t>D-5389</t>
  </si>
  <si>
    <t>D-5390</t>
  </si>
  <si>
    <t>D-5391</t>
  </si>
  <si>
    <t>D-5392</t>
  </si>
  <si>
    <t>D-5393</t>
  </si>
  <si>
    <t>D-5394</t>
  </si>
  <si>
    <t>D-5395</t>
  </si>
  <si>
    <t>D-5396</t>
  </si>
  <si>
    <t>D-5397</t>
  </si>
  <si>
    <t>D-5398</t>
  </si>
  <si>
    <t>D-5399</t>
  </si>
  <si>
    <t>D-5400</t>
  </si>
  <si>
    <t>D-5401</t>
  </si>
  <si>
    <t>D-5402</t>
  </si>
  <si>
    <t>D-5403</t>
  </si>
  <si>
    <t>D-5404</t>
  </si>
  <si>
    <t>D-5405</t>
  </si>
  <si>
    <t>D-5406</t>
  </si>
  <si>
    <t>D-5407</t>
  </si>
  <si>
    <t>D-5408</t>
  </si>
  <si>
    <t>D-5409</t>
  </si>
  <si>
    <t>D-5410</t>
  </si>
  <si>
    <t>D-5411</t>
  </si>
  <si>
    <t>D-5412</t>
  </si>
  <si>
    <t>D-5413</t>
  </si>
  <si>
    <t>D-5414</t>
  </si>
  <si>
    <t>D-5415</t>
  </si>
  <si>
    <t>D-5416</t>
  </si>
  <si>
    <t>D-5417</t>
  </si>
  <si>
    <t>D-5418</t>
  </si>
  <si>
    <t>D-5419</t>
  </si>
  <si>
    <t>D-5420</t>
  </si>
  <si>
    <t>D-5421</t>
  </si>
  <si>
    <t>D-5422</t>
  </si>
  <si>
    <t>D-5423</t>
  </si>
  <si>
    <t>D-5424</t>
  </si>
  <si>
    <t>30-Jul-22--31-Jul-22</t>
  </si>
  <si>
    <t>D-5425</t>
  </si>
  <si>
    <t>D-5426</t>
  </si>
  <si>
    <t>D-5427</t>
  </si>
  <si>
    <t>D-5428</t>
  </si>
  <si>
    <t>D-5429</t>
  </si>
  <si>
    <t>D-5430</t>
  </si>
  <si>
    <t>D-5431</t>
  </si>
  <si>
    <t>D-5432</t>
  </si>
  <si>
    <t>D-5433</t>
  </si>
  <si>
    <t>D-5434</t>
  </si>
  <si>
    <t>D-5435</t>
  </si>
  <si>
    <t>D-5436</t>
  </si>
  <si>
    <t>D-5437</t>
  </si>
  <si>
    <t>D-5438</t>
  </si>
  <si>
    <t>D-5439</t>
  </si>
  <si>
    <t>D-5440</t>
  </si>
  <si>
    <t>D-5441</t>
  </si>
  <si>
    <t>D-5442</t>
  </si>
  <si>
    <t>D-5443</t>
  </si>
  <si>
    <t>D-5444</t>
  </si>
  <si>
    <t>D-5445</t>
  </si>
  <si>
    <t>D-5446</t>
  </si>
  <si>
    <t>(677)MAX</t>
  </si>
  <si>
    <t>D-5447</t>
  </si>
  <si>
    <t>D-5448</t>
  </si>
  <si>
    <t>D-5449</t>
  </si>
  <si>
    <t>D-5450</t>
  </si>
  <si>
    <t>D-5451</t>
  </si>
  <si>
    <t>D-5452</t>
  </si>
  <si>
    <t>D-5453</t>
  </si>
  <si>
    <t>D-5454</t>
  </si>
  <si>
    <t>D-5455</t>
  </si>
  <si>
    <t>D-5456</t>
  </si>
  <si>
    <t>D-5457</t>
  </si>
  <si>
    <t>D-5458</t>
  </si>
  <si>
    <t>D-5459</t>
  </si>
  <si>
    <t>D-5460</t>
  </si>
  <si>
    <t>D-5461</t>
  </si>
  <si>
    <t>D-5462</t>
  </si>
  <si>
    <t>D-5463</t>
  </si>
  <si>
    <t>D-5464</t>
  </si>
  <si>
    <t>D-5465</t>
  </si>
  <si>
    <r>
      <t>(746)CARLOS CASTRO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</si>
  <si>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D-5466</t>
  </si>
  <si>
    <t>D-5467</t>
  </si>
  <si>
    <t>D-5468</t>
  </si>
  <si>
    <t>D-5469</t>
  </si>
  <si>
    <t>D-5470</t>
  </si>
  <si>
    <t>D-5471</t>
  </si>
  <si>
    <t>D-5472</t>
  </si>
  <si>
    <t>D-5473</t>
  </si>
  <si>
    <t>D-5474</t>
  </si>
  <si>
    <t>D-5475</t>
  </si>
  <si>
    <t>D-5476</t>
  </si>
  <si>
    <t>D-5477</t>
  </si>
  <si>
    <t>D-5478</t>
  </si>
  <si>
    <t>D-5479</t>
  </si>
  <si>
    <t>D-5480</t>
  </si>
  <si>
    <t>D-5481</t>
  </si>
  <si>
    <t>D-5482</t>
  </si>
  <si>
    <t>D-5483</t>
  </si>
  <si>
    <t>D-5484</t>
  </si>
  <si>
    <t>D-5485</t>
  </si>
  <si>
    <t>D-5486</t>
  </si>
  <si>
    <t>D-5487</t>
  </si>
  <si>
    <t>D-5488</t>
  </si>
  <si>
    <t>D-5489</t>
  </si>
  <si>
    <t>D-5490</t>
  </si>
  <si>
    <t>D-5491</t>
  </si>
  <si>
    <t>D-5492</t>
  </si>
  <si>
    <t>D-5493</t>
  </si>
  <si>
    <t>D-5494</t>
  </si>
  <si>
    <t>D-5495</t>
  </si>
  <si>
    <t>D-5496</t>
  </si>
  <si>
    <t>D-5497</t>
  </si>
  <si>
    <t>D-5498</t>
  </si>
  <si>
    <t>D-5499</t>
  </si>
  <si>
    <t>D-5500</t>
  </si>
  <si>
    <t>D-5501</t>
  </si>
  <si>
    <t>D-5502</t>
  </si>
  <si>
    <t>D-5503</t>
  </si>
  <si>
    <t>D-5504</t>
  </si>
  <si>
    <t>D-5505</t>
  </si>
  <si>
    <t>D-5506</t>
  </si>
  <si>
    <t>D-5507</t>
  </si>
  <si>
    <t>D-5508</t>
  </si>
  <si>
    <t>D-5509</t>
  </si>
  <si>
    <t>se sustituyo x la 5510 D</t>
  </si>
  <si>
    <t>D-5510</t>
  </si>
  <si>
    <t>D-5511</t>
  </si>
  <si>
    <t>D-5512</t>
  </si>
  <si>
    <t>D-5513</t>
  </si>
  <si>
    <t>D-5514</t>
  </si>
  <si>
    <t>D-5515</t>
  </si>
  <si>
    <t>D-5516</t>
  </si>
  <si>
    <t>D-5517</t>
  </si>
  <si>
    <t>D-5518</t>
  </si>
  <si>
    <t>D-5519</t>
  </si>
  <si>
    <t>D-5520</t>
  </si>
  <si>
    <t>D-5521</t>
  </si>
  <si>
    <t>D-5522</t>
  </si>
  <si>
    <t>D-5523</t>
  </si>
  <si>
    <t>D-5524</t>
  </si>
  <si>
    <t>D-5525</t>
  </si>
  <si>
    <t>D-5526</t>
  </si>
  <si>
    <t>D-5527</t>
  </si>
  <si>
    <t>D-5528</t>
  </si>
  <si>
    <t>D-5529</t>
  </si>
  <si>
    <t>D-5530</t>
  </si>
  <si>
    <t>D-5531</t>
  </si>
  <si>
    <t>D-5532</t>
  </si>
  <si>
    <t>D-5533</t>
  </si>
  <si>
    <t>D-5534</t>
  </si>
  <si>
    <t>D-5535</t>
  </si>
  <si>
    <t>D-5536</t>
  </si>
  <si>
    <t>D-5537</t>
  </si>
  <si>
    <t>D-5538</t>
  </si>
  <si>
    <t>D-5539</t>
  </si>
  <si>
    <t>D-5540</t>
  </si>
  <si>
    <t>D-5541</t>
  </si>
  <si>
    <t>D-5542</t>
  </si>
  <si>
    <t>D-5543</t>
  </si>
  <si>
    <t>D-5544</t>
  </si>
  <si>
    <t>D-5545</t>
  </si>
  <si>
    <t>D-5546</t>
  </si>
  <si>
    <t>D-5547</t>
  </si>
  <si>
    <t>D-5548</t>
  </si>
  <si>
    <t>D-5549</t>
  </si>
  <si>
    <t>D-5550</t>
  </si>
  <si>
    <t>D-5551</t>
  </si>
  <si>
    <t>D-5552</t>
  </si>
  <si>
    <t>D-5553</t>
  </si>
  <si>
    <t>D-5554</t>
  </si>
  <si>
    <t>D-5555</t>
  </si>
  <si>
    <t>D-5556</t>
  </si>
  <si>
    <t>D-5557</t>
  </si>
  <si>
    <t>D-5558</t>
  </si>
  <si>
    <t>D-5559</t>
  </si>
  <si>
    <t>D-5560</t>
  </si>
  <si>
    <t>D-5561</t>
  </si>
  <si>
    <t>D-5562</t>
  </si>
  <si>
    <t>D-5563</t>
  </si>
  <si>
    <t>D-5564</t>
  </si>
  <si>
    <t>D-5565</t>
  </si>
  <si>
    <r>
      <t xml:space="preserve">(268)BURRO NORTEÑO  </t>
    </r>
    <r>
      <rPr>
        <b/>
        <sz val="12"/>
        <color rgb="FFFF0000"/>
        <rFont val="Calibri"/>
        <family val="2"/>
        <scheme val="minor"/>
      </rPr>
      <t>CANCELADA</t>
    </r>
  </si>
  <si>
    <t>se sustituyo x la 5567 D</t>
  </si>
  <si>
    <t>D-5566</t>
  </si>
  <si>
    <t>D-5567</t>
  </si>
  <si>
    <t>D-5568</t>
  </si>
  <si>
    <t>D-5569</t>
  </si>
  <si>
    <t>D-5570</t>
  </si>
  <si>
    <t>D-5571</t>
  </si>
  <si>
    <t>D-5572</t>
  </si>
  <si>
    <t>D-5573</t>
  </si>
  <si>
    <t>D-5574</t>
  </si>
  <si>
    <t>D-5575</t>
  </si>
  <si>
    <t>D-5576</t>
  </si>
  <si>
    <t>D-5577</t>
  </si>
  <si>
    <t>D-5578</t>
  </si>
  <si>
    <t>D-5579</t>
  </si>
  <si>
    <t>D-5580</t>
  </si>
  <si>
    <t>D-5581</t>
  </si>
  <si>
    <t>D-5582</t>
  </si>
  <si>
    <t>D-5583</t>
  </si>
  <si>
    <t>D-5584</t>
  </si>
  <si>
    <t>D-5585</t>
  </si>
  <si>
    <t>D-5586</t>
  </si>
  <si>
    <t>D-5587</t>
  </si>
  <si>
    <t>D-5588</t>
  </si>
  <si>
    <t>D-5589</t>
  </si>
  <si>
    <t>D-5590</t>
  </si>
  <si>
    <t>D-5591</t>
  </si>
  <si>
    <t>D-5592</t>
  </si>
  <si>
    <t>D-5593</t>
  </si>
  <si>
    <t>D-5594</t>
  </si>
  <si>
    <t>D-5595</t>
  </si>
  <si>
    <t>D-5596</t>
  </si>
  <si>
    <t>D-5597</t>
  </si>
  <si>
    <t>D-5598</t>
  </si>
  <si>
    <t>D-5599</t>
  </si>
  <si>
    <t>D-5600</t>
  </si>
  <si>
    <t>D-5601</t>
  </si>
  <si>
    <t>D-5602</t>
  </si>
  <si>
    <t>D-5603</t>
  </si>
  <si>
    <t>D-5604</t>
  </si>
  <si>
    <t>D-5605</t>
  </si>
  <si>
    <t>D-5606</t>
  </si>
  <si>
    <t>D-5607</t>
  </si>
  <si>
    <t>D-5608</t>
  </si>
  <si>
    <t>D-5609</t>
  </si>
  <si>
    <t>D-5610</t>
  </si>
  <si>
    <t>D-5611</t>
  </si>
  <si>
    <t>D-5612</t>
  </si>
  <si>
    <t>D-5613</t>
  </si>
  <si>
    <t>D-5614</t>
  </si>
  <si>
    <t>D-5615</t>
  </si>
  <si>
    <t>D-5616</t>
  </si>
  <si>
    <t>D-5617</t>
  </si>
  <si>
    <t>D-5618</t>
  </si>
  <si>
    <t>D-5619</t>
  </si>
  <si>
    <t>D-5620</t>
  </si>
  <si>
    <t>D-5621</t>
  </si>
  <si>
    <t>D-5622</t>
  </si>
  <si>
    <t>D-5623</t>
  </si>
  <si>
    <t>D-5624</t>
  </si>
  <si>
    <t>D-5625</t>
  </si>
  <si>
    <t>D-5626</t>
  </si>
  <si>
    <t>D-5627</t>
  </si>
  <si>
    <t>se sustituyo x la 5629 D</t>
  </si>
  <si>
    <t>D-5628</t>
  </si>
  <si>
    <t>D-5629</t>
  </si>
  <si>
    <t>D-5630</t>
  </si>
  <si>
    <t>D-5631</t>
  </si>
  <si>
    <t>D-5632</t>
  </si>
  <si>
    <t>D-5633</t>
  </si>
  <si>
    <t>D-5634</t>
  </si>
  <si>
    <t>D-5635</t>
  </si>
  <si>
    <t>D-5636</t>
  </si>
  <si>
    <t>D-5637</t>
  </si>
  <si>
    <t>D-5638</t>
  </si>
  <si>
    <t>D-5639</t>
  </si>
  <si>
    <t>D-5640</t>
  </si>
  <si>
    <t>D-5641</t>
  </si>
  <si>
    <t>D-5642</t>
  </si>
  <si>
    <t>D-5643</t>
  </si>
  <si>
    <t>D-5644</t>
  </si>
  <si>
    <t>D-5645</t>
  </si>
  <si>
    <t>D-5646</t>
  </si>
  <si>
    <t>D-5647</t>
  </si>
  <si>
    <t>D-5648</t>
  </si>
  <si>
    <t>D-5649</t>
  </si>
  <si>
    <t>D-5650</t>
  </si>
  <si>
    <t>D-5651</t>
  </si>
  <si>
    <t>D-5652</t>
  </si>
  <si>
    <t>D-5653</t>
  </si>
  <si>
    <t>D-5654</t>
  </si>
  <si>
    <t>D-5655</t>
  </si>
  <si>
    <t>D-5656</t>
  </si>
  <si>
    <t>D-5657</t>
  </si>
  <si>
    <t>D-5658</t>
  </si>
  <si>
    <t>D-5659</t>
  </si>
  <si>
    <t>D-5660</t>
  </si>
  <si>
    <t>D-5661</t>
  </si>
  <si>
    <t>D-5662</t>
  </si>
  <si>
    <t>D-5663</t>
  </si>
  <si>
    <t>D-5664</t>
  </si>
  <si>
    <t>D-5665</t>
  </si>
  <si>
    <t>D-5666</t>
  </si>
  <si>
    <t>D-5667</t>
  </si>
  <si>
    <t>D-5668</t>
  </si>
  <si>
    <t>D-5669</t>
  </si>
  <si>
    <t>D-5670</t>
  </si>
  <si>
    <t>D-5671</t>
  </si>
  <si>
    <t>D-5672</t>
  </si>
  <si>
    <t>D-5673</t>
  </si>
  <si>
    <t>D-5674</t>
  </si>
  <si>
    <t>D-5675</t>
  </si>
  <si>
    <t>D-5676</t>
  </si>
  <si>
    <t>D-5677</t>
  </si>
  <si>
    <t>D-5678</t>
  </si>
  <si>
    <t>D-5679</t>
  </si>
  <si>
    <t>D-5680</t>
  </si>
  <si>
    <t>D-5681</t>
  </si>
  <si>
    <t>D-5682</t>
  </si>
  <si>
    <t>D-5683</t>
  </si>
  <si>
    <t>D-5684</t>
  </si>
  <si>
    <t>D-5685</t>
  </si>
  <si>
    <t>D-5686</t>
  </si>
  <si>
    <t>D-5687</t>
  </si>
  <si>
    <t>D-5688</t>
  </si>
  <si>
    <t>D-5689</t>
  </si>
  <si>
    <t>D-5690</t>
  </si>
  <si>
    <t>D-5691</t>
  </si>
  <si>
    <t>(754)BENITO MOLEROS</t>
  </si>
  <si>
    <t>D-5692</t>
  </si>
  <si>
    <t>D-5693</t>
  </si>
  <si>
    <t>D-5694</t>
  </si>
  <si>
    <t>D-5695</t>
  </si>
  <si>
    <t>D-5696</t>
  </si>
  <si>
    <t>D-5697</t>
  </si>
  <si>
    <t xml:space="preserve">TOTAL  </t>
  </si>
  <si>
    <t>30-Jul-22--1-Ago-22</t>
  </si>
  <si>
    <t>31-Jul-22--1-Ago-22</t>
  </si>
  <si>
    <t>1-Ago-22--2-Ago-22</t>
  </si>
  <si>
    <t>28-Jul-22--3-Ago-22</t>
  </si>
  <si>
    <t>1-Ago-22--2-Ago-22--3-Ago-22</t>
  </si>
  <si>
    <t>1-Ago-22--3-Ago-22</t>
  </si>
  <si>
    <t>31-Jul-22--5-Ago-22</t>
  </si>
  <si>
    <r>
      <t xml:space="preserve">(717)ALFREDO RAMIREZ  </t>
    </r>
    <r>
      <rPr>
        <b/>
        <sz val="12"/>
        <color rgb="FFFF0000"/>
        <rFont val="Calibri"/>
        <family val="2"/>
        <scheme val="minor"/>
      </rPr>
      <t>CANCELADA</t>
    </r>
  </si>
  <si>
    <t>6-Ago-22--10-Ago-22--11-Ago-22</t>
  </si>
  <si>
    <t>4-Jul-22---12-Jul-22--13-Jul-22--23-Jul-22--4-Ago-22--12-Ago-22</t>
  </si>
  <si>
    <t>5-Ago-22--12-Ago-22</t>
  </si>
  <si>
    <t>25-May-22--28-Jun-22--13-Ago-22</t>
  </si>
  <si>
    <t>5-Ago-22--13-Ago-22</t>
  </si>
  <si>
    <t>13-Ago-22--16-Ago-22</t>
  </si>
  <si>
    <t>16-Ago-22--19-Ago-22</t>
  </si>
  <si>
    <t>30-Jul-22--19-Ago-22</t>
  </si>
  <si>
    <t>16-Jul-22--20-Jul-22--01-Ago-22--10-Ago-22--17-Ago-22--22-Ago-22</t>
  </si>
  <si>
    <t>15-Ene-22--17-Ene-22--9-Feb-22--23-Mar-22--29-Mar-22--11-May-22--12-May-22--21-May-22--2-Jul-22--6-Jul-22--9-Jul-22--23-Ago-22------</t>
  </si>
  <si>
    <t>27-Jul-22--26-Ago-22</t>
  </si>
  <si>
    <t>D-5698</t>
  </si>
  <si>
    <t>D-5699</t>
  </si>
  <si>
    <t>D-5700</t>
  </si>
  <si>
    <t>3-Ago-22--4-Ago-22</t>
  </si>
  <si>
    <t>D-5701</t>
  </si>
  <si>
    <t>D-5702</t>
  </si>
  <si>
    <t>D-5703</t>
  </si>
  <si>
    <t>D-5704</t>
  </si>
  <si>
    <t>D-5705</t>
  </si>
  <si>
    <t>D-5706</t>
  </si>
  <si>
    <t>D-5707</t>
  </si>
  <si>
    <t>D-5708</t>
  </si>
  <si>
    <t>2-Ago-22--3-Ago-22</t>
  </si>
  <si>
    <t>D-5709</t>
  </si>
  <si>
    <t>D-5710</t>
  </si>
  <si>
    <t>D-5711</t>
  </si>
  <si>
    <t>D-5712</t>
  </si>
  <si>
    <t>D-5713</t>
  </si>
  <si>
    <t>D-5714</t>
  </si>
  <si>
    <t>D-5715</t>
  </si>
  <si>
    <t>D-5716</t>
  </si>
  <si>
    <t>Se sustituye x la  5723 D</t>
  </si>
  <si>
    <t>D-5717</t>
  </si>
  <si>
    <t>D-5718</t>
  </si>
  <si>
    <t>D-5719</t>
  </si>
  <si>
    <t>D-5720</t>
  </si>
  <si>
    <t>D-5721</t>
  </si>
  <si>
    <t>D-5722</t>
  </si>
  <si>
    <t>D-5723</t>
  </si>
  <si>
    <t>D-5724</t>
  </si>
  <si>
    <t>D-5725</t>
  </si>
  <si>
    <t>D-5726</t>
  </si>
  <si>
    <t>D-5727</t>
  </si>
  <si>
    <t>D-5728</t>
  </si>
  <si>
    <t>D-5729</t>
  </si>
  <si>
    <t>D-5730</t>
  </si>
  <si>
    <t>D-5731</t>
  </si>
  <si>
    <t>D-5732</t>
  </si>
  <si>
    <t>D-5733</t>
  </si>
  <si>
    <t>D-5734</t>
  </si>
  <si>
    <t>D-5735</t>
  </si>
  <si>
    <t>D-5736</t>
  </si>
  <si>
    <t>D-5737</t>
  </si>
  <si>
    <t>D-5738</t>
  </si>
  <si>
    <t>D-5739</t>
  </si>
  <si>
    <t>D-5740</t>
  </si>
  <si>
    <t>D-5741</t>
  </si>
  <si>
    <t>D-5742</t>
  </si>
  <si>
    <t>D-5743</t>
  </si>
  <si>
    <t>D-5744</t>
  </si>
  <si>
    <t>D-5745</t>
  </si>
  <si>
    <t>D-5746</t>
  </si>
  <si>
    <t>D-5747</t>
  </si>
  <si>
    <t>D-5748</t>
  </si>
  <si>
    <t>D-5749</t>
  </si>
  <si>
    <t>D-5750</t>
  </si>
  <si>
    <t>D-5751</t>
  </si>
  <si>
    <r>
      <t xml:space="preserve">(449)MOISES ARCE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</si>
  <si>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5754 D</t>
  </si>
  <si>
    <t>D-5752</t>
  </si>
  <si>
    <t>D-5753</t>
  </si>
  <si>
    <t>D-5754</t>
  </si>
  <si>
    <t>D-5755</t>
  </si>
  <si>
    <t>D-5756</t>
  </si>
  <si>
    <t>D-5757</t>
  </si>
  <si>
    <t>D-5758</t>
  </si>
  <si>
    <t>D-5759</t>
  </si>
  <si>
    <t>D-5760</t>
  </si>
  <si>
    <t>D-5761</t>
  </si>
  <si>
    <t>D-5762</t>
  </si>
  <si>
    <t>D-5763</t>
  </si>
  <si>
    <t>D-5764</t>
  </si>
  <si>
    <t>D-5765</t>
  </si>
  <si>
    <t>D-5766</t>
  </si>
  <si>
    <t>D-5767</t>
  </si>
  <si>
    <t>D-5768</t>
  </si>
  <si>
    <t>D-5769</t>
  </si>
  <si>
    <t>D-5770</t>
  </si>
  <si>
    <t>D-5771</t>
  </si>
  <si>
    <t>D-5772</t>
  </si>
  <si>
    <t>D-5773</t>
  </si>
  <si>
    <t>D-5774</t>
  </si>
  <si>
    <t>D-5775</t>
  </si>
  <si>
    <t>D-5776</t>
  </si>
  <si>
    <t>D-5777</t>
  </si>
  <si>
    <t>D-5778</t>
  </si>
  <si>
    <t>D-5779</t>
  </si>
  <si>
    <t>D-5780</t>
  </si>
  <si>
    <t>D-5781</t>
  </si>
  <si>
    <r>
      <t xml:space="preserve">(710)ERIK   </t>
    </r>
    <r>
      <rPr>
        <b/>
        <sz val="12"/>
        <color rgb="FFFF0000"/>
        <rFont val="Calibri"/>
        <family val="2"/>
        <scheme val="minor"/>
      </rPr>
      <t>CANCELADA</t>
    </r>
  </si>
  <si>
    <t>Se sustituyo x la  5782 D</t>
  </si>
  <si>
    <t>D-5782</t>
  </si>
  <si>
    <t>D-5783</t>
  </si>
  <si>
    <t>D-5784</t>
  </si>
  <si>
    <t>D-5785</t>
  </si>
  <si>
    <t>D-5786</t>
  </si>
  <si>
    <t>D-5787</t>
  </si>
  <si>
    <t>D-5788</t>
  </si>
  <si>
    <t>D-5789</t>
  </si>
  <si>
    <t>D-5790</t>
  </si>
  <si>
    <t>D-5791</t>
  </si>
  <si>
    <t>D-5792</t>
  </si>
  <si>
    <t>D-5793</t>
  </si>
  <si>
    <t>D-5794</t>
  </si>
  <si>
    <t>D-5795</t>
  </si>
  <si>
    <t>D-5796</t>
  </si>
  <si>
    <t>D-5797</t>
  </si>
  <si>
    <t>D-5798</t>
  </si>
  <si>
    <t>D-5799</t>
  </si>
  <si>
    <t>D-5800</t>
  </si>
  <si>
    <t>D-5801</t>
  </si>
  <si>
    <t>D-5802</t>
  </si>
  <si>
    <t>D-5803</t>
  </si>
  <si>
    <t>D-5804</t>
  </si>
  <si>
    <t>9-Ago-22--13-Ago-22</t>
  </si>
  <si>
    <t>D-5805</t>
  </si>
  <si>
    <t>D-5806</t>
  </si>
  <si>
    <t>D-5807</t>
  </si>
  <si>
    <t>D-5808</t>
  </si>
  <si>
    <t>D-5809</t>
  </si>
  <si>
    <t>D-5810</t>
  </si>
  <si>
    <t>D-5811</t>
  </si>
  <si>
    <t>D-5812</t>
  </si>
  <si>
    <t>D-5813</t>
  </si>
  <si>
    <t>D-5814</t>
  </si>
  <si>
    <t>D-5815</t>
  </si>
  <si>
    <t>D-5816</t>
  </si>
  <si>
    <t>D-5817</t>
  </si>
  <si>
    <t>D-5818</t>
  </si>
  <si>
    <t>D-5819</t>
  </si>
  <si>
    <t>D-5820</t>
  </si>
  <si>
    <t>D-5821</t>
  </si>
  <si>
    <t>D-5822</t>
  </si>
  <si>
    <t>D-5823</t>
  </si>
  <si>
    <t>D-5824</t>
  </si>
  <si>
    <t>(907)ANDRES ARCE</t>
  </si>
  <si>
    <t>D-5825</t>
  </si>
  <si>
    <t>D-5826</t>
  </si>
  <si>
    <t>D-5827</t>
  </si>
  <si>
    <t>D-5828</t>
  </si>
  <si>
    <t>D-5829</t>
  </si>
  <si>
    <t>D-5830</t>
  </si>
  <si>
    <t>D-5831</t>
  </si>
  <si>
    <t>D-5832</t>
  </si>
  <si>
    <t>D-5833</t>
  </si>
  <si>
    <t>D-5834</t>
  </si>
  <si>
    <t>D-5835</t>
  </si>
  <si>
    <t>D-5836</t>
  </si>
  <si>
    <t>D-5837</t>
  </si>
  <si>
    <t>D-5838</t>
  </si>
  <si>
    <t>D-5839</t>
  </si>
  <si>
    <t>D-5840</t>
  </si>
  <si>
    <t>D-5841</t>
  </si>
  <si>
    <t>D-5842</t>
  </si>
  <si>
    <t>D-5843</t>
  </si>
  <si>
    <t>D-5844</t>
  </si>
  <si>
    <t>D-5845</t>
  </si>
  <si>
    <t>D-5846</t>
  </si>
  <si>
    <t>D-5847</t>
  </si>
  <si>
    <t>D-5848</t>
  </si>
  <si>
    <t>D-5849</t>
  </si>
  <si>
    <t>D-5850</t>
  </si>
  <si>
    <t>D-5851</t>
  </si>
  <si>
    <t>D-5852</t>
  </si>
  <si>
    <t>D-5853</t>
  </si>
  <si>
    <t>D-5854</t>
  </si>
  <si>
    <t>D-5855</t>
  </si>
  <si>
    <t>D-5856</t>
  </si>
  <si>
    <t>D-5857</t>
  </si>
  <si>
    <t>D-5858</t>
  </si>
  <si>
    <t>D-5859</t>
  </si>
  <si>
    <t>D-5860</t>
  </si>
  <si>
    <t>D-5861</t>
  </si>
  <si>
    <t>D-5862</t>
  </si>
  <si>
    <t>D-5863</t>
  </si>
  <si>
    <t>D-5864</t>
  </si>
  <si>
    <t>D-5865</t>
  </si>
  <si>
    <t>D-5866</t>
  </si>
  <si>
    <t>D-5867</t>
  </si>
  <si>
    <t>D-5868</t>
  </si>
  <si>
    <t>D-5869</t>
  </si>
  <si>
    <t>D-5870</t>
  </si>
  <si>
    <t>D-5871</t>
  </si>
  <si>
    <t>D-5872</t>
  </si>
  <si>
    <t>D-5873</t>
  </si>
  <si>
    <t>D-5874</t>
  </si>
  <si>
    <t>D-5875</t>
  </si>
  <si>
    <t>D-5876</t>
  </si>
  <si>
    <t>D-5877</t>
  </si>
  <si>
    <t>D-5878</t>
  </si>
  <si>
    <t>D-5879</t>
  </si>
  <si>
    <t>D-5880</t>
  </si>
  <si>
    <t>D-5881</t>
  </si>
  <si>
    <t>D-5882</t>
  </si>
  <si>
    <t>D-5883</t>
  </si>
  <si>
    <t>D-5884</t>
  </si>
  <si>
    <t>D-5885</t>
  </si>
  <si>
    <t>D-5886</t>
  </si>
  <si>
    <t>D-5887</t>
  </si>
  <si>
    <t>D-5888</t>
  </si>
  <si>
    <t>D-5889</t>
  </si>
  <si>
    <t>D-5890</t>
  </si>
  <si>
    <t>D-5891</t>
  </si>
  <si>
    <t>D-5892</t>
  </si>
  <si>
    <t>D-5893</t>
  </si>
  <si>
    <t>D-5894</t>
  </si>
  <si>
    <t>D-5895</t>
  </si>
  <si>
    <t>D-5896</t>
  </si>
  <si>
    <t>D-5897</t>
  </si>
  <si>
    <t>D-5898</t>
  </si>
  <si>
    <t>D-5899</t>
  </si>
  <si>
    <t>D-5900</t>
  </si>
  <si>
    <t>D-5901</t>
  </si>
  <si>
    <t>D-5902</t>
  </si>
  <si>
    <r>
      <t>(266)CRISTIAN-GRACIELA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</si>
  <si>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D-5903</t>
  </si>
  <si>
    <t>D-5904</t>
  </si>
  <si>
    <t>D-5905</t>
  </si>
  <si>
    <t>D-5906</t>
  </si>
  <si>
    <t>D-5907</t>
  </si>
  <si>
    <t>D-5908</t>
  </si>
  <si>
    <t>D-5909</t>
  </si>
  <si>
    <t>D-5910</t>
  </si>
  <si>
    <t>D-5911</t>
  </si>
  <si>
    <t>D-5912</t>
  </si>
  <si>
    <t>D-5913</t>
  </si>
  <si>
    <t>D-5914</t>
  </si>
  <si>
    <t>D-5915</t>
  </si>
  <si>
    <t>D-5916</t>
  </si>
  <si>
    <t>D-5917</t>
  </si>
  <si>
    <t>D-5918</t>
  </si>
  <si>
    <t>D-5919</t>
  </si>
  <si>
    <t>D-5920</t>
  </si>
  <si>
    <t>D-5921</t>
  </si>
  <si>
    <t>D-5922</t>
  </si>
  <si>
    <t>4-Ago-22--5-Ago-22</t>
  </si>
  <si>
    <t>D-5923</t>
  </si>
  <si>
    <t>D-5924</t>
  </si>
  <si>
    <t>D-5925</t>
  </si>
  <si>
    <t>D-5926</t>
  </si>
  <si>
    <t>D-5927</t>
  </si>
  <si>
    <t>D-5928</t>
  </si>
  <si>
    <t>D-5929</t>
  </si>
  <si>
    <t>D-5930</t>
  </si>
  <si>
    <t>D-5931</t>
  </si>
  <si>
    <t>D-5932</t>
  </si>
  <si>
    <t>D-5933</t>
  </si>
  <si>
    <t>D-5934</t>
  </si>
  <si>
    <t>D-5935</t>
  </si>
  <si>
    <t>D-5936</t>
  </si>
  <si>
    <t>D-5937</t>
  </si>
  <si>
    <t>D-5938</t>
  </si>
  <si>
    <t>D-5939</t>
  </si>
  <si>
    <t>D-5940</t>
  </si>
  <si>
    <t>D-5941</t>
  </si>
  <si>
    <t>D-5942</t>
  </si>
  <si>
    <t>D-5943</t>
  </si>
  <si>
    <t>D-5944</t>
  </si>
  <si>
    <t>D-5945</t>
  </si>
  <si>
    <t>D-5946</t>
  </si>
  <si>
    <t>D-5947</t>
  </si>
  <si>
    <t>D-5948</t>
  </si>
  <si>
    <t>D-5949</t>
  </si>
  <si>
    <t>D-5950</t>
  </si>
  <si>
    <t>D-5951</t>
  </si>
  <si>
    <t>D-5952</t>
  </si>
  <si>
    <t>D-5953</t>
  </si>
  <si>
    <t>D-5954</t>
  </si>
  <si>
    <t>D-5955</t>
  </si>
  <si>
    <t>D-5956</t>
  </si>
  <si>
    <t>D-5957</t>
  </si>
  <si>
    <t>D-5958</t>
  </si>
  <si>
    <t>D-5959</t>
  </si>
  <si>
    <t>D-5960</t>
  </si>
  <si>
    <t>D-5961</t>
  </si>
  <si>
    <t>D-5962</t>
  </si>
  <si>
    <t>D-5963</t>
  </si>
  <si>
    <t>D-5964</t>
  </si>
  <si>
    <t>D-5965</t>
  </si>
  <si>
    <t>D-5966</t>
  </si>
  <si>
    <t>D-5967</t>
  </si>
  <si>
    <t>D-5968</t>
  </si>
  <si>
    <t>D-5969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</si>
  <si>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</si>
  <si>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5984 D</t>
  </si>
  <si>
    <t>D-5970</t>
  </si>
  <si>
    <t>D-5971</t>
  </si>
  <si>
    <t>D-5972</t>
  </si>
  <si>
    <t>D-5973</t>
  </si>
  <si>
    <t>D-5974</t>
  </si>
  <si>
    <t>D-5975</t>
  </si>
  <si>
    <r>
      <t xml:space="preserve">(749)TEODORO GAMEZ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</si>
  <si>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5976 D</t>
  </si>
  <si>
    <t>D-5976</t>
  </si>
  <si>
    <t>D-5977</t>
  </si>
  <si>
    <t>D-5978</t>
  </si>
  <si>
    <t>D-5979</t>
  </si>
  <si>
    <t>D-5980</t>
  </si>
  <si>
    <t>D-5981</t>
  </si>
  <si>
    <t>D-5982</t>
  </si>
  <si>
    <t>D-5983</t>
  </si>
  <si>
    <t>D-5984</t>
  </si>
  <si>
    <t>D-5985</t>
  </si>
  <si>
    <t>D-5986</t>
  </si>
  <si>
    <t>D-5987</t>
  </si>
  <si>
    <t>D-5988</t>
  </si>
  <si>
    <t>D-5989</t>
  </si>
  <si>
    <t>D-5990</t>
  </si>
  <si>
    <t>D-5991</t>
  </si>
  <si>
    <t>D-5992</t>
  </si>
  <si>
    <t>D-5993</t>
  </si>
  <si>
    <t>D-5994</t>
  </si>
  <si>
    <t>D-5995</t>
  </si>
  <si>
    <t>5-Ago-22--6-Ago-22</t>
  </si>
  <si>
    <t>D-5996</t>
  </si>
  <si>
    <t>D-5997</t>
  </si>
  <si>
    <t>D-5998</t>
  </si>
  <si>
    <t>D-5999</t>
  </si>
  <si>
    <t>D-6000</t>
  </si>
  <si>
    <t>D-6001</t>
  </si>
  <si>
    <t>D-6002</t>
  </si>
  <si>
    <t>D-6003</t>
  </si>
  <si>
    <t>D-6004</t>
  </si>
  <si>
    <t>D-6005</t>
  </si>
  <si>
    <t>D-6006</t>
  </si>
  <si>
    <t>D-6007</t>
  </si>
  <si>
    <t>D-6008</t>
  </si>
  <si>
    <t>19-Ago-22--26-Ago-22</t>
  </si>
  <si>
    <t>D-6009</t>
  </si>
  <si>
    <t>D-6010</t>
  </si>
  <si>
    <t>D-6011</t>
  </si>
  <si>
    <r>
      <t xml:space="preserve">(728)MANUEL MOTA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</si>
  <si>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6012D</t>
  </si>
  <si>
    <t>D-6012</t>
  </si>
  <si>
    <t>D-6013</t>
  </si>
  <si>
    <t>D-6014</t>
  </si>
  <si>
    <t>D-6015</t>
  </si>
  <si>
    <t>D-6016</t>
  </si>
  <si>
    <t>D-6017</t>
  </si>
  <si>
    <t>D-6018</t>
  </si>
  <si>
    <t>D-6019</t>
  </si>
  <si>
    <t>D-6020</t>
  </si>
  <si>
    <t>D-6021</t>
  </si>
  <si>
    <t>D-6022</t>
  </si>
  <si>
    <t>D-6023</t>
  </si>
  <si>
    <t>D-6024</t>
  </si>
  <si>
    <t>D-6025</t>
  </si>
  <si>
    <t>D-6026</t>
  </si>
  <si>
    <t>D-6027</t>
  </si>
  <si>
    <t>D-6028</t>
  </si>
  <si>
    <t>D-6029</t>
  </si>
  <si>
    <t>D-6030</t>
  </si>
  <si>
    <t>D-6031</t>
  </si>
  <si>
    <t>D-6032</t>
  </si>
  <si>
    <t>D-6033</t>
  </si>
  <si>
    <t>D-6034</t>
  </si>
  <si>
    <t>D-6035</t>
  </si>
  <si>
    <t>D-6036</t>
  </si>
  <si>
    <t>D-6037</t>
  </si>
  <si>
    <t>D-6038</t>
  </si>
  <si>
    <t>D-6039</t>
  </si>
  <si>
    <t>D-6040</t>
  </si>
  <si>
    <t>D-6041</t>
  </si>
  <si>
    <t>D-6042</t>
  </si>
  <si>
    <t>D-6043</t>
  </si>
  <si>
    <t>D-6044</t>
  </si>
  <si>
    <t>D-6045</t>
  </si>
  <si>
    <t>D-6046</t>
  </si>
  <si>
    <t>D-6047</t>
  </si>
  <si>
    <t>D-6048</t>
  </si>
  <si>
    <t>D-6049</t>
  </si>
  <si>
    <t>D-6050</t>
  </si>
  <si>
    <t>D-6051</t>
  </si>
  <si>
    <t>D-6052</t>
  </si>
  <si>
    <r>
      <t xml:space="preserve">(701)JULIO CESAR  GONZALEZ  </t>
    </r>
    <r>
      <rPr>
        <b/>
        <sz val="12"/>
        <color rgb="FFFF0000"/>
        <rFont val="Calibri"/>
        <family val="2"/>
        <scheme val="minor"/>
      </rPr>
      <t>CANCELADA</t>
    </r>
  </si>
  <si>
    <t>se sustituyo x la 6053 D</t>
  </si>
  <si>
    <t>D-6053</t>
  </si>
  <si>
    <t>D-6054</t>
  </si>
  <si>
    <t>D-6055</t>
  </si>
  <si>
    <t>D-6056</t>
  </si>
  <si>
    <t>D-6057</t>
  </si>
  <si>
    <t>D-6058</t>
  </si>
  <si>
    <t>D-6059</t>
  </si>
  <si>
    <t>D-6060</t>
  </si>
  <si>
    <t>D-6061</t>
  </si>
  <si>
    <t>D-6062</t>
  </si>
  <si>
    <t>D-6063</t>
  </si>
  <si>
    <t>D-6064</t>
  </si>
  <si>
    <t>D-6065</t>
  </si>
  <si>
    <t>D-6066</t>
  </si>
  <si>
    <t>D-6067</t>
  </si>
  <si>
    <t>D-6068</t>
  </si>
  <si>
    <t>D-6069</t>
  </si>
  <si>
    <t>D-6070</t>
  </si>
  <si>
    <t>D-6071</t>
  </si>
  <si>
    <t>D-6072</t>
  </si>
  <si>
    <t>D-6073</t>
  </si>
  <si>
    <t>D-6074</t>
  </si>
  <si>
    <t>D-6075</t>
  </si>
  <si>
    <t>D-6076</t>
  </si>
  <si>
    <t>D-6077</t>
  </si>
  <si>
    <t>D-6078</t>
  </si>
  <si>
    <t>D-6079</t>
  </si>
  <si>
    <t>D-6080</t>
  </si>
  <si>
    <t>D-6081</t>
  </si>
  <si>
    <t>D-6082</t>
  </si>
  <si>
    <t>D-6083</t>
  </si>
  <si>
    <t>D-6084</t>
  </si>
  <si>
    <t>D-6085</t>
  </si>
  <si>
    <t>D-6086</t>
  </si>
  <si>
    <t>D-6087</t>
  </si>
  <si>
    <t>D-6088</t>
  </si>
  <si>
    <t>D-6089</t>
  </si>
  <si>
    <t>D-6090</t>
  </si>
  <si>
    <t>D-6091</t>
  </si>
  <si>
    <t>D-6092</t>
  </si>
  <si>
    <t>D-6093</t>
  </si>
  <si>
    <t>D-6094</t>
  </si>
  <si>
    <t>D-6095</t>
  </si>
  <si>
    <t>D-6096</t>
  </si>
  <si>
    <t>D-6097</t>
  </si>
  <si>
    <t>D-6098</t>
  </si>
  <si>
    <t>D-6099</t>
  </si>
  <si>
    <t>D-6100</t>
  </si>
  <si>
    <t>D-6101</t>
  </si>
  <si>
    <t>D-6102</t>
  </si>
  <si>
    <t>D-6103</t>
  </si>
  <si>
    <t>D-6104</t>
  </si>
  <si>
    <t>D-6105</t>
  </si>
  <si>
    <t>6-Ago-22--8-Ago-22</t>
  </si>
  <si>
    <t>D-6106</t>
  </si>
  <si>
    <t>D-6107</t>
  </si>
  <si>
    <t>D-6108</t>
  </si>
  <si>
    <t>D-6109</t>
  </si>
  <si>
    <t>D-6110</t>
  </si>
  <si>
    <t>D-6111</t>
  </si>
  <si>
    <t>D-6112</t>
  </si>
  <si>
    <t>D-6113</t>
  </si>
  <si>
    <t>D-6114</t>
  </si>
  <si>
    <t>D-6115</t>
  </si>
  <si>
    <t>D-6116</t>
  </si>
  <si>
    <t>D-6117</t>
  </si>
  <si>
    <t>D-6118</t>
  </si>
  <si>
    <t>D-6119</t>
  </si>
  <si>
    <t>D-6120</t>
  </si>
  <si>
    <t>D-6121</t>
  </si>
  <si>
    <t>D-6122</t>
  </si>
  <si>
    <t>D-6123</t>
  </si>
  <si>
    <t>D-6124</t>
  </si>
  <si>
    <t>D-6125</t>
  </si>
  <si>
    <t>D-6126</t>
  </si>
  <si>
    <t>D-6127</t>
  </si>
  <si>
    <t>D-6128</t>
  </si>
  <si>
    <t>D-6129</t>
  </si>
  <si>
    <t>D-6130</t>
  </si>
  <si>
    <t>D-6131</t>
  </si>
  <si>
    <t>D-6132</t>
  </si>
  <si>
    <t>D-6133</t>
  </si>
  <si>
    <t>D-6134</t>
  </si>
  <si>
    <t>D-6135</t>
  </si>
  <si>
    <t>D-6136</t>
  </si>
  <si>
    <t>05/08/2022</t>
  </si>
  <si>
    <t>D-6137</t>
  </si>
  <si>
    <r>
      <t xml:space="preserve">(562)SAGRADO CORAZON ZAPATA  </t>
    </r>
    <r>
      <rPr>
        <b/>
        <sz val="12"/>
        <color rgb="FFFF0000"/>
        <rFont val="Calibri"/>
        <family val="2"/>
        <scheme val="minor"/>
      </rPr>
      <t>CANCELADA</t>
    </r>
  </si>
  <si>
    <t>se sustituyo x la 6141 D</t>
  </si>
  <si>
    <t>D-6138</t>
  </si>
  <si>
    <t>D-6139</t>
  </si>
  <si>
    <t>D-6140</t>
  </si>
  <si>
    <t>se sustituyo x la  6143 D</t>
  </si>
  <si>
    <t>D-6141</t>
  </si>
  <si>
    <t>D-6142</t>
  </si>
  <si>
    <t>D-6143</t>
  </si>
  <si>
    <t>D-6144</t>
  </si>
  <si>
    <t>D-6145</t>
  </si>
  <si>
    <t>D-6146</t>
  </si>
  <si>
    <t>D-6147</t>
  </si>
  <si>
    <t>D-6148</t>
  </si>
  <si>
    <t>D-6149</t>
  </si>
  <si>
    <t>D-6150</t>
  </si>
  <si>
    <t>D-6151</t>
  </si>
  <si>
    <t>D-6152</t>
  </si>
  <si>
    <t>se sustituyo x la 6183 D</t>
  </si>
  <si>
    <t>D-6153</t>
  </si>
  <si>
    <t>D-6154</t>
  </si>
  <si>
    <t>D-6155</t>
  </si>
  <si>
    <t>D-6156</t>
  </si>
  <si>
    <t>D-6157</t>
  </si>
  <si>
    <t>D-6158</t>
  </si>
  <si>
    <t>D-6159</t>
  </si>
  <si>
    <t>D-6160</t>
  </si>
  <si>
    <t>D-6161</t>
  </si>
  <si>
    <t>D-6162</t>
  </si>
  <si>
    <t>D-6163</t>
  </si>
  <si>
    <t>D-6164</t>
  </si>
  <si>
    <t>D-6165</t>
  </si>
  <si>
    <t>D-6166</t>
  </si>
  <si>
    <r>
      <t xml:space="preserve">(610)BRAULIO APANGO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</si>
  <si>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6167 D</t>
  </si>
  <si>
    <t>D-6167</t>
  </si>
  <si>
    <t>D-6168</t>
  </si>
  <si>
    <t>D-6169</t>
  </si>
  <si>
    <t>D-6170</t>
  </si>
  <si>
    <t>D-6171</t>
  </si>
  <si>
    <t>D-6172</t>
  </si>
  <si>
    <t>D-6173</t>
  </si>
  <si>
    <t>D-6174</t>
  </si>
  <si>
    <t>D-6175</t>
  </si>
  <si>
    <t>D-6176</t>
  </si>
  <si>
    <t>D-6177</t>
  </si>
  <si>
    <t>D-6178</t>
  </si>
  <si>
    <t>D-6179</t>
  </si>
  <si>
    <t>D-6180</t>
  </si>
  <si>
    <t>D-6181</t>
  </si>
  <si>
    <t>D-6182</t>
  </si>
  <si>
    <t>D-6183</t>
  </si>
  <si>
    <t>D-6184</t>
  </si>
  <si>
    <t>D-6185</t>
  </si>
  <si>
    <t>D-6186</t>
  </si>
  <si>
    <t>D-6187</t>
  </si>
  <si>
    <t>D-6188</t>
  </si>
  <si>
    <t>D-6189</t>
  </si>
  <si>
    <t>D-6190</t>
  </si>
  <si>
    <t>D-6191</t>
  </si>
  <si>
    <t>D-6192</t>
  </si>
  <si>
    <t>D-6193</t>
  </si>
  <si>
    <t>D-6194</t>
  </si>
  <si>
    <t>D-6195</t>
  </si>
  <si>
    <t>D-6196</t>
  </si>
  <si>
    <t>D-6197</t>
  </si>
  <si>
    <t>D-6198</t>
  </si>
  <si>
    <t>D-6199</t>
  </si>
  <si>
    <t>D-6200</t>
  </si>
  <si>
    <t>D-6201</t>
  </si>
  <si>
    <t>D-6202</t>
  </si>
  <si>
    <t>D-6203</t>
  </si>
  <si>
    <t>D-6204</t>
  </si>
  <si>
    <t>D-6205</t>
  </si>
  <si>
    <t>D-6206</t>
  </si>
  <si>
    <t>D-6207</t>
  </si>
  <si>
    <t>D-6208</t>
  </si>
  <si>
    <t>D-6209</t>
  </si>
  <si>
    <t>D-6210</t>
  </si>
  <si>
    <t>D-6211</t>
  </si>
  <si>
    <t>D-6212</t>
  </si>
  <si>
    <t>7-Ago-22--8-Ago-22</t>
  </si>
  <si>
    <t>D-6213</t>
  </si>
  <si>
    <t>D-6214</t>
  </si>
  <si>
    <t>D-6215</t>
  </si>
  <si>
    <t>D-6216</t>
  </si>
  <si>
    <t>D-6217</t>
  </si>
  <si>
    <t>D-6218</t>
  </si>
  <si>
    <t>D-6219</t>
  </si>
  <si>
    <t>D-6220</t>
  </si>
  <si>
    <t>D-6221</t>
  </si>
  <si>
    <t>D-6222</t>
  </si>
  <si>
    <t>D-6223</t>
  </si>
  <si>
    <t>D-6224</t>
  </si>
  <si>
    <t>D-6225</t>
  </si>
  <si>
    <t>D-6226</t>
  </si>
  <si>
    <t>D-6227</t>
  </si>
  <si>
    <t>8-Ago-22--9-Ago-22</t>
  </si>
  <si>
    <t>D-6228</t>
  </si>
  <si>
    <t>D-6229</t>
  </si>
  <si>
    <t>8-Ago-22--9-Ago-22--10-Ago-22</t>
  </si>
  <si>
    <t>D-6230</t>
  </si>
  <si>
    <t>D-6231</t>
  </si>
  <si>
    <t>D-6232</t>
  </si>
  <si>
    <t>D-6233</t>
  </si>
  <si>
    <t>D-6234</t>
  </si>
  <si>
    <t>D-6235</t>
  </si>
  <si>
    <t>D-6236</t>
  </si>
  <si>
    <t>D-6237</t>
  </si>
  <si>
    <t>D-6238</t>
  </si>
  <si>
    <t>D-6239</t>
  </si>
  <si>
    <t>D-6240</t>
  </si>
  <si>
    <t>D-6241</t>
  </si>
  <si>
    <t>D-6242</t>
  </si>
  <si>
    <t>D-6243</t>
  </si>
  <si>
    <t>D-6244</t>
  </si>
  <si>
    <t>D-6245</t>
  </si>
  <si>
    <t>D-6246</t>
  </si>
  <si>
    <t>D-6247</t>
  </si>
  <si>
    <t>D-6248</t>
  </si>
  <si>
    <t>D-6249</t>
  </si>
  <si>
    <t>D-6250</t>
  </si>
  <si>
    <t>D-6251</t>
  </si>
  <si>
    <t>D-6252</t>
  </si>
  <si>
    <t>D-6253</t>
  </si>
  <si>
    <t>D-6254</t>
  </si>
  <si>
    <t>D-6255</t>
  </si>
  <si>
    <t>D-6256</t>
  </si>
  <si>
    <t>D-6257</t>
  </si>
  <si>
    <t>D-6258</t>
  </si>
  <si>
    <t>D-6259</t>
  </si>
  <si>
    <t>D-6260</t>
  </si>
  <si>
    <t>D-6261</t>
  </si>
  <si>
    <t>D-6262</t>
  </si>
  <si>
    <t>D-6263</t>
  </si>
  <si>
    <t>D-6264</t>
  </si>
  <si>
    <t>D-6265</t>
  </si>
  <si>
    <t>D-6266</t>
  </si>
  <si>
    <t>D-6267</t>
  </si>
  <si>
    <r>
      <t>(225)ABASTOS DE 4 CARNES SA DE CV SUC. HERRADURA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</si>
  <si>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D-6268</t>
  </si>
  <si>
    <t>D-6269</t>
  </si>
  <si>
    <t>D-6270</t>
  </si>
  <si>
    <t>D-6271</t>
  </si>
  <si>
    <t>D-6272</t>
  </si>
  <si>
    <t>D-6273</t>
  </si>
  <si>
    <t>D-6274</t>
  </si>
  <si>
    <t>D-6275</t>
  </si>
  <si>
    <t>D-6276</t>
  </si>
  <si>
    <t>D-6277</t>
  </si>
  <si>
    <t>D-6278</t>
  </si>
  <si>
    <t>D-6279</t>
  </si>
  <si>
    <t>D-6280</t>
  </si>
  <si>
    <t>D-6281</t>
  </si>
  <si>
    <t>D-6282</t>
  </si>
  <si>
    <t>D-6283</t>
  </si>
  <si>
    <t>D-6284</t>
  </si>
  <si>
    <t>D-6285</t>
  </si>
  <si>
    <t>D-6286</t>
  </si>
  <si>
    <t>D-6287</t>
  </si>
  <si>
    <t>D-6288</t>
  </si>
  <si>
    <t>D-6289</t>
  </si>
  <si>
    <t>D-6290</t>
  </si>
  <si>
    <t>D-6291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</si>
  <si>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</si>
  <si>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D-6292</t>
  </si>
  <si>
    <t>D-6293</t>
  </si>
  <si>
    <t>D-6294</t>
  </si>
  <si>
    <t>D-6295</t>
  </si>
  <si>
    <t>D-6296</t>
  </si>
  <si>
    <t>D-6297</t>
  </si>
  <si>
    <t>D-6298</t>
  </si>
  <si>
    <t>D-6299</t>
  </si>
  <si>
    <t>D-6300</t>
  </si>
  <si>
    <t>D-6301</t>
  </si>
  <si>
    <t>D-6302</t>
  </si>
  <si>
    <t>D-6303</t>
  </si>
  <si>
    <t>D-6304</t>
  </si>
  <si>
    <t>D-6305</t>
  </si>
  <si>
    <t>D-6306</t>
  </si>
  <si>
    <t>D-6307</t>
  </si>
  <si>
    <t>D-6308</t>
  </si>
  <si>
    <t>D-6309</t>
  </si>
  <si>
    <t>D-6310</t>
  </si>
  <si>
    <t>D-6311</t>
  </si>
  <si>
    <t>D-6312</t>
  </si>
  <si>
    <t>D-6313</t>
  </si>
  <si>
    <t>D-6314</t>
  </si>
  <si>
    <t>D-6315</t>
  </si>
  <si>
    <t>D-6316</t>
  </si>
  <si>
    <t>D-6317</t>
  </si>
  <si>
    <t>D-6318</t>
  </si>
  <si>
    <t>D-6319</t>
  </si>
  <si>
    <t>D-6320</t>
  </si>
  <si>
    <t>D-6321</t>
  </si>
  <si>
    <t>D-6322</t>
  </si>
  <si>
    <t>D-6323</t>
  </si>
  <si>
    <t>D-6324</t>
  </si>
  <si>
    <t>D-6325</t>
  </si>
  <si>
    <t>D-6326</t>
  </si>
  <si>
    <t>D-6327</t>
  </si>
  <si>
    <t>D-6328</t>
  </si>
  <si>
    <t>D-6329</t>
  </si>
  <si>
    <t>D-6330</t>
  </si>
  <si>
    <t>D-6331</t>
  </si>
  <si>
    <t>D-6332</t>
  </si>
  <si>
    <t>D-6333</t>
  </si>
  <si>
    <t>D-6334</t>
  </si>
  <si>
    <t>D-6335</t>
  </si>
  <si>
    <t>D-6336</t>
  </si>
  <si>
    <t>D-6337</t>
  </si>
  <si>
    <t>D-6338</t>
  </si>
  <si>
    <t>D-6339</t>
  </si>
  <si>
    <t>D-6340</t>
  </si>
  <si>
    <t>D-6341</t>
  </si>
  <si>
    <t>D-6342</t>
  </si>
  <si>
    <t>D-6343</t>
  </si>
  <si>
    <t>D-6344</t>
  </si>
  <si>
    <t>D-6345</t>
  </si>
  <si>
    <t>D-6346</t>
  </si>
  <si>
    <t>D-6347</t>
  </si>
  <si>
    <t>D-6348</t>
  </si>
  <si>
    <t>D-6349</t>
  </si>
  <si>
    <t>D-6350</t>
  </si>
  <si>
    <t>D-6351</t>
  </si>
  <si>
    <t>D-6352</t>
  </si>
  <si>
    <t>D-6353</t>
  </si>
  <si>
    <t>D-6354</t>
  </si>
  <si>
    <t>D-6355</t>
  </si>
  <si>
    <t>D-6356</t>
  </si>
  <si>
    <t>D-6357</t>
  </si>
  <si>
    <t>D-6358</t>
  </si>
  <si>
    <t>D-6359</t>
  </si>
  <si>
    <t>D-6360</t>
  </si>
  <si>
    <t>D-6361</t>
  </si>
  <si>
    <t>D-6362</t>
  </si>
  <si>
    <t>D-6363</t>
  </si>
  <si>
    <t>D-6364</t>
  </si>
  <si>
    <t>D-6365</t>
  </si>
  <si>
    <t>D-6366</t>
  </si>
  <si>
    <t>D-6367</t>
  </si>
  <si>
    <t>10-Ago-22--11-Ago-22</t>
  </si>
  <si>
    <t>D-6368</t>
  </si>
  <si>
    <t>D-6369</t>
  </si>
  <si>
    <t>D-6370</t>
  </si>
  <si>
    <t>D-6371</t>
  </si>
  <si>
    <t>D-6372</t>
  </si>
  <si>
    <t>D-6373</t>
  </si>
  <si>
    <t>D-6374</t>
  </si>
  <si>
    <t>D-6375</t>
  </si>
  <si>
    <t>D-6376</t>
  </si>
  <si>
    <t>D-6377</t>
  </si>
  <si>
    <t>D-6378</t>
  </si>
  <si>
    <t>D-6379</t>
  </si>
  <si>
    <t>D-6380</t>
  </si>
  <si>
    <t>D-6381</t>
  </si>
  <si>
    <t>D-6382</t>
  </si>
  <si>
    <t>D-6383</t>
  </si>
  <si>
    <t>D-6384</t>
  </si>
  <si>
    <t>D-6385</t>
  </si>
  <si>
    <t>D-6386</t>
  </si>
  <si>
    <t>D-6387</t>
  </si>
  <si>
    <t>D-6388</t>
  </si>
  <si>
    <t>D-6389</t>
  </si>
  <si>
    <t>D-6390</t>
  </si>
  <si>
    <t>se sustituyo x la  6391 D</t>
  </si>
  <si>
    <t>D-6391</t>
  </si>
  <si>
    <t>D-6392</t>
  </si>
  <si>
    <t>D-6393</t>
  </si>
  <si>
    <t>D-6394</t>
  </si>
  <si>
    <t>D-6395</t>
  </si>
  <si>
    <t>D-6396</t>
  </si>
  <si>
    <t>9-Ago-22--10-Ago-22</t>
  </si>
  <si>
    <t>D-6397</t>
  </si>
  <si>
    <t>D-6398</t>
  </si>
  <si>
    <t>D-6399</t>
  </si>
  <si>
    <t>D-6400</t>
  </si>
  <si>
    <t>D-6401</t>
  </si>
  <si>
    <t>D-6402</t>
  </si>
  <si>
    <t>D-6403</t>
  </si>
  <si>
    <t>D-6404</t>
  </si>
  <si>
    <t>D-6405</t>
  </si>
  <si>
    <t>D-6406</t>
  </si>
  <si>
    <t>D-6407</t>
  </si>
  <si>
    <t>D-6408</t>
  </si>
  <si>
    <t>D-6409</t>
  </si>
  <si>
    <t>D-6410</t>
  </si>
  <si>
    <t>D-6411</t>
  </si>
  <si>
    <t>D-6412</t>
  </si>
  <si>
    <t>D-6413</t>
  </si>
  <si>
    <t>D-6414</t>
  </si>
  <si>
    <t>D-6415</t>
  </si>
  <si>
    <t>D-6416</t>
  </si>
  <si>
    <t>D-6417</t>
  </si>
  <si>
    <t>D-6418</t>
  </si>
  <si>
    <t>D-6419</t>
  </si>
  <si>
    <t>D-6420</t>
  </si>
  <si>
    <t>D-6421</t>
  </si>
  <si>
    <t>D-6422</t>
  </si>
  <si>
    <t>D-6423</t>
  </si>
  <si>
    <t>D-6424</t>
  </si>
  <si>
    <t>D-6425</t>
  </si>
  <si>
    <t>D-6426</t>
  </si>
  <si>
    <t>D-6427</t>
  </si>
  <si>
    <t>D-6428</t>
  </si>
  <si>
    <t>D-6429</t>
  </si>
  <si>
    <t>D-6430</t>
  </si>
  <si>
    <t>D-6431</t>
  </si>
  <si>
    <t>D-6432</t>
  </si>
  <si>
    <t>D-6433</t>
  </si>
  <si>
    <t>D-6434</t>
  </si>
  <si>
    <t>D-6435</t>
  </si>
  <si>
    <t>D-6436</t>
  </si>
  <si>
    <t>D-6437</t>
  </si>
  <si>
    <t>D-6438</t>
  </si>
  <si>
    <t>D-6439</t>
  </si>
  <si>
    <t>D-6440</t>
  </si>
  <si>
    <t>D-6441</t>
  </si>
  <si>
    <t>D-6442</t>
  </si>
  <si>
    <t>D-6443</t>
  </si>
  <si>
    <t>D-6444</t>
  </si>
  <si>
    <t>D-6445</t>
  </si>
  <si>
    <t>D-6446</t>
  </si>
  <si>
    <t>D-6447</t>
  </si>
  <si>
    <t>D-6448</t>
  </si>
  <si>
    <t>D-6449</t>
  </si>
  <si>
    <t>D-6450</t>
  </si>
  <si>
    <t>D-6451</t>
  </si>
  <si>
    <t>D-6452</t>
  </si>
  <si>
    <t>D-6453</t>
  </si>
  <si>
    <t>D-6454</t>
  </si>
  <si>
    <t>D-6455</t>
  </si>
  <si>
    <t>D-6456</t>
  </si>
  <si>
    <t>D-6457</t>
  </si>
  <si>
    <t>D-6458</t>
  </si>
  <si>
    <r>
      <t xml:space="preserve">(34)HILDA LUNA  </t>
    </r>
    <r>
      <rPr>
        <b/>
        <sz val="12"/>
        <color rgb="FFFF0000"/>
        <rFont val="Calibri"/>
        <family val="2"/>
        <scheme val="minor"/>
      </rPr>
      <t>CANCELADA</t>
    </r>
  </si>
  <si>
    <t>se sustituyo x la  6459 D</t>
  </si>
  <si>
    <t>D-6459</t>
  </si>
  <si>
    <t>D-6460</t>
  </si>
  <si>
    <t>D-6461</t>
  </si>
  <si>
    <t>D-6462</t>
  </si>
  <si>
    <t>D-6463</t>
  </si>
  <si>
    <t>D-6464</t>
  </si>
  <si>
    <t>(12)VICENTE ZAMBRANO</t>
  </si>
  <si>
    <t>D-6465</t>
  </si>
  <si>
    <t>D-6466</t>
  </si>
  <si>
    <t>D-6467</t>
  </si>
  <si>
    <t>D-6468</t>
  </si>
  <si>
    <t>D-6469</t>
  </si>
  <si>
    <t>D-6470</t>
  </si>
  <si>
    <t>D-6471</t>
  </si>
  <si>
    <t>D-6472</t>
  </si>
  <si>
    <t>D-6473</t>
  </si>
  <si>
    <t>D-6474</t>
  </si>
  <si>
    <t>D-6475</t>
  </si>
  <si>
    <t>D-6476</t>
  </si>
  <si>
    <t>D-6477</t>
  </si>
  <si>
    <t>D-6478</t>
  </si>
  <si>
    <t>16-Ago-22--20-Ago-22</t>
  </si>
  <si>
    <t>D-6479</t>
  </si>
  <si>
    <t>D-6480</t>
  </si>
  <si>
    <t>D-6481</t>
  </si>
  <si>
    <t>D-6482</t>
  </si>
  <si>
    <t>D-6483</t>
  </si>
  <si>
    <t>D-6484</t>
  </si>
  <si>
    <t>10-Ago-22--11-Ago-22--12-Ago-22----</t>
  </si>
  <si>
    <t>D-6485</t>
  </si>
  <si>
    <t>D-6486</t>
  </si>
  <si>
    <t>D-6487</t>
  </si>
  <si>
    <t>D-6488</t>
  </si>
  <si>
    <t>D-6489</t>
  </si>
  <si>
    <t>D-6490</t>
  </si>
  <si>
    <t>D-6491</t>
  </si>
  <si>
    <t>D-6492</t>
  </si>
  <si>
    <t>D-6493</t>
  </si>
  <si>
    <t>D-6494</t>
  </si>
  <si>
    <t>D-6495</t>
  </si>
  <si>
    <t>D-6496</t>
  </si>
  <si>
    <t>D-6497</t>
  </si>
  <si>
    <t>D-6498</t>
  </si>
  <si>
    <t>D-6499</t>
  </si>
  <si>
    <t>D-6500</t>
  </si>
  <si>
    <t>D-6501</t>
  </si>
  <si>
    <t>D-6502</t>
  </si>
  <si>
    <t>D-6503</t>
  </si>
  <si>
    <t>D-6504</t>
  </si>
  <si>
    <t>D-6505</t>
  </si>
  <si>
    <t>D-6506</t>
  </si>
  <si>
    <t>D-6507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</si>
  <si>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</si>
  <si>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6509 D</t>
  </si>
  <si>
    <t>D-6508</t>
  </si>
  <si>
    <t>D-6509</t>
  </si>
  <si>
    <t>D-6510</t>
  </si>
  <si>
    <t>D-6511</t>
  </si>
  <si>
    <t>D-6512</t>
  </si>
  <si>
    <t>D-6513</t>
  </si>
  <si>
    <t>D-6514</t>
  </si>
  <si>
    <t>D-6515</t>
  </si>
  <si>
    <t>D-6516</t>
  </si>
  <si>
    <t>D-6517</t>
  </si>
  <si>
    <t>D-6518</t>
  </si>
  <si>
    <t>D-6519</t>
  </si>
  <si>
    <t>D-6520</t>
  </si>
  <si>
    <t>D-6521</t>
  </si>
  <si>
    <t>D-6522</t>
  </si>
  <si>
    <t>D-6523</t>
  </si>
  <si>
    <t>D-6524</t>
  </si>
  <si>
    <t>D-6525</t>
  </si>
  <si>
    <t>D-6526</t>
  </si>
  <si>
    <t>D-6527</t>
  </si>
  <si>
    <t>D-6528</t>
  </si>
  <si>
    <t>D-6529</t>
  </si>
  <si>
    <t>D-6530</t>
  </si>
  <si>
    <t>D-6531</t>
  </si>
  <si>
    <t>D-6532</t>
  </si>
  <si>
    <t>D-6533</t>
  </si>
  <si>
    <t>D-6534</t>
  </si>
  <si>
    <t>D-6535</t>
  </si>
  <si>
    <t>D-6536</t>
  </si>
  <si>
    <t>D-6537</t>
  </si>
  <si>
    <t>(617)CRISTIAN ZARATE</t>
  </si>
  <si>
    <t>D-6538</t>
  </si>
  <si>
    <t>D-6539</t>
  </si>
  <si>
    <t>D-6540</t>
  </si>
  <si>
    <t>D-6541</t>
  </si>
  <si>
    <t>D-6542</t>
  </si>
  <si>
    <t>D-6543</t>
  </si>
  <si>
    <t>D-6544</t>
  </si>
  <si>
    <t>D-6545</t>
  </si>
  <si>
    <t>D-6546</t>
  </si>
  <si>
    <t>D-6547</t>
  </si>
  <si>
    <t>D-6548</t>
  </si>
  <si>
    <t>D-6549</t>
  </si>
  <si>
    <t>D-6550</t>
  </si>
  <si>
    <t>D-6551</t>
  </si>
  <si>
    <t>D-6552</t>
  </si>
  <si>
    <t>D-6553</t>
  </si>
  <si>
    <t>D-6554</t>
  </si>
  <si>
    <t>D-6555</t>
  </si>
  <si>
    <t>D-6556</t>
  </si>
  <si>
    <t>D-6557</t>
  </si>
  <si>
    <t>D-6558</t>
  </si>
  <si>
    <t>D-6559</t>
  </si>
  <si>
    <t>D-6560</t>
  </si>
  <si>
    <t>D-6561</t>
  </si>
  <si>
    <t>D-6562</t>
  </si>
  <si>
    <t>D-6563</t>
  </si>
  <si>
    <t>D-6564</t>
  </si>
  <si>
    <t>D-6565</t>
  </si>
  <si>
    <t>D-6566</t>
  </si>
  <si>
    <t>D-6567</t>
  </si>
  <si>
    <t>D-6568</t>
  </si>
  <si>
    <t>D-6569</t>
  </si>
  <si>
    <t>D-6570</t>
  </si>
  <si>
    <t>D-6571</t>
  </si>
  <si>
    <t>D-6572</t>
  </si>
  <si>
    <t>D-6573</t>
  </si>
  <si>
    <t>D-6574</t>
  </si>
  <si>
    <t>D-6575</t>
  </si>
  <si>
    <t>D-6576</t>
  </si>
  <si>
    <t>D-6577</t>
  </si>
  <si>
    <t>D-6578</t>
  </si>
  <si>
    <t>D-6579</t>
  </si>
  <si>
    <t>D-6580</t>
  </si>
  <si>
    <t>D-6581</t>
  </si>
  <si>
    <t>D-6582</t>
  </si>
  <si>
    <t>D-6583</t>
  </si>
  <si>
    <t>D-6584</t>
  </si>
  <si>
    <t>D-6585</t>
  </si>
  <si>
    <t>D-6586</t>
  </si>
  <si>
    <t>D-6587</t>
  </si>
  <si>
    <t>D-6588</t>
  </si>
  <si>
    <t>D-6589</t>
  </si>
  <si>
    <t>D-6590</t>
  </si>
  <si>
    <t>D-6591</t>
  </si>
  <si>
    <t>D-6592</t>
  </si>
  <si>
    <t>D-6593</t>
  </si>
  <si>
    <t>D-6594</t>
  </si>
  <si>
    <t>D-6595</t>
  </si>
  <si>
    <t>D-6596</t>
  </si>
  <si>
    <t>D-6597</t>
  </si>
  <si>
    <t>D-6598</t>
  </si>
  <si>
    <t>D-6599</t>
  </si>
  <si>
    <t>D-6600</t>
  </si>
  <si>
    <t>D-6601</t>
  </si>
  <si>
    <t>D-6602</t>
  </si>
  <si>
    <t>D-6603</t>
  </si>
  <si>
    <t>D-6604</t>
  </si>
  <si>
    <t>D-6605</t>
  </si>
  <si>
    <t>11-Ago-22--12-Ago-22</t>
  </si>
  <si>
    <t>D-6606</t>
  </si>
  <si>
    <t>D-6607</t>
  </si>
  <si>
    <t>D-6608</t>
  </si>
  <si>
    <t>D-6609</t>
  </si>
  <si>
    <t>D-6610</t>
  </si>
  <si>
    <t>18-Ago-22--20-Ago-22</t>
  </si>
  <si>
    <t>D-6611</t>
  </si>
  <si>
    <t>D-6612</t>
  </si>
  <si>
    <t>D-6613</t>
  </si>
  <si>
    <t>D-6614</t>
  </si>
  <si>
    <t>D-6615</t>
  </si>
  <si>
    <t>D-6616</t>
  </si>
  <si>
    <t>D-6617</t>
  </si>
  <si>
    <t>D-6618</t>
  </si>
  <si>
    <t>D-6619</t>
  </si>
  <si>
    <t>D-6620</t>
  </si>
  <si>
    <t>D-6621</t>
  </si>
  <si>
    <t>D-6622</t>
  </si>
  <si>
    <t>D-6623</t>
  </si>
  <si>
    <t>D-6624</t>
  </si>
  <si>
    <t>D-6625</t>
  </si>
  <si>
    <t>D-6626</t>
  </si>
  <si>
    <t>D-6627</t>
  </si>
  <si>
    <t>D-6628</t>
  </si>
  <si>
    <t>D-6629</t>
  </si>
  <si>
    <t>D-6630</t>
  </si>
  <si>
    <t>D-6631</t>
  </si>
  <si>
    <t>D-6632</t>
  </si>
  <si>
    <t>D-6633</t>
  </si>
  <si>
    <t>D-6634</t>
  </si>
  <si>
    <t>D-6635</t>
  </si>
  <si>
    <t>D-6636</t>
  </si>
  <si>
    <t>D-6637</t>
  </si>
  <si>
    <t>D-6638</t>
  </si>
  <si>
    <t>D-6639</t>
  </si>
  <si>
    <t>D-6640</t>
  </si>
  <si>
    <t>D-6641</t>
  </si>
  <si>
    <t>D-6642</t>
  </si>
  <si>
    <t>D-6643</t>
  </si>
  <si>
    <t>D-6644</t>
  </si>
  <si>
    <t>D-6645</t>
  </si>
  <si>
    <t>D-6646</t>
  </si>
  <si>
    <t>D-6647</t>
  </si>
  <si>
    <t>D-6648</t>
  </si>
  <si>
    <t>D-6649</t>
  </si>
  <si>
    <t>D-6650</t>
  </si>
  <si>
    <t>D-6651</t>
  </si>
  <si>
    <t>D-6652</t>
  </si>
  <si>
    <t>se sustituyo x la  6653 D</t>
  </si>
  <si>
    <t>D-6653</t>
  </si>
  <si>
    <t>D-6654</t>
  </si>
  <si>
    <t>D-6655</t>
  </si>
  <si>
    <t>D-6656</t>
  </si>
  <si>
    <t>D-6657</t>
  </si>
  <si>
    <t>D-6658</t>
  </si>
  <si>
    <t>D-6659</t>
  </si>
  <si>
    <t>D-6660</t>
  </si>
  <si>
    <t>D-6661</t>
  </si>
  <si>
    <t>D-6662</t>
  </si>
  <si>
    <t>D-6663</t>
  </si>
  <si>
    <t>D-6664</t>
  </si>
  <si>
    <t>D-6665</t>
  </si>
  <si>
    <t>se sustituyo x la  6666  D</t>
  </si>
  <si>
    <t>D-6666</t>
  </si>
  <si>
    <t>D-6667</t>
  </si>
  <si>
    <t>D-6668</t>
  </si>
  <si>
    <t>D-6669</t>
  </si>
  <si>
    <t>D-6670</t>
  </si>
  <si>
    <t>D-6671</t>
  </si>
  <si>
    <t>D-6672</t>
  </si>
  <si>
    <t>D-6673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</si>
  <si>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CANCELADO</t>
    </r>
  </si>
  <si>
    <t>se sustituyo x la 6674 D</t>
  </si>
  <si>
    <t>D-6674</t>
  </si>
  <si>
    <t>D-6675</t>
  </si>
  <si>
    <t>D-6676</t>
  </si>
  <si>
    <t>D-6677</t>
  </si>
  <si>
    <t>D-6678</t>
  </si>
  <si>
    <t>D-6679</t>
  </si>
  <si>
    <t>D-6680</t>
  </si>
  <si>
    <t>D-6681</t>
  </si>
  <si>
    <t>D-6682</t>
  </si>
  <si>
    <t>D-6683</t>
  </si>
  <si>
    <t>D-6684</t>
  </si>
  <si>
    <t>D-6685</t>
  </si>
  <si>
    <t>D-6686</t>
  </si>
  <si>
    <t>D-6687</t>
  </si>
  <si>
    <t>D-6688</t>
  </si>
  <si>
    <t>D-6689</t>
  </si>
  <si>
    <t>D-6690</t>
  </si>
  <si>
    <t>D-6691</t>
  </si>
  <si>
    <t>D-6692</t>
  </si>
  <si>
    <r>
      <t xml:space="preserve">(110)SAGRADO CORAZON CENTRO  </t>
    </r>
    <r>
      <rPr>
        <b/>
        <sz val="12"/>
        <color rgb="FFFF0000"/>
        <rFont val="Calibri"/>
        <family val="2"/>
        <scheme val="minor"/>
      </rPr>
      <t>CANCELADA</t>
    </r>
  </si>
  <si>
    <t>se sustituyo x la 6693 D</t>
  </si>
  <si>
    <t>D-6693</t>
  </si>
  <si>
    <t>D-6694</t>
  </si>
  <si>
    <t>D-6695</t>
  </si>
  <si>
    <t>D-6696</t>
  </si>
  <si>
    <t>D-6697</t>
  </si>
  <si>
    <t>D-6698</t>
  </si>
  <si>
    <t>D-6699</t>
  </si>
  <si>
    <t>D-6700</t>
  </si>
  <si>
    <t>D-6701</t>
  </si>
  <si>
    <t>D-6702</t>
  </si>
  <si>
    <t>D-6703</t>
  </si>
  <si>
    <t>D-6704</t>
  </si>
  <si>
    <t>D-6705</t>
  </si>
  <si>
    <t>12-Ago-22--13-Ago-22</t>
  </si>
  <si>
    <t>D-6706</t>
  </si>
  <si>
    <t>D-6707</t>
  </si>
  <si>
    <t>D-6708</t>
  </si>
  <si>
    <t>D-6709</t>
  </si>
  <si>
    <t>D-6710</t>
  </si>
  <si>
    <t>D-6711</t>
  </si>
  <si>
    <t>D-6712</t>
  </si>
  <si>
    <t>D-6713</t>
  </si>
  <si>
    <t>D-6714</t>
  </si>
  <si>
    <t>D-6715</t>
  </si>
  <si>
    <t>D-6716</t>
  </si>
  <si>
    <t>D-6717</t>
  </si>
  <si>
    <t>D-6718</t>
  </si>
  <si>
    <t>D-6719</t>
  </si>
  <si>
    <t>D-6720</t>
  </si>
  <si>
    <t>D-6721</t>
  </si>
  <si>
    <t>D-6722</t>
  </si>
  <si>
    <t>D-6723</t>
  </si>
  <si>
    <t>D-6724</t>
  </si>
  <si>
    <t>D-6725</t>
  </si>
  <si>
    <t>D-6726</t>
  </si>
  <si>
    <t>D-6727</t>
  </si>
  <si>
    <t>D-6728</t>
  </si>
  <si>
    <t>se sustituyo x la 6783 D</t>
  </si>
  <si>
    <t>D-6729</t>
  </si>
  <si>
    <r>
      <t xml:space="preserve">(144)SAGRADO 14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</si>
  <si>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6784 D</t>
  </si>
  <si>
    <t>D-6730</t>
  </si>
  <si>
    <t>D-6731</t>
  </si>
  <si>
    <t>D-6732</t>
  </si>
  <si>
    <r>
      <t xml:space="preserve">(546)MAURICIO HERNANDEZ  </t>
    </r>
    <r>
      <rPr>
        <b/>
        <sz val="12"/>
        <color rgb="FFFF0000"/>
        <rFont val="Calibri"/>
        <family val="2"/>
        <scheme val="minor"/>
      </rPr>
      <t>CANCELADA</t>
    </r>
  </si>
  <si>
    <t>se sustituyo x la 6733 D</t>
  </si>
  <si>
    <t>D-6733</t>
  </si>
  <si>
    <t>D-6734</t>
  </si>
  <si>
    <t>D-6735</t>
  </si>
  <si>
    <t>D-6736</t>
  </si>
  <si>
    <t>D-6737</t>
  </si>
  <si>
    <t>D-6738</t>
  </si>
  <si>
    <t>D-6739</t>
  </si>
  <si>
    <t>D-6740</t>
  </si>
  <si>
    <t>D-6741</t>
  </si>
  <si>
    <t>D-6742</t>
  </si>
  <si>
    <t>D-6743</t>
  </si>
  <si>
    <t>D-6744</t>
  </si>
  <si>
    <t>D-6745</t>
  </si>
  <si>
    <t>D-6746</t>
  </si>
  <si>
    <t>D-6747</t>
  </si>
  <si>
    <t>D-6748</t>
  </si>
  <si>
    <t>D-6749</t>
  </si>
  <si>
    <t>D-6750</t>
  </si>
  <si>
    <t>D-6751</t>
  </si>
  <si>
    <t>D-6752</t>
  </si>
  <si>
    <t>D-6753</t>
  </si>
  <si>
    <t>D-6754</t>
  </si>
  <si>
    <t>D-6755</t>
  </si>
  <si>
    <t>D-6756</t>
  </si>
  <si>
    <t>D-6757</t>
  </si>
  <si>
    <t>D-6758</t>
  </si>
  <si>
    <t>D-6759</t>
  </si>
  <si>
    <t>D-6760</t>
  </si>
  <si>
    <t>D-6761</t>
  </si>
  <si>
    <t>D-6762</t>
  </si>
  <si>
    <t>D-6763</t>
  </si>
  <si>
    <t>D-6764</t>
  </si>
  <si>
    <t>D-6765</t>
  </si>
  <si>
    <t>D-6766</t>
  </si>
  <si>
    <t>D-6767</t>
  </si>
  <si>
    <t>D-6768</t>
  </si>
  <si>
    <t>D-6769</t>
  </si>
  <si>
    <t>D-6770</t>
  </si>
  <si>
    <t>D-6771</t>
  </si>
  <si>
    <t>D-6772</t>
  </si>
  <si>
    <t>D-6773</t>
  </si>
  <si>
    <t>D-6774</t>
  </si>
  <si>
    <t>D-6775</t>
  </si>
  <si>
    <t>D-6776</t>
  </si>
  <si>
    <t>D-6777</t>
  </si>
  <si>
    <t>D-6778</t>
  </si>
  <si>
    <t>11/08/2022</t>
  </si>
  <si>
    <t>D-6779</t>
  </si>
  <si>
    <t>D-6780</t>
  </si>
  <si>
    <t>D-6781</t>
  </si>
  <si>
    <t>D-6782</t>
  </si>
  <si>
    <t>D-6783</t>
  </si>
  <si>
    <t>D-6784</t>
  </si>
  <si>
    <t>D-6785</t>
  </si>
  <si>
    <t>D-6786</t>
  </si>
  <si>
    <t>D-6787</t>
  </si>
  <si>
    <t>D-6788</t>
  </si>
  <si>
    <t>D-6789</t>
  </si>
  <si>
    <t>D-6790</t>
  </si>
  <si>
    <t>D-6791</t>
  </si>
  <si>
    <t>D-6792</t>
  </si>
  <si>
    <t>D-6793</t>
  </si>
  <si>
    <t>D-6794</t>
  </si>
  <si>
    <t>D-6795</t>
  </si>
  <si>
    <t>D-6796</t>
  </si>
  <si>
    <t>D-6797</t>
  </si>
  <si>
    <t>D-6798</t>
  </si>
  <si>
    <t>D-6799</t>
  </si>
  <si>
    <t>D-6800</t>
  </si>
  <si>
    <t>D-6801</t>
  </si>
  <si>
    <t>13-Ago-22--14-Ago-22</t>
  </si>
  <si>
    <t>D-6802</t>
  </si>
  <si>
    <t>D-6803</t>
  </si>
  <si>
    <t>D-6804</t>
  </si>
  <si>
    <r>
      <t xml:space="preserve">(412)LUIS LUNA   </t>
    </r>
    <r>
      <rPr>
        <b/>
        <sz val="12"/>
        <color rgb="FFFF0000"/>
        <rFont val="Calibri"/>
        <family val="2"/>
        <scheme val="minor"/>
      </rPr>
      <t>CANCELADA</t>
    </r>
  </si>
  <si>
    <t>se sustituyo x la  6803-D y 6805 D</t>
  </si>
  <si>
    <t>D-6805</t>
  </si>
  <si>
    <t>D-6806</t>
  </si>
  <si>
    <t>D-6807</t>
  </si>
  <si>
    <t>D-6808</t>
  </si>
  <si>
    <t>D-6809</t>
  </si>
  <si>
    <t>15-Ago-22--19-Ago-22</t>
  </si>
  <si>
    <t>D-6810</t>
  </si>
  <si>
    <t>D-6811</t>
  </si>
  <si>
    <t>D-6812</t>
  </si>
  <si>
    <t>D-6813</t>
  </si>
  <si>
    <t>D-6814</t>
  </si>
  <si>
    <t>D-6815</t>
  </si>
  <si>
    <t>13-Ago-22--15-Ago-22</t>
  </si>
  <si>
    <t>D-6816</t>
  </si>
  <si>
    <t>D-6817</t>
  </si>
  <si>
    <t>D-6818</t>
  </si>
  <si>
    <t>D-6819</t>
  </si>
  <si>
    <t>D-6820</t>
  </si>
  <si>
    <t>D-6821</t>
  </si>
  <si>
    <t>D-6822</t>
  </si>
  <si>
    <t>D-6823</t>
  </si>
  <si>
    <t>D-6824</t>
  </si>
  <si>
    <t>D-6825</t>
  </si>
  <si>
    <t>D-6826</t>
  </si>
  <si>
    <t>D-6827</t>
  </si>
  <si>
    <t>D-6828</t>
  </si>
  <si>
    <t>D-6829</t>
  </si>
  <si>
    <t>D-6830</t>
  </si>
  <si>
    <t>D-6831</t>
  </si>
  <si>
    <t>D-6832</t>
  </si>
  <si>
    <t>D-6833</t>
  </si>
  <si>
    <t>D-6834</t>
  </si>
  <si>
    <t>D-6835</t>
  </si>
  <si>
    <t>D-6836</t>
  </si>
  <si>
    <t>D-6837</t>
  </si>
  <si>
    <t>D-6838</t>
  </si>
  <si>
    <t>D-6839</t>
  </si>
  <si>
    <t>D-6840</t>
  </si>
  <si>
    <t>D-6841</t>
  </si>
  <si>
    <t>D-6842</t>
  </si>
  <si>
    <t>D-6843</t>
  </si>
  <si>
    <t>D-6844</t>
  </si>
  <si>
    <t>D-6845</t>
  </si>
  <si>
    <t>D-6846</t>
  </si>
  <si>
    <t>D-6847</t>
  </si>
  <si>
    <t>D-6848</t>
  </si>
  <si>
    <t>D-6849</t>
  </si>
  <si>
    <t>D-6850</t>
  </si>
  <si>
    <t>D-6851</t>
  </si>
  <si>
    <t>D-6852</t>
  </si>
  <si>
    <t>D-6853</t>
  </si>
  <si>
    <t>D-6854</t>
  </si>
  <si>
    <t>D-6855</t>
  </si>
  <si>
    <t>D-6856</t>
  </si>
  <si>
    <t>D-6857</t>
  </si>
  <si>
    <t>D-6858</t>
  </si>
  <si>
    <t>D-6859</t>
  </si>
  <si>
    <t>D-6860</t>
  </si>
  <si>
    <t>D-6861</t>
  </si>
  <si>
    <t>D-6862</t>
  </si>
  <si>
    <t>D-6863</t>
  </si>
  <si>
    <t>D-6864</t>
  </si>
  <si>
    <t>D-6865</t>
  </si>
  <si>
    <t>D-6866</t>
  </si>
  <si>
    <t>D-6867</t>
  </si>
  <si>
    <t>D-6868</t>
  </si>
  <si>
    <t>D-6869</t>
  </si>
  <si>
    <t>D-6870</t>
  </si>
  <si>
    <t>D-6871</t>
  </si>
  <si>
    <t>D-6872</t>
  </si>
  <si>
    <t>D-6873</t>
  </si>
  <si>
    <t>D-6874</t>
  </si>
  <si>
    <t>D-6875</t>
  </si>
  <si>
    <t>D-6876</t>
  </si>
  <si>
    <t>D-6877</t>
  </si>
  <si>
    <t>D-6878</t>
  </si>
  <si>
    <t>D-6879</t>
  </si>
  <si>
    <t>D-6880</t>
  </si>
  <si>
    <t>D-6881</t>
  </si>
  <si>
    <t>D-6882</t>
  </si>
  <si>
    <t>D-6883</t>
  </si>
  <si>
    <t>D-6884</t>
  </si>
  <si>
    <t>D-6885</t>
  </si>
  <si>
    <t>D-6886</t>
  </si>
  <si>
    <t>D-6887</t>
  </si>
  <si>
    <t>D-6888</t>
  </si>
  <si>
    <t>D-6889</t>
  </si>
  <si>
    <t>D-6890</t>
  </si>
  <si>
    <t>D-6891</t>
  </si>
  <si>
    <t>D-6892</t>
  </si>
  <si>
    <t>D-6893</t>
  </si>
  <si>
    <t>D-6894</t>
  </si>
  <si>
    <t>D-6895</t>
  </si>
  <si>
    <t>D-6896</t>
  </si>
  <si>
    <t>D-6897</t>
  </si>
  <si>
    <t>D-6898</t>
  </si>
  <si>
    <t>D-6899</t>
  </si>
  <si>
    <t>D-6900</t>
  </si>
  <si>
    <t>D-6901</t>
  </si>
  <si>
    <t>D-6902</t>
  </si>
  <si>
    <t>D-6903</t>
  </si>
  <si>
    <t>D-6904</t>
  </si>
  <si>
    <t>D-6905</t>
  </si>
  <si>
    <t>D-6906</t>
  </si>
  <si>
    <t>D-6907</t>
  </si>
  <si>
    <t>D-6908</t>
  </si>
  <si>
    <t>D-6909</t>
  </si>
  <si>
    <t>D-6910</t>
  </si>
  <si>
    <t>D-6911</t>
  </si>
  <si>
    <t>D-6912</t>
  </si>
  <si>
    <t>D-6913</t>
  </si>
  <si>
    <t>D-6914</t>
  </si>
  <si>
    <t>D-6915</t>
  </si>
  <si>
    <t>D-6916</t>
  </si>
  <si>
    <t>D-6917</t>
  </si>
  <si>
    <t>D-6918</t>
  </si>
  <si>
    <t>D-6919</t>
  </si>
  <si>
    <t>D-6920</t>
  </si>
  <si>
    <t>D-6921</t>
  </si>
  <si>
    <t>14-Ago-22--15-Ago-22</t>
  </si>
  <si>
    <t>D-6922</t>
  </si>
  <si>
    <t>D-6923</t>
  </si>
  <si>
    <t>D-6924</t>
  </si>
  <si>
    <t>D-6925</t>
  </si>
  <si>
    <t>D-6926</t>
  </si>
  <si>
    <t>D-6927</t>
  </si>
  <si>
    <t>D-6928</t>
  </si>
  <si>
    <t>D-6929</t>
  </si>
  <si>
    <t>D-6930</t>
  </si>
  <si>
    <t>D-6931</t>
  </si>
  <si>
    <t>D-6932</t>
  </si>
  <si>
    <t>D-6933</t>
  </si>
  <si>
    <t>D-6934</t>
  </si>
  <si>
    <t>D-6935</t>
  </si>
  <si>
    <t>D-6936</t>
  </si>
  <si>
    <t>15-Ago-22--16-Ago-22</t>
  </si>
  <si>
    <t>D-6937</t>
  </si>
  <si>
    <t>D-6938</t>
  </si>
  <si>
    <t>D-6939</t>
  </si>
  <si>
    <t>17-Ago-22--18-Ago-22--19-Ago-22--20-Ago-22</t>
  </si>
  <si>
    <t>D-6940</t>
  </si>
  <si>
    <t>D-6941</t>
  </si>
  <si>
    <t>D-6942</t>
  </si>
  <si>
    <t>D-6943</t>
  </si>
  <si>
    <t>D-6944</t>
  </si>
  <si>
    <t>D-6945</t>
  </si>
  <si>
    <t>D-6946</t>
  </si>
  <si>
    <t>D-6947</t>
  </si>
  <si>
    <t>D-6948</t>
  </si>
  <si>
    <t>D-6949</t>
  </si>
  <si>
    <t>D-6950</t>
  </si>
  <si>
    <t>D-6951</t>
  </si>
  <si>
    <t>D-6952</t>
  </si>
  <si>
    <t>D-6953</t>
  </si>
  <si>
    <t>D-6954</t>
  </si>
  <si>
    <t>D-6955</t>
  </si>
  <si>
    <t>D-6956</t>
  </si>
  <si>
    <t>D-6957</t>
  </si>
  <si>
    <t>D-6958</t>
  </si>
  <si>
    <t>se sustituyo x la 6963 D</t>
  </si>
  <si>
    <t>D-6959</t>
  </si>
  <si>
    <t>D-6960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</si>
  <si>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</si>
  <si>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6961 D</t>
  </si>
  <si>
    <t>D-6961</t>
  </si>
  <si>
    <t>D-6962</t>
  </si>
  <si>
    <t>D-6963</t>
  </si>
  <si>
    <t>D-6964</t>
  </si>
  <si>
    <t>D-6965</t>
  </si>
  <si>
    <t>D-6966</t>
  </si>
  <si>
    <t>D-6967</t>
  </si>
  <si>
    <t>D-6968</t>
  </si>
  <si>
    <t>D-6969</t>
  </si>
  <si>
    <t>D-6970</t>
  </si>
  <si>
    <t>D-6971</t>
  </si>
  <si>
    <t>D-6972</t>
  </si>
  <si>
    <t>D-6973</t>
  </si>
  <si>
    <t>D-6974</t>
  </si>
  <si>
    <r>
      <t xml:space="preserve">(180)FELIX CEREZO  </t>
    </r>
    <r>
      <rPr>
        <b/>
        <sz val="12"/>
        <color rgb="FFFF0000"/>
        <rFont val="Calibri"/>
        <family val="2"/>
        <scheme val="minor"/>
      </rPr>
      <t>CANCELADA</t>
    </r>
  </si>
  <si>
    <t>se sustituyo x la  6998 D</t>
  </si>
  <si>
    <t>D-6975</t>
  </si>
  <si>
    <t>D-6976</t>
  </si>
  <si>
    <t>D-6977</t>
  </si>
  <si>
    <t>D-6978</t>
  </si>
  <si>
    <t>D-6979</t>
  </si>
  <si>
    <t>D-6980</t>
  </si>
  <si>
    <t>D-6981</t>
  </si>
  <si>
    <r>
      <t xml:space="preserve">(137)HARBANO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</si>
  <si>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D-6982</t>
  </si>
  <si>
    <t>D-6983</t>
  </si>
  <si>
    <t>D-6984</t>
  </si>
  <si>
    <t>D-6985</t>
  </si>
  <si>
    <t>D-6986</t>
  </si>
  <si>
    <t>D-6987</t>
  </si>
  <si>
    <t>D-6988</t>
  </si>
  <si>
    <t>D-6989</t>
  </si>
  <si>
    <t>D-6990</t>
  </si>
  <si>
    <t>D-6991</t>
  </si>
  <si>
    <t>D-6992</t>
  </si>
  <si>
    <t>D-6993</t>
  </si>
  <si>
    <t>D-6994</t>
  </si>
  <si>
    <t>D-6995</t>
  </si>
  <si>
    <t>D-6996</t>
  </si>
  <si>
    <t>D-6997</t>
  </si>
  <si>
    <t>D-6998</t>
  </si>
  <si>
    <t>D-6999</t>
  </si>
  <si>
    <t>D-7000</t>
  </si>
  <si>
    <t>D-7001</t>
  </si>
  <si>
    <t>D-7002</t>
  </si>
  <si>
    <t>D-7003</t>
  </si>
  <si>
    <t>D-7004</t>
  </si>
  <si>
    <t>D-7005</t>
  </si>
  <si>
    <t>D-7006</t>
  </si>
  <si>
    <t>D-7007</t>
  </si>
  <si>
    <t>D-7008</t>
  </si>
  <si>
    <t>D-7009</t>
  </si>
  <si>
    <t>D-7010</t>
  </si>
  <si>
    <t>D-7011</t>
  </si>
  <si>
    <t>D-7012</t>
  </si>
  <si>
    <t>13-8/</t>
  </si>
  <si>
    <t>D-7013</t>
  </si>
  <si>
    <t>D-7014</t>
  </si>
  <si>
    <t>D-7015</t>
  </si>
  <si>
    <t>D-7016</t>
  </si>
  <si>
    <t>D-7017</t>
  </si>
  <si>
    <t>D-7018</t>
  </si>
  <si>
    <t>D-7019</t>
  </si>
  <si>
    <t>D-7020</t>
  </si>
  <si>
    <t>D-7021</t>
  </si>
  <si>
    <t>D-7022</t>
  </si>
  <si>
    <t>D-7023</t>
  </si>
  <si>
    <t>D-7024</t>
  </si>
  <si>
    <t>D-7025</t>
  </si>
  <si>
    <t>D-7026</t>
  </si>
  <si>
    <t>D-7027</t>
  </si>
  <si>
    <t>D-7028</t>
  </si>
  <si>
    <t>D-7029</t>
  </si>
  <si>
    <t>D-7030</t>
  </si>
  <si>
    <t>D-7031</t>
  </si>
  <si>
    <t>D-7032</t>
  </si>
  <si>
    <t>D-7033</t>
  </si>
  <si>
    <t>D-7034</t>
  </si>
  <si>
    <t>D-7035</t>
  </si>
  <si>
    <t>D-7036</t>
  </si>
  <si>
    <t>D-7037</t>
  </si>
  <si>
    <t>D-7038</t>
  </si>
  <si>
    <t>D-7039</t>
  </si>
  <si>
    <t>D-7040</t>
  </si>
  <si>
    <t>D-7041</t>
  </si>
  <si>
    <t>D-7042</t>
  </si>
  <si>
    <t>D-7043</t>
  </si>
  <si>
    <t>D-7044</t>
  </si>
  <si>
    <t>D-7045</t>
  </si>
  <si>
    <t>D-7046</t>
  </si>
  <si>
    <t>D-7047</t>
  </si>
  <si>
    <t>D-7048</t>
  </si>
  <si>
    <t>D-7049</t>
  </si>
  <si>
    <t>D-7050</t>
  </si>
  <si>
    <t>D-7051</t>
  </si>
  <si>
    <t>D-7052</t>
  </si>
  <si>
    <t>D-7053</t>
  </si>
  <si>
    <t>D-7054</t>
  </si>
  <si>
    <t>D-7055</t>
  </si>
  <si>
    <t>D-7056</t>
  </si>
  <si>
    <t>D-7057</t>
  </si>
  <si>
    <t>D-7058</t>
  </si>
  <si>
    <t>D-7059</t>
  </si>
  <si>
    <t>15-Ago-22--17-Ago-22</t>
  </si>
  <si>
    <t>D-7060</t>
  </si>
  <si>
    <t>D-7061</t>
  </si>
  <si>
    <t>D-7062</t>
  </si>
  <si>
    <t>D-7063</t>
  </si>
  <si>
    <t>D-7064</t>
  </si>
  <si>
    <t>D-7065</t>
  </si>
  <si>
    <t>D-7066</t>
  </si>
  <si>
    <t>D-7067</t>
  </si>
  <si>
    <t>D-7068</t>
  </si>
  <si>
    <t>D-7069</t>
  </si>
  <si>
    <t>D-7070</t>
  </si>
  <si>
    <t>D-7071</t>
  </si>
  <si>
    <t>D-7072</t>
  </si>
  <si>
    <t>D-7073</t>
  </si>
  <si>
    <t>D-7074</t>
  </si>
  <si>
    <t>D-7075</t>
  </si>
  <si>
    <t>D-7076</t>
  </si>
  <si>
    <t>D-7077</t>
  </si>
  <si>
    <t>D-7078</t>
  </si>
  <si>
    <t>D-7079</t>
  </si>
  <si>
    <t>D-7080</t>
  </si>
  <si>
    <t>D-7081</t>
  </si>
  <si>
    <t>D-7082</t>
  </si>
  <si>
    <t>D-7083</t>
  </si>
  <si>
    <t>D-7084</t>
  </si>
  <si>
    <t>D-7085</t>
  </si>
  <si>
    <t>D-7086</t>
  </si>
  <si>
    <t>D-7087</t>
  </si>
  <si>
    <t>D-7088</t>
  </si>
  <si>
    <t>D-7089</t>
  </si>
  <si>
    <t>D-7090</t>
  </si>
  <si>
    <t>D-7091</t>
  </si>
  <si>
    <t>D-7092</t>
  </si>
  <si>
    <t>D-7093</t>
  </si>
  <si>
    <t>D-7094</t>
  </si>
  <si>
    <t>D-7095</t>
  </si>
  <si>
    <t>D-7096</t>
  </si>
  <si>
    <t>D-7097</t>
  </si>
  <si>
    <t>D-7098</t>
  </si>
  <si>
    <t>D-7099</t>
  </si>
  <si>
    <t>D-7100</t>
  </si>
  <si>
    <t>14/08/2022</t>
  </si>
  <si>
    <t>D-7101</t>
  </si>
  <si>
    <t>D-7102</t>
  </si>
  <si>
    <t>D-7103</t>
  </si>
  <si>
    <t>17-Ago-22--19-Ago-22</t>
  </si>
  <si>
    <t>D-7104</t>
  </si>
  <si>
    <t>D-7105</t>
  </si>
  <si>
    <t>D-7106</t>
  </si>
  <si>
    <t>D-7107</t>
  </si>
  <si>
    <t>D-7108</t>
  </si>
  <si>
    <t>D-7109</t>
  </si>
  <si>
    <t>D-7110</t>
  </si>
  <si>
    <t>D-7111</t>
  </si>
  <si>
    <t>D-7112</t>
  </si>
  <si>
    <t>D-7113</t>
  </si>
  <si>
    <t>D-7114</t>
  </si>
  <si>
    <t>D-7115</t>
  </si>
  <si>
    <t>D-7116</t>
  </si>
  <si>
    <t>D-7117</t>
  </si>
  <si>
    <t>D-7118</t>
  </si>
  <si>
    <t>D-7119</t>
  </si>
  <si>
    <t>D-7120</t>
  </si>
  <si>
    <t>D-7121</t>
  </si>
  <si>
    <t>D-7122</t>
  </si>
  <si>
    <t>D-7123</t>
  </si>
  <si>
    <t>D-7124</t>
  </si>
  <si>
    <t>D-7125</t>
  </si>
  <si>
    <t>D-7126</t>
  </si>
  <si>
    <t>D-7127</t>
  </si>
  <si>
    <t>D-7128</t>
  </si>
  <si>
    <t>D-7129</t>
  </si>
  <si>
    <t>D-7130</t>
  </si>
  <si>
    <t>D-7131</t>
  </si>
  <si>
    <t>D-7132</t>
  </si>
  <si>
    <t>D-7133</t>
  </si>
  <si>
    <t>D-7134</t>
  </si>
  <si>
    <t>D-7135</t>
  </si>
  <si>
    <t>D-7136</t>
  </si>
  <si>
    <t>D-7137</t>
  </si>
  <si>
    <t>D-7138</t>
  </si>
  <si>
    <t>D-7139</t>
  </si>
  <si>
    <t>16-Ag0-22--18-Ago-22</t>
  </si>
  <si>
    <t>D-7140</t>
  </si>
  <si>
    <t>D-7141</t>
  </si>
  <si>
    <t>D-7142</t>
  </si>
  <si>
    <t>D-7143</t>
  </si>
  <si>
    <t>D-7144</t>
  </si>
  <si>
    <t>D-7145</t>
  </si>
  <si>
    <t>D-7146</t>
  </si>
  <si>
    <t>D-7147</t>
  </si>
  <si>
    <t>D-7148</t>
  </si>
  <si>
    <t>D-7149</t>
  </si>
  <si>
    <t>D-7150</t>
  </si>
  <si>
    <t>D-7151</t>
  </si>
  <si>
    <t>D-7152</t>
  </si>
  <si>
    <t>D-7153</t>
  </si>
  <si>
    <t>D-7154</t>
  </si>
  <si>
    <t>D-7155</t>
  </si>
  <si>
    <t>D-7156</t>
  </si>
  <si>
    <t>D-7157</t>
  </si>
  <si>
    <t>D-7158</t>
  </si>
  <si>
    <t>D-7159</t>
  </si>
  <si>
    <t>D-7160</t>
  </si>
  <si>
    <t>D-7161</t>
  </si>
  <si>
    <t>D-7162</t>
  </si>
  <si>
    <t>D-7163</t>
  </si>
  <si>
    <t>D-7164</t>
  </si>
  <si>
    <t>D-7165</t>
  </si>
  <si>
    <t>se sustituyo x la  7168 D</t>
  </si>
  <si>
    <t>D-7166</t>
  </si>
  <si>
    <t>D-7167</t>
  </si>
  <si>
    <t>D-7168</t>
  </si>
  <si>
    <t>D-7169</t>
  </si>
  <si>
    <t>D-7170</t>
  </si>
  <si>
    <t>D-7171</t>
  </si>
  <si>
    <t>D-7172</t>
  </si>
  <si>
    <t>D-7173</t>
  </si>
  <si>
    <t>D-7174</t>
  </si>
  <si>
    <t>D-7175</t>
  </si>
  <si>
    <t>D-7176</t>
  </si>
  <si>
    <t>D-7177</t>
  </si>
  <si>
    <t>D-7178</t>
  </si>
  <si>
    <t>D-7179</t>
  </si>
  <si>
    <t>D-7180</t>
  </si>
  <si>
    <t>D-7181</t>
  </si>
  <si>
    <t>D-7182</t>
  </si>
  <si>
    <t>D-7183</t>
  </si>
  <si>
    <t>D-7184</t>
  </si>
  <si>
    <t>se sustituyo x la  7208  D</t>
  </si>
  <si>
    <t>D-7185</t>
  </si>
  <si>
    <t>D-7186</t>
  </si>
  <si>
    <t>D-7187</t>
  </si>
  <si>
    <t>D-7188</t>
  </si>
  <si>
    <t>D-7189</t>
  </si>
  <si>
    <t>D-7190</t>
  </si>
  <si>
    <t>D-7191</t>
  </si>
  <si>
    <t>D-7192</t>
  </si>
  <si>
    <t>D-7193</t>
  </si>
  <si>
    <t>D-7194</t>
  </si>
  <si>
    <t>D-7195</t>
  </si>
  <si>
    <t>D-7196</t>
  </si>
  <si>
    <t>D-7197</t>
  </si>
  <si>
    <t>D-7198</t>
  </si>
  <si>
    <t>D-7199</t>
  </si>
  <si>
    <t>D-7200</t>
  </si>
  <si>
    <t>D-7201</t>
  </si>
  <si>
    <t>D-7202</t>
  </si>
  <si>
    <t>D-7203</t>
  </si>
  <si>
    <t>D-7204</t>
  </si>
  <si>
    <t>D-7205</t>
  </si>
  <si>
    <t>D-7206</t>
  </si>
  <si>
    <t>D-7207</t>
  </si>
  <si>
    <t>D-7208</t>
  </si>
  <si>
    <t>D-7209</t>
  </si>
  <si>
    <t>D-7210</t>
  </si>
  <si>
    <t>D-7211</t>
  </si>
  <si>
    <t>D-7212</t>
  </si>
  <si>
    <t>D-7213</t>
  </si>
  <si>
    <t>D-7214</t>
  </si>
  <si>
    <t>D-7215</t>
  </si>
  <si>
    <t>D-7216</t>
  </si>
  <si>
    <t>D-7217</t>
  </si>
  <si>
    <t>D-7218</t>
  </si>
  <si>
    <t>D-7219</t>
  </si>
  <si>
    <t>D-7220</t>
  </si>
  <si>
    <t>D-7221</t>
  </si>
  <si>
    <t>D-7222</t>
  </si>
  <si>
    <t>D-7223</t>
  </si>
  <si>
    <t>D-7224</t>
  </si>
  <si>
    <t>D-7225</t>
  </si>
  <si>
    <t>D-7226</t>
  </si>
  <si>
    <t>D-7227</t>
  </si>
  <si>
    <t>D-7228</t>
  </si>
  <si>
    <t>D-7229</t>
  </si>
  <si>
    <t>D-7230</t>
  </si>
  <si>
    <t>D-7231</t>
  </si>
  <si>
    <t>D-7232</t>
  </si>
  <si>
    <t>D-7233</t>
  </si>
  <si>
    <t>D-7234</t>
  </si>
  <si>
    <t>D-7235</t>
  </si>
  <si>
    <t>D-7236</t>
  </si>
  <si>
    <t>D-7237</t>
  </si>
  <si>
    <t>D-7238</t>
  </si>
  <si>
    <t>D-7239</t>
  </si>
  <si>
    <t>D-7240</t>
  </si>
  <si>
    <t>D-7241</t>
  </si>
  <si>
    <t>D-7242</t>
  </si>
  <si>
    <t>D-7243</t>
  </si>
  <si>
    <t>D-7244</t>
  </si>
  <si>
    <t>D-7245</t>
  </si>
  <si>
    <t>D-7246</t>
  </si>
  <si>
    <t>D-7247</t>
  </si>
  <si>
    <t>18-Ago-22--19-Ago-22</t>
  </si>
  <si>
    <t>D-7248</t>
  </si>
  <si>
    <t>D-7249</t>
  </si>
  <si>
    <t>D-7250</t>
  </si>
  <si>
    <t>D-7251</t>
  </si>
  <si>
    <t>se sustituyo x la 7305 D</t>
  </si>
  <si>
    <t>D-7252</t>
  </si>
  <si>
    <t>D-7253</t>
  </si>
  <si>
    <t>D-7254</t>
  </si>
  <si>
    <t>D-7255</t>
  </si>
  <si>
    <t>D-7256</t>
  </si>
  <si>
    <t>D-7257</t>
  </si>
  <si>
    <t>D-7258</t>
  </si>
  <si>
    <t>D-7259</t>
  </si>
  <si>
    <t>D-7260</t>
  </si>
  <si>
    <t>D-7261</t>
  </si>
  <si>
    <t>D-7262</t>
  </si>
  <si>
    <t>D-7263</t>
  </si>
  <si>
    <t>D-7264</t>
  </si>
  <si>
    <t>D-7265</t>
  </si>
  <si>
    <t>D-7266</t>
  </si>
  <si>
    <t>D-7267</t>
  </si>
  <si>
    <t>D-7268</t>
  </si>
  <si>
    <t>D-7269</t>
  </si>
  <si>
    <t>D-7270</t>
  </si>
  <si>
    <t>D-7271</t>
  </si>
  <si>
    <t>D-7272</t>
  </si>
  <si>
    <t>D-7273</t>
  </si>
  <si>
    <t>D-7274</t>
  </si>
  <si>
    <t>D-7275</t>
  </si>
  <si>
    <t>D-7276</t>
  </si>
  <si>
    <t>D-7277</t>
  </si>
  <si>
    <t>D-7278</t>
  </si>
  <si>
    <t>D-7279</t>
  </si>
  <si>
    <t>D-7280</t>
  </si>
  <si>
    <t>D-7281</t>
  </si>
  <si>
    <t>D-7282</t>
  </si>
  <si>
    <t>D-7283</t>
  </si>
  <si>
    <t>D-7284</t>
  </si>
  <si>
    <t>D-7285</t>
  </si>
  <si>
    <t>D-7286</t>
  </si>
  <si>
    <t>D-7287</t>
  </si>
  <si>
    <t>D-7288</t>
  </si>
  <si>
    <t>D-7289</t>
  </si>
  <si>
    <t>D-7290</t>
  </si>
  <si>
    <t>D-7291</t>
  </si>
  <si>
    <r>
      <t xml:space="preserve">(306)JAVIER HERRERA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</si>
  <si>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D-7292</t>
  </si>
  <si>
    <t>D-7293</t>
  </si>
  <si>
    <t>D-7294</t>
  </si>
  <si>
    <t>D-7295</t>
  </si>
  <si>
    <t>D-7296</t>
  </si>
  <si>
    <t>D-7297</t>
  </si>
  <si>
    <t>D-7298</t>
  </si>
  <si>
    <t>D-7299</t>
  </si>
  <si>
    <t>D-7300</t>
  </si>
  <si>
    <t>D-7301</t>
  </si>
  <si>
    <t>D-7302</t>
  </si>
  <si>
    <t>D-7303</t>
  </si>
  <si>
    <t>D-7304</t>
  </si>
  <si>
    <t>D-7305</t>
  </si>
  <si>
    <t>D-7306</t>
  </si>
  <si>
    <t>D-7307</t>
  </si>
  <si>
    <t>D-7308</t>
  </si>
  <si>
    <t>D-7309</t>
  </si>
  <si>
    <t>D-7310</t>
  </si>
  <si>
    <t>D-7311</t>
  </si>
  <si>
    <t>D-7312</t>
  </si>
  <si>
    <t>D-7313</t>
  </si>
  <si>
    <t>D-7314</t>
  </si>
  <si>
    <t>D-7315</t>
  </si>
  <si>
    <t>D-7316</t>
  </si>
  <si>
    <t>19-Ago-22--20-Ago-22</t>
  </si>
  <si>
    <t>D-7317</t>
  </si>
  <si>
    <t>D-7318</t>
  </si>
  <si>
    <t>D-7319</t>
  </si>
  <si>
    <t>D-7320</t>
  </si>
  <si>
    <t>D-7321</t>
  </si>
  <si>
    <t>D-7322</t>
  </si>
  <si>
    <t>D-7323</t>
  </si>
  <si>
    <t>D-7324</t>
  </si>
  <si>
    <t>D-7325</t>
  </si>
  <si>
    <t>D-7326</t>
  </si>
  <si>
    <t>D-7327</t>
  </si>
  <si>
    <t>D-7328</t>
  </si>
  <si>
    <t>D-7329</t>
  </si>
  <si>
    <t>D-7330</t>
  </si>
  <si>
    <t>D-7331</t>
  </si>
  <si>
    <t>D-7332</t>
  </si>
  <si>
    <t>D-7333</t>
  </si>
  <si>
    <t>D-7334</t>
  </si>
  <si>
    <t>D-7335</t>
  </si>
  <si>
    <t>D-7336</t>
  </si>
  <si>
    <t>D-7337</t>
  </si>
  <si>
    <t>D-7338</t>
  </si>
  <si>
    <t>D-7339</t>
  </si>
  <si>
    <r>
      <t xml:space="preserve">(292)NERY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</si>
  <si>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7341 D</t>
  </si>
  <si>
    <t>D-7340</t>
  </si>
  <si>
    <t>D-7341</t>
  </si>
  <si>
    <t>D-7342</t>
  </si>
  <si>
    <t>D-7343</t>
  </si>
  <si>
    <t>D-7344</t>
  </si>
  <si>
    <t>D-7345</t>
  </si>
  <si>
    <t>D-7346</t>
  </si>
  <si>
    <t>D-7347</t>
  </si>
  <si>
    <t>D-7348</t>
  </si>
  <si>
    <t>D-7349</t>
  </si>
  <si>
    <t>D-7350</t>
  </si>
  <si>
    <t>D-7351</t>
  </si>
  <si>
    <t>D-7352</t>
  </si>
  <si>
    <t>D-7353</t>
  </si>
  <si>
    <t>D-7354</t>
  </si>
  <si>
    <t>D-7355</t>
  </si>
  <si>
    <t>D-7356</t>
  </si>
  <si>
    <t>D-7357</t>
  </si>
  <si>
    <t>D-7358</t>
  </si>
  <si>
    <t>D-7359</t>
  </si>
  <si>
    <t>D-7360</t>
  </si>
  <si>
    <t>D-7361</t>
  </si>
  <si>
    <t>D-7362</t>
  </si>
  <si>
    <t>D-7363</t>
  </si>
  <si>
    <t>D-7364</t>
  </si>
  <si>
    <t>D-7365</t>
  </si>
  <si>
    <r>
      <t xml:space="preserve">(117)NARCISO ROMERO CAMALEON  </t>
    </r>
    <r>
      <rPr>
        <b/>
        <sz val="12"/>
        <color rgb="FFFF0000"/>
        <rFont val="Calibri"/>
        <family val="2"/>
        <scheme val="minor"/>
      </rPr>
      <t>CANCELADA</t>
    </r>
  </si>
  <si>
    <t>se sustituyo x la 7366 D</t>
  </si>
  <si>
    <t>D-7366</t>
  </si>
  <si>
    <t>D-7367</t>
  </si>
  <si>
    <t>D-7368</t>
  </si>
  <si>
    <t>D-7369</t>
  </si>
  <si>
    <t>D-7370</t>
  </si>
  <si>
    <t>D-7371</t>
  </si>
  <si>
    <t>D-7372</t>
  </si>
  <si>
    <t>D-7373</t>
  </si>
  <si>
    <t>D-7374</t>
  </si>
  <si>
    <t>D-7375</t>
  </si>
  <si>
    <t>D-7376</t>
  </si>
  <si>
    <t>D-7377</t>
  </si>
  <si>
    <t>D-7378</t>
  </si>
  <si>
    <t>D-7379</t>
  </si>
  <si>
    <t>D-7380</t>
  </si>
  <si>
    <t>D-7381</t>
  </si>
  <si>
    <t>D-7382</t>
  </si>
  <si>
    <t>D-7383</t>
  </si>
  <si>
    <t>D-7384</t>
  </si>
  <si>
    <t>D-7385</t>
  </si>
  <si>
    <t>D-7386</t>
  </si>
  <si>
    <t>D-7387</t>
  </si>
  <si>
    <t>D-7388</t>
  </si>
  <si>
    <t>D-7389</t>
  </si>
  <si>
    <t>D-7390</t>
  </si>
  <si>
    <t>D-7391</t>
  </si>
  <si>
    <t>D-7392</t>
  </si>
  <si>
    <t>D-7393</t>
  </si>
  <si>
    <t>D-7394</t>
  </si>
  <si>
    <t>D-7395</t>
  </si>
  <si>
    <t>D-7396</t>
  </si>
  <si>
    <t>D-7397</t>
  </si>
  <si>
    <t>D-7398</t>
  </si>
  <si>
    <t>D-7399</t>
  </si>
  <si>
    <t>D-7400</t>
  </si>
  <si>
    <t>D-7401</t>
  </si>
  <si>
    <t>D-7402</t>
  </si>
  <si>
    <t>D-7403</t>
  </si>
  <si>
    <t>D-7404</t>
  </si>
  <si>
    <t>D-7405</t>
  </si>
  <si>
    <t>D-7406</t>
  </si>
  <si>
    <t>D-7407</t>
  </si>
  <si>
    <t>D-7408</t>
  </si>
  <si>
    <t>D-7409</t>
  </si>
  <si>
    <r>
      <t xml:space="preserve">(257)ALFONSO RUIZ  </t>
    </r>
    <r>
      <rPr>
        <b/>
        <sz val="12"/>
        <color rgb="FFFF0000"/>
        <rFont val="Calibri"/>
        <family val="2"/>
        <scheme val="minor"/>
      </rPr>
      <t>CANCELADA</t>
    </r>
  </si>
  <si>
    <t>D-7410</t>
  </si>
  <si>
    <t>D-7411</t>
  </si>
  <si>
    <t>D-7412</t>
  </si>
  <si>
    <t>D-7413</t>
  </si>
  <si>
    <t>(676)BENJAMIN ALVA</t>
  </si>
  <si>
    <t>D-7414</t>
  </si>
  <si>
    <t>D-7415</t>
  </si>
  <si>
    <t>D-7416</t>
  </si>
  <si>
    <t>D-7417</t>
  </si>
  <si>
    <t>D-7418</t>
  </si>
  <si>
    <t>D-7419</t>
  </si>
  <si>
    <t>D-7420</t>
  </si>
  <si>
    <t>D-7421</t>
  </si>
  <si>
    <t>D-7422</t>
  </si>
  <si>
    <t>D-7423</t>
  </si>
  <si>
    <t>D-7424</t>
  </si>
  <si>
    <t>D-7425</t>
  </si>
  <si>
    <t>D-7426</t>
  </si>
  <si>
    <t>D-7427</t>
  </si>
  <si>
    <t>D-7428</t>
  </si>
  <si>
    <t>D-7429</t>
  </si>
  <si>
    <t>D-7430</t>
  </si>
  <si>
    <t>D-7431</t>
  </si>
  <si>
    <t>D-7432</t>
  </si>
  <si>
    <t>D-7433</t>
  </si>
  <si>
    <t>D-7434</t>
  </si>
  <si>
    <t>D-7435</t>
  </si>
  <si>
    <t>D-7436</t>
  </si>
  <si>
    <t>D-7437</t>
  </si>
  <si>
    <t>D-7438</t>
  </si>
  <si>
    <t>D-7439</t>
  </si>
  <si>
    <t>D-7440</t>
  </si>
  <si>
    <t>D-7441</t>
  </si>
  <si>
    <t>D-7442</t>
  </si>
  <si>
    <t>D-7443</t>
  </si>
  <si>
    <t>D-7444</t>
  </si>
  <si>
    <t>D-7445</t>
  </si>
  <si>
    <t>D-7446</t>
  </si>
  <si>
    <t>D-7447</t>
  </si>
  <si>
    <t>D-7448</t>
  </si>
  <si>
    <t>D-7449</t>
  </si>
  <si>
    <t>D-7450</t>
  </si>
  <si>
    <t>D-7451</t>
  </si>
  <si>
    <t>D-7452</t>
  </si>
  <si>
    <t>D-7453</t>
  </si>
  <si>
    <t>D-7454</t>
  </si>
  <si>
    <t>D-7455</t>
  </si>
  <si>
    <t>D-7456</t>
  </si>
  <si>
    <t>D-7457</t>
  </si>
  <si>
    <t>D-7458</t>
  </si>
  <si>
    <t>D-7459</t>
  </si>
  <si>
    <t>D-7460</t>
  </si>
  <si>
    <t>D-7461</t>
  </si>
  <si>
    <t>D-7462</t>
  </si>
  <si>
    <t>D-7463</t>
  </si>
  <si>
    <t>D-7464</t>
  </si>
  <si>
    <t>D-7465</t>
  </si>
  <si>
    <t>D-7466</t>
  </si>
  <si>
    <t>D-7467</t>
  </si>
  <si>
    <t>D-7468</t>
  </si>
  <si>
    <t>D-7469</t>
  </si>
  <si>
    <t>D-7470</t>
  </si>
  <si>
    <t>D-7471</t>
  </si>
  <si>
    <t>D-7472</t>
  </si>
  <si>
    <t>D-7473</t>
  </si>
  <si>
    <t>D-7474</t>
  </si>
  <si>
    <t>D-7475</t>
  </si>
  <si>
    <t>D-7476</t>
  </si>
  <si>
    <t>D-7477</t>
  </si>
  <si>
    <t>D-7478</t>
  </si>
  <si>
    <t>D-7479</t>
  </si>
  <si>
    <t>D-7480</t>
  </si>
  <si>
    <t>D-7481</t>
  </si>
  <si>
    <t>D-7482</t>
  </si>
  <si>
    <t>D-7483</t>
  </si>
  <si>
    <t>D-7484</t>
  </si>
  <si>
    <t>D-7485</t>
  </si>
  <si>
    <t>D-7486</t>
  </si>
  <si>
    <t>D-7487</t>
  </si>
  <si>
    <t>D-7488</t>
  </si>
  <si>
    <t>D-7489</t>
  </si>
  <si>
    <t>D-7490</t>
  </si>
  <si>
    <t>D-7491</t>
  </si>
  <si>
    <t>D-7492</t>
  </si>
  <si>
    <t>D-7493</t>
  </si>
  <si>
    <t>D-7494</t>
  </si>
  <si>
    <t>D-7495</t>
  </si>
  <si>
    <t>D-7496</t>
  </si>
  <si>
    <t>D-7497</t>
  </si>
  <si>
    <t>D-7498</t>
  </si>
  <si>
    <t>D-7499</t>
  </si>
  <si>
    <t>D-7500</t>
  </si>
  <si>
    <t>D-7501</t>
  </si>
  <si>
    <t>D-7502</t>
  </si>
  <si>
    <t>D-7503</t>
  </si>
  <si>
    <t>D-7504</t>
  </si>
  <si>
    <t>D-7505</t>
  </si>
  <si>
    <t>D-7506</t>
  </si>
  <si>
    <t>D-7507</t>
  </si>
  <si>
    <t>D-7508</t>
  </si>
  <si>
    <t>D-7509</t>
  </si>
  <si>
    <t>D-7510</t>
  </si>
  <si>
    <t>D-7511</t>
  </si>
  <si>
    <t>D-7512</t>
  </si>
  <si>
    <t>D-7513</t>
  </si>
  <si>
    <t>D-7514</t>
  </si>
  <si>
    <t>D-7515</t>
  </si>
  <si>
    <t>D-7516</t>
  </si>
  <si>
    <t>D-7517</t>
  </si>
  <si>
    <t>D-7518</t>
  </si>
  <si>
    <t>D-7519</t>
  </si>
  <si>
    <t>D-7520</t>
  </si>
  <si>
    <t>D-7521</t>
  </si>
  <si>
    <t>D-7522</t>
  </si>
  <si>
    <t>D-7523</t>
  </si>
  <si>
    <t>D-7524</t>
  </si>
  <si>
    <t>D-7525</t>
  </si>
  <si>
    <t>D-7526</t>
  </si>
  <si>
    <t>D-7527</t>
  </si>
  <si>
    <t>D-7528</t>
  </si>
  <si>
    <t>D-7529</t>
  </si>
  <si>
    <t>D-7530</t>
  </si>
  <si>
    <t>D-7531</t>
  </si>
  <si>
    <t>D-7532</t>
  </si>
  <si>
    <t>D-7533</t>
  </si>
  <si>
    <t>D-7534</t>
  </si>
  <si>
    <t>D-7535</t>
  </si>
  <si>
    <t>20-Ago-22--22-Ago-22</t>
  </si>
  <si>
    <t>D-7536</t>
  </si>
  <si>
    <t>D-7537</t>
  </si>
  <si>
    <t>D-7538</t>
  </si>
  <si>
    <t>D-7539</t>
  </si>
  <si>
    <t>D-7540</t>
  </si>
  <si>
    <t>D-7541</t>
  </si>
  <si>
    <t>D-7542</t>
  </si>
  <si>
    <t>D-7543</t>
  </si>
  <si>
    <t>D-7544</t>
  </si>
  <si>
    <t>D-7545</t>
  </si>
  <si>
    <t>D-7546</t>
  </si>
  <si>
    <t>D-7547</t>
  </si>
  <si>
    <t>D-7548</t>
  </si>
  <si>
    <t>D-7549</t>
  </si>
  <si>
    <t>D-7550</t>
  </si>
  <si>
    <t>D-7551</t>
  </si>
  <si>
    <t>D-7552</t>
  </si>
  <si>
    <t>D-7553</t>
  </si>
  <si>
    <t>D-7554</t>
  </si>
  <si>
    <t>D-7555</t>
  </si>
  <si>
    <t>D-7556</t>
  </si>
  <si>
    <t>D-7557</t>
  </si>
  <si>
    <t>D-7558</t>
  </si>
  <si>
    <t>D-7559</t>
  </si>
  <si>
    <t>D-7560</t>
  </si>
  <si>
    <t>D-7561</t>
  </si>
  <si>
    <t>D-7562</t>
  </si>
  <si>
    <t>D-7563</t>
  </si>
  <si>
    <t>D-7564</t>
  </si>
  <si>
    <t>D-7565</t>
  </si>
  <si>
    <t>D-7566</t>
  </si>
  <si>
    <t>D-7567</t>
  </si>
  <si>
    <t>D-7568</t>
  </si>
  <si>
    <t>se sustituyo x la 7569 D</t>
  </si>
  <si>
    <t>D-7569</t>
  </si>
  <si>
    <t>D-7570</t>
  </si>
  <si>
    <t>D-7571</t>
  </si>
  <si>
    <t>D-7572</t>
  </si>
  <si>
    <t>D-7573</t>
  </si>
  <si>
    <t>D-7574</t>
  </si>
  <si>
    <t>D-7575</t>
  </si>
  <si>
    <t>D-7576</t>
  </si>
  <si>
    <t>D-7577</t>
  </si>
  <si>
    <t>D-7578</t>
  </si>
  <si>
    <t>D-7579</t>
  </si>
  <si>
    <t>D-7580</t>
  </si>
  <si>
    <t>D-7581</t>
  </si>
  <si>
    <t>D-7582</t>
  </si>
  <si>
    <t>D-7583</t>
  </si>
  <si>
    <t>D-7584</t>
  </si>
  <si>
    <t>D-7585</t>
  </si>
  <si>
    <t>D-7586</t>
  </si>
  <si>
    <t>D-7587</t>
  </si>
  <si>
    <t>D-7588</t>
  </si>
  <si>
    <t>D-7589</t>
  </si>
  <si>
    <t>D-7590</t>
  </si>
  <si>
    <t>D-7591</t>
  </si>
  <si>
    <t>D-7592</t>
  </si>
  <si>
    <t>D-7593</t>
  </si>
  <si>
    <t>D-7594</t>
  </si>
  <si>
    <t>D-7595</t>
  </si>
  <si>
    <t>D-7596</t>
  </si>
  <si>
    <t>D-7597</t>
  </si>
  <si>
    <t>D-7598</t>
  </si>
  <si>
    <t>D-7599</t>
  </si>
  <si>
    <t>D-7600</t>
  </si>
  <si>
    <t>D-7601</t>
  </si>
  <si>
    <t>D-7602</t>
  </si>
  <si>
    <t>D-7603</t>
  </si>
  <si>
    <t>D-7604</t>
  </si>
  <si>
    <t>D-7605</t>
  </si>
  <si>
    <t>D-7606</t>
  </si>
  <si>
    <t>D-7607</t>
  </si>
  <si>
    <t>D-7608</t>
  </si>
  <si>
    <t>D-7609</t>
  </si>
  <si>
    <t>D-7610</t>
  </si>
  <si>
    <t>D-7611</t>
  </si>
  <si>
    <t>D-7612</t>
  </si>
  <si>
    <t>D-7613</t>
  </si>
  <si>
    <t>D-7614</t>
  </si>
  <si>
    <t>D-7615</t>
  </si>
  <si>
    <t>D-7616</t>
  </si>
  <si>
    <t>D-7617</t>
  </si>
  <si>
    <t>D-7618</t>
  </si>
  <si>
    <t>D-7619</t>
  </si>
  <si>
    <t>D-7620</t>
  </si>
  <si>
    <t>D-7621</t>
  </si>
  <si>
    <t>D-7622</t>
  </si>
  <si>
    <t>D-7623</t>
  </si>
  <si>
    <t>D-7624</t>
  </si>
  <si>
    <t>D-7625</t>
  </si>
  <si>
    <t>D-7626</t>
  </si>
  <si>
    <t>D-7627</t>
  </si>
  <si>
    <t>D-7628</t>
  </si>
  <si>
    <t>D-7629</t>
  </si>
  <si>
    <t>D-7630</t>
  </si>
  <si>
    <t>D-7631</t>
  </si>
  <si>
    <t>D-7632</t>
  </si>
  <si>
    <t>D-7633</t>
  </si>
  <si>
    <t>D-7634</t>
  </si>
  <si>
    <t>D-7635</t>
  </si>
  <si>
    <t>D-7636</t>
  </si>
  <si>
    <t>D-7637</t>
  </si>
  <si>
    <t>D-7638</t>
  </si>
  <si>
    <t>D-7639</t>
  </si>
  <si>
    <t>D-7640</t>
  </si>
  <si>
    <t>D-7641</t>
  </si>
  <si>
    <t>D-7642</t>
  </si>
  <si>
    <t>D-7643</t>
  </si>
  <si>
    <t>D-7644</t>
  </si>
  <si>
    <t>D-7645</t>
  </si>
  <si>
    <t>D-7646</t>
  </si>
  <si>
    <t>D-7647</t>
  </si>
  <si>
    <t>D-7648</t>
  </si>
  <si>
    <t>D-7649</t>
  </si>
  <si>
    <t>D-7650</t>
  </si>
  <si>
    <t>D-7651</t>
  </si>
  <si>
    <t>D-7652</t>
  </si>
  <si>
    <t>D-7653</t>
  </si>
  <si>
    <t>D-7654</t>
  </si>
  <si>
    <t>D-7655</t>
  </si>
  <si>
    <t>D-7656</t>
  </si>
  <si>
    <r>
      <t xml:space="preserve">(72)JUANITA  LEDO   </t>
    </r>
    <r>
      <rPr>
        <b/>
        <sz val="12"/>
        <color rgb="FFFF0000"/>
        <rFont val="Calibri"/>
        <family val="2"/>
        <scheme val="minor"/>
      </rPr>
      <t>CANCELADA</t>
    </r>
  </si>
  <si>
    <t>se sustituyo x la 7657 D</t>
  </si>
  <si>
    <t>D-7657</t>
  </si>
  <si>
    <t>D-7658</t>
  </si>
  <si>
    <t>D-7659</t>
  </si>
  <si>
    <t>D-7660</t>
  </si>
  <si>
    <t>D-7661</t>
  </si>
  <si>
    <t>D-7662</t>
  </si>
  <si>
    <t>D-7663</t>
  </si>
  <si>
    <t>D-7664</t>
  </si>
  <si>
    <t>D-7665</t>
  </si>
  <si>
    <t>D-7666</t>
  </si>
  <si>
    <t>D-7667</t>
  </si>
  <si>
    <t>D-7668</t>
  </si>
  <si>
    <t>D-7669</t>
  </si>
  <si>
    <t>D-7670</t>
  </si>
  <si>
    <t>D-7671</t>
  </si>
  <si>
    <t>D-7672</t>
  </si>
  <si>
    <t>D-7673</t>
  </si>
  <si>
    <t>D-7674</t>
  </si>
  <si>
    <t>D-7675</t>
  </si>
  <si>
    <t>D-7676</t>
  </si>
  <si>
    <t>D-7677</t>
  </si>
  <si>
    <t>D-7678</t>
  </si>
  <si>
    <t>D-7679</t>
  </si>
  <si>
    <r>
      <t xml:space="preserve">(643)LA PRINCESA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</si>
  <si>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7680 D</t>
  </si>
  <si>
    <t>D-7680</t>
  </si>
  <si>
    <t>22-Ago-22--23-Ago-22</t>
  </si>
  <si>
    <t>D-7681</t>
  </si>
  <si>
    <t>D-7682</t>
  </si>
  <si>
    <t>D-7683</t>
  </si>
  <si>
    <t>D-7684</t>
  </si>
  <si>
    <t>D-7685</t>
  </si>
  <si>
    <t>D-7686</t>
  </si>
  <si>
    <t>D-7687</t>
  </si>
  <si>
    <t>D-7688</t>
  </si>
  <si>
    <t>D-7689</t>
  </si>
  <si>
    <t>D-7690</t>
  </si>
  <si>
    <t>D-7691</t>
  </si>
  <si>
    <t>D-7692</t>
  </si>
  <si>
    <t>D-7693</t>
  </si>
  <si>
    <t>D-7694</t>
  </si>
  <si>
    <t>D-7695</t>
  </si>
  <si>
    <t>D-7696</t>
  </si>
  <si>
    <t>D-7697</t>
  </si>
  <si>
    <t>D-7698</t>
  </si>
  <si>
    <t>D-7699</t>
  </si>
  <si>
    <t>D-7700</t>
  </si>
  <si>
    <t>D-7701</t>
  </si>
  <si>
    <t>D-7702</t>
  </si>
  <si>
    <t>D-7703</t>
  </si>
  <si>
    <t>D-7704</t>
  </si>
  <si>
    <t>D-7705</t>
  </si>
  <si>
    <t>D-7706</t>
  </si>
  <si>
    <t>D-7707</t>
  </si>
  <si>
    <t>D-7708</t>
  </si>
  <si>
    <t>D-7709</t>
  </si>
  <si>
    <t>D-7710</t>
  </si>
  <si>
    <t>D-7711</t>
  </si>
  <si>
    <t>D-7712</t>
  </si>
  <si>
    <t>D-7713</t>
  </si>
  <si>
    <t>D-7714</t>
  </si>
  <si>
    <t>D-7715</t>
  </si>
  <si>
    <t>D-7716</t>
  </si>
  <si>
    <t>D-7717</t>
  </si>
  <si>
    <t>D-7718</t>
  </si>
  <si>
    <t>D-7719</t>
  </si>
  <si>
    <t>D-7720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</si>
  <si>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</si>
  <si>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7722 D</t>
  </si>
  <si>
    <t>D-7721</t>
  </si>
  <si>
    <t>D-7722</t>
  </si>
  <si>
    <t>D-7723</t>
  </si>
  <si>
    <t>D-7724</t>
  </si>
  <si>
    <t>D-7725</t>
  </si>
  <si>
    <t>D-7726</t>
  </si>
  <si>
    <t>D-7727</t>
  </si>
  <si>
    <t>D-7728</t>
  </si>
  <si>
    <t>D-7729</t>
  </si>
  <si>
    <t>D-7730</t>
  </si>
  <si>
    <t>D-7731</t>
  </si>
  <si>
    <t>D-7732</t>
  </si>
  <si>
    <t>D-7733</t>
  </si>
  <si>
    <t>D-7734</t>
  </si>
  <si>
    <t>D-7735</t>
  </si>
  <si>
    <t>D-7736</t>
  </si>
  <si>
    <t>D-7737</t>
  </si>
  <si>
    <r>
      <t xml:space="preserve">(451)SERGIO LEDO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</si>
  <si>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7741 D</t>
  </si>
  <si>
    <t>D-7738</t>
  </si>
  <si>
    <t>D-7739</t>
  </si>
  <si>
    <t>D-7740</t>
  </si>
  <si>
    <t>D-7741</t>
  </si>
  <si>
    <t>D-7742</t>
  </si>
  <si>
    <t>D-7743</t>
  </si>
  <si>
    <t>D-7744</t>
  </si>
  <si>
    <t>D-7745</t>
  </si>
  <si>
    <t>D-7746</t>
  </si>
  <si>
    <t>D-7747</t>
  </si>
  <si>
    <t>D-7748</t>
  </si>
  <si>
    <t>D-7749</t>
  </si>
  <si>
    <t>D-7750</t>
  </si>
  <si>
    <t>D-7751</t>
  </si>
  <si>
    <t>D-7752</t>
  </si>
  <si>
    <t>D-7753</t>
  </si>
  <si>
    <t>D-7754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</si>
  <si>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>CANCELADA</t>
    </r>
  </si>
  <si>
    <t>se sustituyo x la 7757 D</t>
  </si>
  <si>
    <t>D-7755</t>
  </si>
  <si>
    <t>D-7756</t>
  </si>
  <si>
    <t>D-7757</t>
  </si>
  <si>
    <t>D-7758</t>
  </si>
  <si>
    <t>D-7759</t>
  </si>
  <si>
    <t>D-7760</t>
  </si>
  <si>
    <t>D-7761</t>
  </si>
  <si>
    <t>D-7762</t>
  </si>
  <si>
    <t>D-7763</t>
  </si>
  <si>
    <t>D-7764</t>
  </si>
  <si>
    <t>D-7765</t>
  </si>
  <si>
    <t>D-7766</t>
  </si>
  <si>
    <t>D-7767</t>
  </si>
  <si>
    <t>D-7768</t>
  </si>
  <si>
    <t>D-7769</t>
  </si>
  <si>
    <t>D-7770</t>
  </si>
  <si>
    <t>D-7771</t>
  </si>
  <si>
    <t>D-7772</t>
  </si>
  <si>
    <t>D-7773</t>
  </si>
  <si>
    <t>D-7774</t>
  </si>
  <si>
    <t>D-7775</t>
  </si>
  <si>
    <t>D-7776</t>
  </si>
  <si>
    <t>D-7777</t>
  </si>
  <si>
    <t>D-7778</t>
  </si>
  <si>
    <t>D-7779</t>
  </si>
  <si>
    <t>D-7780</t>
  </si>
  <si>
    <t>D-7781</t>
  </si>
  <si>
    <t>D-7782</t>
  </si>
  <si>
    <t>D-7783</t>
  </si>
  <si>
    <t>D-7784</t>
  </si>
  <si>
    <t>D-7785</t>
  </si>
  <si>
    <t>D-7786</t>
  </si>
  <si>
    <t>D-7787</t>
  </si>
  <si>
    <t>D-7788</t>
  </si>
  <si>
    <t>D-7789</t>
  </si>
  <si>
    <t>D-7790</t>
  </si>
  <si>
    <t>D-7791</t>
  </si>
  <si>
    <t>D-7792</t>
  </si>
  <si>
    <t>D-7793</t>
  </si>
  <si>
    <t>D-7794</t>
  </si>
  <si>
    <t>D-7795</t>
  </si>
  <si>
    <t>D-7796</t>
  </si>
  <si>
    <t>D-7797</t>
  </si>
  <si>
    <t>D-7798</t>
  </si>
  <si>
    <t>D-7799</t>
  </si>
  <si>
    <t>D-7800</t>
  </si>
  <si>
    <t>D-7801</t>
  </si>
  <si>
    <t>D-7802</t>
  </si>
  <si>
    <t>D-7803</t>
  </si>
  <si>
    <t>D-7804</t>
  </si>
  <si>
    <t>D-7805</t>
  </si>
  <si>
    <t>D-7806</t>
  </si>
  <si>
    <t>D-7807</t>
  </si>
  <si>
    <t>D-7808</t>
  </si>
  <si>
    <t>D-7809</t>
  </si>
  <si>
    <t>D-7810</t>
  </si>
  <si>
    <t>D-7811</t>
  </si>
  <si>
    <t>D-7812</t>
  </si>
  <si>
    <t>D-7813</t>
  </si>
  <si>
    <t>D-7814</t>
  </si>
  <si>
    <t>D-7815</t>
  </si>
  <si>
    <t>D-7816</t>
  </si>
  <si>
    <t>D-7817</t>
  </si>
  <si>
    <t>D-7818</t>
  </si>
  <si>
    <t>D-7819</t>
  </si>
  <si>
    <t>D-7820</t>
  </si>
  <si>
    <t>D-7821</t>
  </si>
  <si>
    <t>D-7822</t>
  </si>
  <si>
    <t>D-7823</t>
  </si>
  <si>
    <t>D-7824</t>
  </si>
  <si>
    <t>D-7825</t>
  </si>
  <si>
    <t>D-7826</t>
  </si>
  <si>
    <t>D-7827</t>
  </si>
  <si>
    <t>D-7828</t>
  </si>
  <si>
    <t>D-7829</t>
  </si>
  <si>
    <t>D-7830</t>
  </si>
  <si>
    <t>D-7831</t>
  </si>
  <si>
    <t>D-7832</t>
  </si>
  <si>
    <t>D-7833</t>
  </si>
  <si>
    <t>D-7834</t>
  </si>
  <si>
    <t>D-7835</t>
  </si>
  <si>
    <t>D-7836</t>
  </si>
  <si>
    <t>D-7837</t>
  </si>
  <si>
    <t>D-7838</t>
  </si>
  <si>
    <t>D-7839</t>
  </si>
  <si>
    <t>D-7840</t>
  </si>
  <si>
    <t>D-7841</t>
  </si>
  <si>
    <t>D-7842</t>
  </si>
  <si>
    <t>D-7843</t>
  </si>
  <si>
    <t>D-7844</t>
  </si>
  <si>
    <t>D-7845</t>
  </si>
  <si>
    <t>23-Ago-22--24-Ago-22</t>
  </si>
  <si>
    <t>D-7846</t>
  </si>
  <si>
    <t>22-Ago-22--24-Ago-22</t>
  </si>
  <si>
    <t>D-7847</t>
  </si>
  <si>
    <t>D-7848</t>
  </si>
  <si>
    <t>D-7849</t>
  </si>
  <si>
    <t>D-7850</t>
  </si>
  <si>
    <t>D-7851</t>
  </si>
  <si>
    <t>D-7852</t>
  </si>
  <si>
    <t>D-7853</t>
  </si>
  <si>
    <t>D-7854</t>
  </si>
  <si>
    <t>D-7855</t>
  </si>
  <si>
    <t>D-7856</t>
  </si>
  <si>
    <t>D-7857</t>
  </si>
  <si>
    <t>D-7858</t>
  </si>
  <si>
    <t>D-7859</t>
  </si>
  <si>
    <t>D-7860</t>
  </si>
  <si>
    <t>D-7861</t>
  </si>
  <si>
    <t>D-7862</t>
  </si>
  <si>
    <t>D-7863</t>
  </si>
  <si>
    <t>D-7864</t>
  </si>
  <si>
    <t>D-7865</t>
  </si>
  <si>
    <t>D-7866</t>
  </si>
  <si>
    <t>D-7867</t>
  </si>
  <si>
    <t>D-7868</t>
  </si>
  <si>
    <t>D-7869</t>
  </si>
  <si>
    <t>D-7870</t>
  </si>
  <si>
    <t>D-7871</t>
  </si>
  <si>
    <t>D-7872</t>
  </si>
  <si>
    <t>D-7873</t>
  </si>
  <si>
    <t>D-7874</t>
  </si>
  <si>
    <t>D-7875</t>
  </si>
  <si>
    <t>D-7876</t>
  </si>
  <si>
    <t>D-7877</t>
  </si>
  <si>
    <t>D-7878</t>
  </si>
  <si>
    <t>D-7879</t>
  </si>
  <si>
    <t>D-7880</t>
  </si>
  <si>
    <t>D-7881</t>
  </si>
  <si>
    <t>D-7882</t>
  </si>
  <si>
    <t>D-7883</t>
  </si>
  <si>
    <t>D-7884</t>
  </si>
  <si>
    <t>D-7885</t>
  </si>
  <si>
    <t>D-7886</t>
  </si>
  <si>
    <t>D-7887</t>
  </si>
  <si>
    <t>D-7888</t>
  </si>
  <si>
    <t>D-7889</t>
  </si>
  <si>
    <t>D-7890</t>
  </si>
  <si>
    <t>D-7891</t>
  </si>
  <si>
    <t>D-7892</t>
  </si>
  <si>
    <t>D-7893</t>
  </si>
  <si>
    <t>D-7894</t>
  </si>
  <si>
    <t>D-7895</t>
  </si>
  <si>
    <t>D-7896</t>
  </si>
  <si>
    <t>D-7897</t>
  </si>
  <si>
    <t>D-7898</t>
  </si>
  <si>
    <t>D-7899</t>
  </si>
  <si>
    <t>D-7900</t>
  </si>
  <si>
    <r>
      <t xml:space="preserve">(303)SRA CORONA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</si>
  <si>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7901 D</t>
  </si>
  <si>
    <t>D-7901</t>
  </si>
  <si>
    <t>D-7902</t>
  </si>
  <si>
    <t>D-7903</t>
  </si>
  <si>
    <t>D-7904</t>
  </si>
  <si>
    <t>D-7905</t>
  </si>
  <si>
    <t>D-7906</t>
  </si>
  <si>
    <t>D-7907</t>
  </si>
  <si>
    <t>D-7908</t>
  </si>
  <si>
    <t>D-7909</t>
  </si>
  <si>
    <t>D-7910</t>
  </si>
  <si>
    <t>D-7911</t>
  </si>
  <si>
    <t>D-7912</t>
  </si>
  <si>
    <t>D-7913</t>
  </si>
  <si>
    <t>D-7914</t>
  </si>
  <si>
    <t>D-7915</t>
  </si>
  <si>
    <t>D-7916</t>
  </si>
  <si>
    <t>D-7917</t>
  </si>
  <si>
    <t>D-7918</t>
  </si>
  <si>
    <t>D-7919</t>
  </si>
  <si>
    <t>D-7920</t>
  </si>
  <si>
    <r>
      <t xml:space="preserve">(839)RESTAURANT EL TEOTON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</si>
  <si>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7924 D</t>
  </si>
  <si>
    <t>D-7921</t>
  </si>
  <si>
    <t>D-7922</t>
  </si>
  <si>
    <t>D-7923</t>
  </si>
  <si>
    <t>D-7924</t>
  </si>
  <si>
    <t>D-7925</t>
  </si>
  <si>
    <t>D-7926</t>
  </si>
  <si>
    <t>D-7927</t>
  </si>
  <si>
    <t>D-7928</t>
  </si>
  <si>
    <t>D-7929</t>
  </si>
  <si>
    <t>D-7930</t>
  </si>
  <si>
    <t>D-7931</t>
  </si>
  <si>
    <t>D-7932</t>
  </si>
  <si>
    <t>D-7933</t>
  </si>
  <si>
    <t>D-7934</t>
  </si>
  <si>
    <t>D-7935</t>
  </si>
  <si>
    <t>D-7936</t>
  </si>
  <si>
    <t>D-7937</t>
  </si>
  <si>
    <t>D-7938</t>
  </si>
  <si>
    <t>D-7939</t>
  </si>
  <si>
    <t>D-7940</t>
  </si>
  <si>
    <t>D-7941</t>
  </si>
  <si>
    <t>D-7942</t>
  </si>
  <si>
    <t>D-7943</t>
  </si>
  <si>
    <t>D-7944</t>
  </si>
  <si>
    <t>D-7945</t>
  </si>
  <si>
    <t>24-Ago-22--25-Ago-22</t>
  </si>
  <si>
    <t>D-7946</t>
  </si>
  <si>
    <t>D-7947</t>
  </si>
  <si>
    <t>D-7948</t>
  </si>
  <si>
    <t>D-7949</t>
  </si>
  <si>
    <t>D-7950</t>
  </si>
  <si>
    <t>D-7951</t>
  </si>
  <si>
    <t>D-7952</t>
  </si>
  <si>
    <t>25-Ago-22--26-Ago-22</t>
  </si>
  <si>
    <t>D-7953</t>
  </si>
  <si>
    <t>D-7954</t>
  </si>
  <si>
    <t>D-7955</t>
  </si>
  <si>
    <t>D-7956</t>
  </si>
  <si>
    <t>D-7957</t>
  </si>
  <si>
    <t>D-7958</t>
  </si>
  <si>
    <t>D-7959</t>
  </si>
  <si>
    <t>D-7960</t>
  </si>
  <si>
    <t>D-7961</t>
  </si>
  <si>
    <t>D-7962</t>
  </si>
  <si>
    <t>D-7963</t>
  </si>
  <si>
    <t>D-7964</t>
  </si>
  <si>
    <t>D-7965</t>
  </si>
  <si>
    <t>D-7966</t>
  </si>
  <si>
    <t>D-7967</t>
  </si>
  <si>
    <t>D-7968</t>
  </si>
  <si>
    <t>D-7969</t>
  </si>
  <si>
    <t>D-7970</t>
  </si>
  <si>
    <t>D-7971</t>
  </si>
  <si>
    <t>D-7972</t>
  </si>
  <si>
    <t>D-7973</t>
  </si>
  <si>
    <t>D-7974</t>
  </si>
  <si>
    <t>D-7975</t>
  </si>
  <si>
    <t>D-7976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</si>
  <si>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>CANCELADA</t>
    </r>
  </si>
  <si>
    <t>se sustituyo x la 8060 D</t>
  </si>
  <si>
    <t>D-7977</t>
  </si>
  <si>
    <t>D-7978</t>
  </si>
  <si>
    <t>D-7979</t>
  </si>
  <si>
    <t>D-7980</t>
  </si>
  <si>
    <t>D-7981</t>
  </si>
  <si>
    <t>D-7982</t>
  </si>
  <si>
    <t>D-7983</t>
  </si>
  <si>
    <t>D-7984</t>
  </si>
  <si>
    <t>D-7985</t>
  </si>
  <si>
    <t>D-7986</t>
  </si>
  <si>
    <t>D-7987</t>
  </si>
  <si>
    <t>D-7988</t>
  </si>
  <si>
    <t>D-7989</t>
  </si>
  <si>
    <r>
      <t xml:space="preserve">(19)ANGEL MARQUEZ  </t>
    </r>
    <r>
      <rPr>
        <b/>
        <sz val="12"/>
        <color rgb="FFFF0000"/>
        <rFont val="Calibri"/>
        <family val="2"/>
        <scheme val="minor"/>
      </rPr>
      <t>CANCELADA</t>
    </r>
  </si>
  <si>
    <t>se sustituyo x la 8010 D</t>
  </si>
  <si>
    <t>D-7990</t>
  </si>
  <si>
    <t>D-7991</t>
  </si>
  <si>
    <t>D-7992</t>
  </si>
  <si>
    <t>D-7993</t>
  </si>
  <si>
    <t>D-7994</t>
  </si>
  <si>
    <t>D-7995</t>
  </si>
  <si>
    <t>D-7996</t>
  </si>
  <si>
    <t>D-7997</t>
  </si>
  <si>
    <t>D-7998</t>
  </si>
  <si>
    <t>D-7999</t>
  </si>
  <si>
    <t>D-8000</t>
  </si>
  <si>
    <t>D-8001</t>
  </si>
  <si>
    <t>D-8002</t>
  </si>
  <si>
    <t>D-8003</t>
  </si>
  <si>
    <t>D-8004</t>
  </si>
  <si>
    <t>D-8005</t>
  </si>
  <si>
    <t>D-8006</t>
  </si>
  <si>
    <t>D-8007</t>
  </si>
  <si>
    <t>D-8008</t>
  </si>
  <si>
    <t>D-8009</t>
  </si>
  <si>
    <t>D-8010</t>
  </si>
  <si>
    <t>D-8011</t>
  </si>
  <si>
    <t>D-8012</t>
  </si>
  <si>
    <t>D-8013</t>
  </si>
  <si>
    <t>D-8014</t>
  </si>
  <si>
    <t>D-8015</t>
  </si>
  <si>
    <t>D-8016</t>
  </si>
  <si>
    <t>D-8017</t>
  </si>
  <si>
    <t>D-8018</t>
  </si>
  <si>
    <t>D-8019</t>
  </si>
  <si>
    <t>D-8020</t>
  </si>
  <si>
    <t>D-8021</t>
  </si>
  <si>
    <t>D-8022</t>
  </si>
  <si>
    <t>D-8023</t>
  </si>
  <si>
    <t>D-8024</t>
  </si>
  <si>
    <t>D-8025</t>
  </si>
  <si>
    <t>D-8026</t>
  </si>
  <si>
    <t>D-8027</t>
  </si>
  <si>
    <t>D-8028</t>
  </si>
  <si>
    <t>D-8029</t>
  </si>
  <si>
    <t>D-8030</t>
  </si>
  <si>
    <t>D-8031</t>
  </si>
  <si>
    <t>D-8032</t>
  </si>
  <si>
    <t>D-8033</t>
  </si>
  <si>
    <t>D-8034</t>
  </si>
  <si>
    <t>D-8035</t>
  </si>
  <si>
    <t>D-8036</t>
  </si>
  <si>
    <t>D-8037</t>
  </si>
  <si>
    <t>D-8038</t>
  </si>
  <si>
    <t>D-8039</t>
  </si>
  <si>
    <t>D-8040</t>
  </si>
  <si>
    <t>se sustituyo x la  8041 D</t>
  </si>
  <si>
    <t>D-8041</t>
  </si>
  <si>
    <t>D-8042</t>
  </si>
  <si>
    <t>D-8043</t>
  </si>
  <si>
    <t>D-8044</t>
  </si>
  <si>
    <t>D-8045</t>
  </si>
  <si>
    <t>D-8046</t>
  </si>
  <si>
    <t>D-8047</t>
  </si>
  <si>
    <t>D-8048</t>
  </si>
  <si>
    <t>D-8049</t>
  </si>
  <si>
    <t>D-8050</t>
  </si>
  <si>
    <t>D-8051</t>
  </si>
  <si>
    <t>D-8052</t>
  </si>
  <si>
    <t>D-8053</t>
  </si>
  <si>
    <t>D-8054</t>
  </si>
  <si>
    <t>D-8055</t>
  </si>
  <si>
    <t>D-8056</t>
  </si>
  <si>
    <t>D-8057</t>
  </si>
  <si>
    <t>D-8058</t>
  </si>
  <si>
    <t>D-8059</t>
  </si>
  <si>
    <t>D-8060</t>
  </si>
  <si>
    <t>D-8061</t>
  </si>
  <si>
    <t>D-8062</t>
  </si>
  <si>
    <t>D-8063</t>
  </si>
  <si>
    <t>D-8064</t>
  </si>
  <si>
    <t>D-8065</t>
  </si>
  <si>
    <t>D-8066</t>
  </si>
  <si>
    <t>D-8067</t>
  </si>
  <si>
    <t>D-8068</t>
  </si>
  <si>
    <t>D-8069</t>
  </si>
  <si>
    <t>D-8070</t>
  </si>
  <si>
    <t>D-8071</t>
  </si>
  <si>
    <t>D-8072</t>
  </si>
  <si>
    <t>D-8073</t>
  </si>
  <si>
    <t>D-8074</t>
  </si>
  <si>
    <t>D-8075</t>
  </si>
  <si>
    <t>D-8076</t>
  </si>
  <si>
    <t>D-8077</t>
  </si>
  <si>
    <t>D-8078</t>
  </si>
  <si>
    <t>D-8079</t>
  </si>
  <si>
    <t>D-8080</t>
  </si>
  <si>
    <t>D-8081</t>
  </si>
  <si>
    <t>D-8082</t>
  </si>
  <si>
    <t>D-8083</t>
  </si>
  <si>
    <r>
      <t>(34)HILDA LUNA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</si>
  <si>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D-8084</t>
  </si>
  <si>
    <t>D-8085</t>
  </si>
  <si>
    <t>D-8086</t>
  </si>
  <si>
    <t>D-8087</t>
  </si>
  <si>
    <t>D-8088</t>
  </si>
  <si>
    <t>D-8089</t>
  </si>
  <si>
    <t>D-8090</t>
  </si>
  <si>
    <t>D-8091</t>
  </si>
  <si>
    <t>D-8092</t>
  </si>
  <si>
    <t>D-8093</t>
  </si>
  <si>
    <t>D-8094</t>
  </si>
  <si>
    <t>D-8095</t>
  </si>
  <si>
    <t>D-8096</t>
  </si>
  <si>
    <t>D-8097</t>
  </si>
  <si>
    <t>D-8098</t>
  </si>
  <si>
    <t>D-8099</t>
  </si>
  <si>
    <t>D-8100</t>
  </si>
  <si>
    <t>(908)GUILLERMO BARRAGAN ALTEPEJI</t>
  </si>
  <si>
    <t>D-8101</t>
  </si>
  <si>
    <t>D-8102</t>
  </si>
  <si>
    <t>D-8103</t>
  </si>
  <si>
    <t>D-8104</t>
  </si>
  <si>
    <t>D-8105</t>
  </si>
  <si>
    <t>D-8106</t>
  </si>
  <si>
    <t>D-8107</t>
  </si>
  <si>
    <t>D-8108</t>
  </si>
  <si>
    <t>D-8109</t>
  </si>
  <si>
    <t>D-8110</t>
  </si>
  <si>
    <t>D-8111</t>
  </si>
  <si>
    <t>D-8112</t>
  </si>
  <si>
    <t>D-8113</t>
  </si>
  <si>
    <t>D-8114</t>
  </si>
  <si>
    <t>D-8115</t>
  </si>
  <si>
    <t>D-8116</t>
  </si>
  <si>
    <t>(645)FERNANDO ROSAS</t>
  </si>
  <si>
    <t>D-8117</t>
  </si>
  <si>
    <t>D-8118</t>
  </si>
  <si>
    <t>D-8119</t>
  </si>
  <si>
    <t>D-8120</t>
  </si>
  <si>
    <t>D-8121</t>
  </si>
  <si>
    <t>D-8122</t>
  </si>
  <si>
    <t>D-8123</t>
  </si>
  <si>
    <t>D-8124</t>
  </si>
  <si>
    <t>D-8125</t>
  </si>
  <si>
    <t>D-8126</t>
  </si>
  <si>
    <t>D-8127</t>
  </si>
  <si>
    <t>D-8128</t>
  </si>
  <si>
    <t>D-8129</t>
  </si>
  <si>
    <t>D-8130</t>
  </si>
  <si>
    <t>D-8131</t>
  </si>
  <si>
    <t>D-8132</t>
  </si>
  <si>
    <t>D-8133</t>
  </si>
  <si>
    <t>D-8134</t>
  </si>
  <si>
    <t>D-8135</t>
  </si>
  <si>
    <t>D-8136</t>
  </si>
  <si>
    <t>D-8137</t>
  </si>
  <si>
    <t>D-8138</t>
  </si>
  <si>
    <t>D-8139</t>
  </si>
  <si>
    <t>D-8140</t>
  </si>
  <si>
    <t>D-8141</t>
  </si>
  <si>
    <t>D-8142</t>
  </si>
  <si>
    <t>D-8143</t>
  </si>
  <si>
    <t>D-8144</t>
  </si>
  <si>
    <t>D-8145</t>
  </si>
  <si>
    <t>D-8146</t>
  </si>
  <si>
    <t>D-8147</t>
  </si>
  <si>
    <t>D-8148</t>
  </si>
  <si>
    <t>D-8149</t>
  </si>
  <si>
    <t>D-8150</t>
  </si>
  <si>
    <t>D-8151</t>
  </si>
  <si>
    <t>D-8152</t>
  </si>
  <si>
    <t>D-8153</t>
  </si>
  <si>
    <t>D-8154</t>
  </si>
  <si>
    <t>D-8155</t>
  </si>
  <si>
    <t>D-8156</t>
  </si>
  <si>
    <t>D-8157</t>
  </si>
  <si>
    <t>D-8158</t>
  </si>
  <si>
    <r>
      <t xml:space="preserve">(646)SANTIAGO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</si>
  <si>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D-8159</t>
  </si>
  <si>
    <t>D-8160</t>
  </si>
  <si>
    <t>D-8161</t>
  </si>
  <si>
    <t>D-8162</t>
  </si>
  <si>
    <t>D-8163</t>
  </si>
  <si>
    <t>D-8164</t>
  </si>
  <si>
    <t>D-8165</t>
  </si>
  <si>
    <t>D-8166</t>
  </si>
  <si>
    <t>D-8167</t>
  </si>
  <si>
    <t>D-8168</t>
  </si>
  <si>
    <t>D-8169</t>
  </si>
  <si>
    <t>D-8170</t>
  </si>
  <si>
    <t>D-8171</t>
  </si>
  <si>
    <t>D-8172</t>
  </si>
  <si>
    <t>D-8173</t>
  </si>
  <si>
    <t>se sustituyo x la  8254 D</t>
  </si>
  <si>
    <t>D-8174</t>
  </si>
  <si>
    <t>D-8175</t>
  </si>
  <si>
    <t>D-8176</t>
  </si>
  <si>
    <t>D-8177</t>
  </si>
  <si>
    <t>D-8178</t>
  </si>
  <si>
    <t>D-8179</t>
  </si>
  <si>
    <t>D-8180</t>
  </si>
  <si>
    <t>D-8181</t>
  </si>
  <si>
    <t>D-8182</t>
  </si>
  <si>
    <t>D-8183</t>
  </si>
  <si>
    <t>D-8184</t>
  </si>
  <si>
    <t>D-8185</t>
  </si>
  <si>
    <t>D-8186</t>
  </si>
  <si>
    <t>D-8187</t>
  </si>
  <si>
    <t>D-8188</t>
  </si>
  <si>
    <t>D-8189</t>
  </si>
  <si>
    <t>D-8190</t>
  </si>
  <si>
    <t>D-8191</t>
  </si>
  <si>
    <t>D-8192</t>
  </si>
  <si>
    <t>D-8193</t>
  </si>
  <si>
    <t>D-8194</t>
  </si>
  <si>
    <t>D-8195</t>
  </si>
  <si>
    <t>D-8196</t>
  </si>
  <si>
    <t>D-8197</t>
  </si>
  <si>
    <t>D-8198</t>
  </si>
  <si>
    <t>D-8199</t>
  </si>
  <si>
    <t>D-8200</t>
  </si>
  <si>
    <t>D-8201</t>
  </si>
  <si>
    <t>D-8202</t>
  </si>
  <si>
    <t>D-8203</t>
  </si>
  <si>
    <t>D-8204</t>
  </si>
  <si>
    <t>D-8205</t>
  </si>
  <si>
    <t>D-8206</t>
  </si>
  <si>
    <t>D-8207</t>
  </si>
  <si>
    <t>D-8208</t>
  </si>
  <si>
    <t>D-8209</t>
  </si>
  <si>
    <t>D-8210</t>
  </si>
  <si>
    <t>D-8211</t>
  </si>
  <si>
    <t>D-8212</t>
  </si>
  <si>
    <t>D-8213</t>
  </si>
  <si>
    <t>D-8214</t>
  </si>
  <si>
    <t>D-8215</t>
  </si>
  <si>
    <t>D-8216</t>
  </si>
  <si>
    <t>D-8217</t>
  </si>
  <si>
    <t>D-8218</t>
  </si>
  <si>
    <t>D-8219</t>
  </si>
  <si>
    <t>D-8220</t>
  </si>
  <si>
    <t>D-8221</t>
  </si>
  <si>
    <t>D-8222</t>
  </si>
  <si>
    <t>D-8223</t>
  </si>
  <si>
    <t>D-8224</t>
  </si>
  <si>
    <t>D-8225</t>
  </si>
  <si>
    <t>D-8226</t>
  </si>
  <si>
    <t>D-8227</t>
  </si>
  <si>
    <t>D-8228</t>
  </si>
  <si>
    <t>D-8229</t>
  </si>
  <si>
    <t>D-8230</t>
  </si>
  <si>
    <t>D-8231</t>
  </si>
  <si>
    <t>D-8232</t>
  </si>
  <si>
    <t>D-8233</t>
  </si>
  <si>
    <t>D-8234</t>
  </si>
  <si>
    <t>D-8235</t>
  </si>
  <si>
    <t>D-8236</t>
  </si>
  <si>
    <t>D-8237</t>
  </si>
  <si>
    <t>D-8238</t>
  </si>
  <si>
    <t>D-8239</t>
  </si>
  <si>
    <t>D-8240</t>
  </si>
  <si>
    <t>D-8241</t>
  </si>
  <si>
    <t>D-8242</t>
  </si>
  <si>
    <t>D-8243</t>
  </si>
  <si>
    <t>D-8244</t>
  </si>
  <si>
    <t>D-8245</t>
  </si>
  <si>
    <t>D-8246</t>
  </si>
  <si>
    <t>D-8247</t>
  </si>
  <si>
    <t>D-8248</t>
  </si>
  <si>
    <t>D-8249</t>
  </si>
  <si>
    <t>D-8250</t>
  </si>
  <si>
    <t>D-8251</t>
  </si>
  <si>
    <t>D-8252</t>
  </si>
  <si>
    <t>D-8253</t>
  </si>
  <si>
    <t>D-8254</t>
  </si>
  <si>
    <t>27-Ago-22--29-Ago-22</t>
  </si>
  <si>
    <t>D-8255</t>
  </si>
  <si>
    <t>D-8256</t>
  </si>
  <si>
    <t>D-8257</t>
  </si>
  <si>
    <t>D-8258</t>
  </si>
  <si>
    <t>D-8259</t>
  </si>
  <si>
    <t>D-8260</t>
  </si>
  <si>
    <t>D-8261</t>
  </si>
  <si>
    <t>D-8262</t>
  </si>
  <si>
    <t>D-8263</t>
  </si>
  <si>
    <t>D-8264</t>
  </si>
  <si>
    <t>D-8265</t>
  </si>
  <si>
    <t>D-8266</t>
  </si>
  <si>
    <t>D-8267</t>
  </si>
  <si>
    <t>D-8268</t>
  </si>
  <si>
    <t>D-8269</t>
  </si>
  <si>
    <t>D-8270</t>
  </si>
  <si>
    <t>D-8271</t>
  </si>
  <si>
    <t>D-8272</t>
  </si>
  <si>
    <t>D-8273</t>
  </si>
  <si>
    <t>D-8274</t>
  </si>
  <si>
    <t>D-8275</t>
  </si>
  <si>
    <t>D-8276</t>
  </si>
  <si>
    <t>D-8277</t>
  </si>
  <si>
    <t>D-8278</t>
  </si>
  <si>
    <t>D-8279</t>
  </si>
  <si>
    <t>D-8280</t>
  </si>
  <si>
    <t>D-8281</t>
  </si>
  <si>
    <t>D-8282</t>
  </si>
  <si>
    <t>D-8283</t>
  </si>
  <si>
    <t>D-8284</t>
  </si>
  <si>
    <t>D-8285</t>
  </si>
  <si>
    <t>D-8286</t>
  </si>
  <si>
    <t>D-8287</t>
  </si>
  <si>
    <t>D-8288</t>
  </si>
  <si>
    <t>D-8289</t>
  </si>
  <si>
    <t>D-8290</t>
  </si>
  <si>
    <t>D-8291</t>
  </si>
  <si>
    <t>D-8292</t>
  </si>
  <si>
    <t>D-8293</t>
  </si>
  <si>
    <t>D-8294</t>
  </si>
  <si>
    <t>D-8295</t>
  </si>
  <si>
    <t>D-8296</t>
  </si>
  <si>
    <t>D-8297</t>
  </si>
  <si>
    <t>D-8298</t>
  </si>
  <si>
    <t>D-8299</t>
  </si>
  <si>
    <t>D-8300</t>
  </si>
  <si>
    <t>D-8301</t>
  </si>
  <si>
    <t>D-8302</t>
  </si>
  <si>
    <t>D-8303</t>
  </si>
  <si>
    <t>D-8304</t>
  </si>
  <si>
    <t>D-8305</t>
  </si>
  <si>
    <t>D-8306</t>
  </si>
  <si>
    <t>D-8307</t>
  </si>
  <si>
    <t>D-8308</t>
  </si>
  <si>
    <t>D-8309</t>
  </si>
  <si>
    <t>D-8310</t>
  </si>
  <si>
    <t>D-8311</t>
  </si>
  <si>
    <t>D-8312</t>
  </si>
  <si>
    <t>D-8313</t>
  </si>
  <si>
    <t>D-8314</t>
  </si>
  <si>
    <t>D-8315</t>
  </si>
  <si>
    <t>D-8316</t>
  </si>
  <si>
    <t>D-8317</t>
  </si>
  <si>
    <t>D-8318</t>
  </si>
  <si>
    <t>D-8319</t>
  </si>
  <si>
    <t>D-8320</t>
  </si>
  <si>
    <t>D-8321</t>
  </si>
  <si>
    <t>D-8322</t>
  </si>
  <si>
    <t>D-8323</t>
  </si>
  <si>
    <t>D-8324</t>
  </si>
  <si>
    <t>D-8325</t>
  </si>
  <si>
    <t>D-8326</t>
  </si>
  <si>
    <t>D-8327</t>
  </si>
  <si>
    <t>D-8328</t>
  </si>
  <si>
    <t>D-8329</t>
  </si>
  <si>
    <t>D-8330</t>
  </si>
  <si>
    <t>D-8331</t>
  </si>
  <si>
    <t>D-8332</t>
  </si>
  <si>
    <t>D-8333</t>
  </si>
  <si>
    <t>D-8334</t>
  </si>
  <si>
    <t>D-8335</t>
  </si>
  <si>
    <t>D-8336</t>
  </si>
  <si>
    <t>D-8337</t>
  </si>
  <si>
    <t>D-8338</t>
  </si>
  <si>
    <t>D-8339</t>
  </si>
  <si>
    <t>D-8340</t>
  </si>
  <si>
    <t>D-8341</t>
  </si>
  <si>
    <t>D-8342</t>
  </si>
  <si>
    <t>D-8343</t>
  </si>
  <si>
    <t>D-8344</t>
  </si>
  <si>
    <t>D-8345</t>
  </si>
  <si>
    <t>D-8346</t>
  </si>
  <si>
    <t>D-8347</t>
  </si>
  <si>
    <t>D-8348</t>
  </si>
  <si>
    <t>D-8349</t>
  </si>
  <si>
    <t>D-8350</t>
  </si>
  <si>
    <t>D-8351</t>
  </si>
  <si>
    <t>D-8352</t>
  </si>
  <si>
    <t>D-8353</t>
  </si>
  <si>
    <t>D-8354</t>
  </si>
  <si>
    <t>D-8355</t>
  </si>
  <si>
    <t>D-8356</t>
  </si>
  <si>
    <t>D-8357</t>
  </si>
  <si>
    <t>D-8358</t>
  </si>
  <si>
    <t>D-8359</t>
  </si>
  <si>
    <t>D-8360</t>
  </si>
  <si>
    <t>D-8361</t>
  </si>
  <si>
    <t>D-8362</t>
  </si>
  <si>
    <t>D-8363</t>
  </si>
  <si>
    <t>D-8364</t>
  </si>
  <si>
    <t>D-8365</t>
  </si>
  <si>
    <t>D-8366</t>
  </si>
  <si>
    <t>D-8367</t>
  </si>
  <si>
    <t>(784)IRENE ARENAS</t>
  </si>
  <si>
    <t>D-8368</t>
  </si>
  <si>
    <t>D-8369</t>
  </si>
  <si>
    <t>D-8370</t>
  </si>
  <si>
    <t>D-8371</t>
  </si>
  <si>
    <t>D-8372</t>
  </si>
  <si>
    <t>D-8373</t>
  </si>
  <si>
    <t>D-8374</t>
  </si>
  <si>
    <t>D-8375</t>
  </si>
  <si>
    <t>D-8376</t>
  </si>
  <si>
    <t>D-8377</t>
  </si>
  <si>
    <t>D-8378</t>
  </si>
  <si>
    <t>D-8379</t>
  </si>
  <si>
    <t>D-8380</t>
  </si>
  <si>
    <t>D-8381</t>
  </si>
  <si>
    <t>D-8382</t>
  </si>
  <si>
    <t>D-8383</t>
  </si>
  <si>
    <t>D-8384</t>
  </si>
  <si>
    <t>D-8385</t>
  </si>
  <si>
    <t>D-8386</t>
  </si>
  <si>
    <t>D-8387</t>
  </si>
  <si>
    <t>D-8388</t>
  </si>
  <si>
    <t>D-8389</t>
  </si>
  <si>
    <t>D-8390</t>
  </si>
  <si>
    <t>D-8391</t>
  </si>
  <si>
    <t>D-8392</t>
  </si>
  <si>
    <t>D-8393</t>
  </si>
  <si>
    <t>se sustituyo x la 8394 D</t>
  </si>
  <si>
    <t>D-8394</t>
  </si>
  <si>
    <t>D-8395</t>
  </si>
  <si>
    <t>D-8396</t>
  </si>
  <si>
    <t>D-8397</t>
  </si>
  <si>
    <t>D-8398</t>
  </si>
  <si>
    <t>D-8399</t>
  </si>
  <si>
    <t>D-8400</t>
  </si>
  <si>
    <t>D-8401</t>
  </si>
  <si>
    <t>D-8402</t>
  </si>
  <si>
    <t>D-8403</t>
  </si>
  <si>
    <t>D-8404</t>
  </si>
  <si>
    <t>D-8405</t>
  </si>
  <si>
    <t>(523)JUAN HUINATL</t>
  </si>
  <si>
    <t>D-8406</t>
  </si>
  <si>
    <t>D-8407</t>
  </si>
  <si>
    <t>D-8408</t>
  </si>
  <si>
    <t>D-8409</t>
  </si>
  <si>
    <t>D-8410</t>
  </si>
  <si>
    <t>D-8411</t>
  </si>
  <si>
    <t>D-8412</t>
  </si>
  <si>
    <t>D-8413</t>
  </si>
  <si>
    <t>D-8414</t>
  </si>
  <si>
    <t>D-8415</t>
  </si>
  <si>
    <t>D-8416</t>
  </si>
  <si>
    <t>D-8417</t>
  </si>
  <si>
    <t>D-8418</t>
  </si>
  <si>
    <t>D-8419</t>
  </si>
  <si>
    <t>D-8420</t>
  </si>
  <si>
    <t>D-8421</t>
  </si>
  <si>
    <t>D-8422</t>
  </si>
  <si>
    <t>D-8423</t>
  </si>
  <si>
    <t>29-Ago-22--30-Ago-22</t>
  </si>
  <si>
    <t>D-8424</t>
  </si>
  <si>
    <t>D-8425</t>
  </si>
  <si>
    <t>D-8426</t>
  </si>
  <si>
    <t>29-Ago-22--30-Ago-22--31-Ago-22</t>
  </si>
  <si>
    <t>D-8427</t>
  </si>
  <si>
    <t>D-8428</t>
  </si>
  <si>
    <t>D-8429</t>
  </si>
  <si>
    <t>D-8430</t>
  </si>
  <si>
    <t>D-8431</t>
  </si>
  <si>
    <t>D-8432</t>
  </si>
  <si>
    <t>D-8433</t>
  </si>
  <si>
    <t>D-8434</t>
  </si>
  <si>
    <t>D-8435</t>
  </si>
  <si>
    <t>D-8436</t>
  </si>
  <si>
    <t>D-8437</t>
  </si>
  <si>
    <t>D-8438</t>
  </si>
  <si>
    <t>D-8439</t>
  </si>
  <si>
    <t>D-8440</t>
  </si>
  <si>
    <t>D-8441</t>
  </si>
  <si>
    <t>D-8442</t>
  </si>
  <si>
    <t>D-8443</t>
  </si>
  <si>
    <t>D-8444</t>
  </si>
  <si>
    <t>D-8445</t>
  </si>
  <si>
    <t>D-8446</t>
  </si>
  <si>
    <t>D-8447</t>
  </si>
  <si>
    <t>D-8448</t>
  </si>
  <si>
    <t>D-8449</t>
  </si>
  <si>
    <t>D-8450</t>
  </si>
  <si>
    <t>D-8451</t>
  </si>
  <si>
    <t>D-8452</t>
  </si>
  <si>
    <t>D-8453</t>
  </si>
  <si>
    <t>D-8454</t>
  </si>
  <si>
    <t>D-8455</t>
  </si>
  <si>
    <t>D-8456</t>
  </si>
  <si>
    <t>D-8457</t>
  </si>
  <si>
    <t>D-8458</t>
  </si>
  <si>
    <t>D-8459</t>
  </si>
  <si>
    <t>D-8460</t>
  </si>
  <si>
    <t>D-8461</t>
  </si>
  <si>
    <t>D-8462</t>
  </si>
  <si>
    <t>D-8463</t>
  </si>
  <si>
    <t>D-8464</t>
  </si>
  <si>
    <t>D-8465</t>
  </si>
  <si>
    <t>D-8466</t>
  </si>
  <si>
    <t>D-8467</t>
  </si>
  <si>
    <t>D-8468</t>
  </si>
  <si>
    <t>D-8469</t>
  </si>
  <si>
    <t>D-8470</t>
  </si>
  <si>
    <t>D-8471</t>
  </si>
  <si>
    <t>D-8472</t>
  </si>
  <si>
    <t>D-8473</t>
  </si>
  <si>
    <t>D-8474</t>
  </si>
  <si>
    <t>D-8475</t>
  </si>
  <si>
    <t>D-8476</t>
  </si>
  <si>
    <t>D-8477</t>
  </si>
  <si>
    <t>D-8478</t>
  </si>
  <si>
    <t>D-8479</t>
  </si>
  <si>
    <t>D-8480</t>
  </si>
  <si>
    <t>D-8481</t>
  </si>
  <si>
    <t>D-8482</t>
  </si>
  <si>
    <t>D-8483</t>
  </si>
  <si>
    <t>D-8484</t>
  </si>
  <si>
    <t>D-8485</t>
  </si>
  <si>
    <t>D-8486</t>
  </si>
  <si>
    <t>D-8487</t>
  </si>
  <si>
    <t>D-8488</t>
  </si>
  <si>
    <t>D-8489</t>
  </si>
  <si>
    <t>D-8490</t>
  </si>
  <si>
    <t>D-8491</t>
  </si>
  <si>
    <t>D-8492</t>
  </si>
  <si>
    <t>D-8493</t>
  </si>
  <si>
    <t>D-8494</t>
  </si>
  <si>
    <t>D-8495</t>
  </si>
  <si>
    <t>D-8496</t>
  </si>
  <si>
    <t>D-8497</t>
  </si>
  <si>
    <t>D-8498</t>
  </si>
  <si>
    <t>D-8499</t>
  </si>
  <si>
    <t>D-8500</t>
  </si>
  <si>
    <t>se sustituyo x la 8501 D</t>
  </si>
  <si>
    <t>D-8501</t>
  </si>
  <si>
    <t>D-8502</t>
  </si>
  <si>
    <t>D-8503</t>
  </si>
  <si>
    <t>D-8504</t>
  </si>
  <si>
    <t>D-8505</t>
  </si>
  <si>
    <t>D-8506</t>
  </si>
  <si>
    <t>D-8507</t>
  </si>
  <si>
    <t>D-8508</t>
  </si>
  <si>
    <t>D-8509</t>
  </si>
  <si>
    <t>D-8510</t>
  </si>
  <si>
    <t>D-8511</t>
  </si>
  <si>
    <t>(446)MANUEL CARMONA</t>
  </si>
  <si>
    <t>D-8512</t>
  </si>
  <si>
    <t>D-8513</t>
  </si>
  <si>
    <t>D-8514</t>
  </si>
  <si>
    <t>D-8515</t>
  </si>
  <si>
    <t>D-8516</t>
  </si>
  <si>
    <r>
      <t xml:space="preserve">(685)VERONICA  </t>
    </r>
    <r>
      <rPr>
        <b/>
        <sz val="12"/>
        <color rgb="FFFF0000"/>
        <rFont val="Calibri"/>
        <family val="2"/>
        <scheme val="minor"/>
      </rPr>
      <t>CANCELADA</t>
    </r>
  </si>
  <si>
    <t>D-8517</t>
  </si>
  <si>
    <r>
      <t>(685)VERONICA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</si>
  <si>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8518 D</t>
  </si>
  <si>
    <t>D-8518</t>
  </si>
  <si>
    <t>D-8519</t>
  </si>
  <si>
    <t>D-8520</t>
  </si>
  <si>
    <t>D-8521</t>
  </si>
  <si>
    <t>D-8522</t>
  </si>
  <si>
    <t>D-8523</t>
  </si>
  <si>
    <t>D-8524</t>
  </si>
  <si>
    <t>D-8525</t>
  </si>
  <si>
    <t>D-8526</t>
  </si>
  <si>
    <t>D-8527</t>
  </si>
  <si>
    <t>se sustituyo x la 8528 D</t>
  </si>
  <si>
    <t>D-8528</t>
  </si>
  <si>
    <t>D-8529</t>
  </si>
  <si>
    <t>D-8530</t>
  </si>
  <si>
    <t>D-8531</t>
  </si>
  <si>
    <t>D-8532</t>
  </si>
  <si>
    <t>D-8533</t>
  </si>
  <si>
    <t>D-8534</t>
  </si>
  <si>
    <t>D-8535</t>
  </si>
  <si>
    <t>D-8536</t>
  </si>
  <si>
    <t>D-8537</t>
  </si>
  <si>
    <t>D-8538</t>
  </si>
  <si>
    <t>D-8539</t>
  </si>
  <si>
    <t>D-8540</t>
  </si>
  <si>
    <t>D-8541</t>
  </si>
  <si>
    <t>D-8542</t>
  </si>
  <si>
    <t>D-8543</t>
  </si>
  <si>
    <t>D-8544</t>
  </si>
  <si>
    <t>D-8545</t>
  </si>
  <si>
    <t>D-8546</t>
  </si>
  <si>
    <t>D-8547</t>
  </si>
  <si>
    <t>D-8548</t>
  </si>
  <si>
    <t>D-8549</t>
  </si>
  <si>
    <t>D-8550</t>
  </si>
  <si>
    <t>D-8551</t>
  </si>
  <si>
    <t>D-8552</t>
  </si>
  <si>
    <t>D-8553</t>
  </si>
  <si>
    <t>D-8554</t>
  </si>
  <si>
    <t>D-8555</t>
  </si>
  <si>
    <t>D-8556</t>
  </si>
  <si>
    <t>D-8557</t>
  </si>
  <si>
    <t>D-8558</t>
  </si>
  <si>
    <t>D-8559</t>
  </si>
  <si>
    <t>D-8560</t>
  </si>
  <si>
    <t>D-8561</t>
  </si>
  <si>
    <t>D-8562</t>
  </si>
  <si>
    <t>D-8563</t>
  </si>
  <si>
    <t>D-8564</t>
  </si>
  <si>
    <t>D-8565</t>
  </si>
  <si>
    <t>D-8566</t>
  </si>
  <si>
    <t>D-8567</t>
  </si>
  <si>
    <t>D-8568</t>
  </si>
  <si>
    <t>D-8569</t>
  </si>
  <si>
    <t>D-8570</t>
  </si>
  <si>
    <t>D-8571</t>
  </si>
  <si>
    <t>D-8572</t>
  </si>
  <si>
    <t>D-8573</t>
  </si>
  <si>
    <t>D-8574</t>
  </si>
  <si>
    <t>D-8575</t>
  </si>
  <si>
    <t>D-8576</t>
  </si>
  <si>
    <t>D-8577</t>
  </si>
  <si>
    <t>D-8578</t>
  </si>
  <si>
    <t>D-8579</t>
  </si>
  <si>
    <t>D-8580</t>
  </si>
  <si>
    <t>D-8581</t>
  </si>
  <si>
    <t>D-8582</t>
  </si>
  <si>
    <t>D-8583</t>
  </si>
  <si>
    <t>D-8584</t>
  </si>
  <si>
    <t>D-8585</t>
  </si>
  <si>
    <t>D-8586</t>
  </si>
  <si>
    <t>D-8587</t>
  </si>
  <si>
    <t>D-8588</t>
  </si>
  <si>
    <t>D-8589</t>
  </si>
  <si>
    <t>D-8590</t>
  </si>
  <si>
    <t>D-8591</t>
  </si>
  <si>
    <t>D-8592</t>
  </si>
  <si>
    <t>D-8593</t>
  </si>
  <si>
    <t>D-8594</t>
  </si>
  <si>
    <t>D-8595</t>
  </si>
  <si>
    <t>D-8596</t>
  </si>
  <si>
    <t>D-8597</t>
  </si>
  <si>
    <t>D-8598</t>
  </si>
  <si>
    <t>D-8599</t>
  </si>
  <si>
    <t>D-8600</t>
  </si>
  <si>
    <t>D-8601</t>
  </si>
  <si>
    <t>D-8602</t>
  </si>
  <si>
    <t>D-8603</t>
  </si>
  <si>
    <t>D-8604</t>
  </si>
  <si>
    <t>D-8605</t>
  </si>
  <si>
    <t>D-8606</t>
  </si>
  <si>
    <t>D-8607</t>
  </si>
  <si>
    <t>D-8608</t>
  </si>
  <si>
    <t>D-8609</t>
  </si>
  <si>
    <t>D-8610</t>
  </si>
  <si>
    <t>D-8611</t>
  </si>
  <si>
    <t>D-8612</t>
  </si>
  <si>
    <t>D-8613</t>
  </si>
  <si>
    <t>D-8614</t>
  </si>
  <si>
    <t>D-8615</t>
  </si>
  <si>
    <t>D-8616</t>
  </si>
  <si>
    <t>D-8617</t>
  </si>
  <si>
    <t>D-8618</t>
  </si>
  <si>
    <t>D-8619</t>
  </si>
  <si>
    <t>D-8620</t>
  </si>
  <si>
    <t>D-8621</t>
  </si>
  <si>
    <t>D-8622</t>
  </si>
  <si>
    <t>D-8623</t>
  </si>
  <si>
    <t>D-8624</t>
  </si>
  <si>
    <t>D-8625</t>
  </si>
  <si>
    <t>D-8626</t>
  </si>
  <si>
    <t>D-8627</t>
  </si>
  <si>
    <t>D-8628</t>
  </si>
  <si>
    <t>D-8629</t>
  </si>
  <si>
    <t>D-8630</t>
  </si>
  <si>
    <t>D-8631</t>
  </si>
  <si>
    <t>D-8632</t>
  </si>
  <si>
    <t>D-8633</t>
  </si>
  <si>
    <t>D-8634</t>
  </si>
  <si>
    <t>D-8635</t>
  </si>
  <si>
    <t>D-8636</t>
  </si>
  <si>
    <t>D-8637</t>
  </si>
  <si>
    <t>se sustituyo x la  8648 D</t>
  </si>
  <si>
    <t>D-8638</t>
  </si>
  <si>
    <t>D-8639</t>
  </si>
  <si>
    <t>D-8640</t>
  </si>
  <si>
    <t>D-8641</t>
  </si>
  <si>
    <t>D-8642</t>
  </si>
  <si>
    <t>D-8643</t>
  </si>
  <si>
    <t>D-8644</t>
  </si>
  <si>
    <t>D-8645</t>
  </si>
  <si>
    <t>D-8646</t>
  </si>
  <si>
    <t>D-8647</t>
  </si>
  <si>
    <t>D-8648</t>
  </si>
  <si>
    <t>D-8649</t>
  </si>
  <si>
    <t>D-8650</t>
  </si>
  <si>
    <t>D-8651</t>
  </si>
  <si>
    <t>D-8652</t>
  </si>
  <si>
    <t>D-8653</t>
  </si>
  <si>
    <t>D-8654</t>
  </si>
  <si>
    <t>D-8655</t>
  </si>
  <si>
    <t>D-8656</t>
  </si>
  <si>
    <t>D-8657</t>
  </si>
  <si>
    <t>D-8658</t>
  </si>
  <si>
    <t>D-8659</t>
  </si>
  <si>
    <t>D-8660</t>
  </si>
  <si>
    <t>D-8661</t>
  </si>
  <si>
    <t>D-8662</t>
  </si>
  <si>
    <t>D-8663</t>
  </si>
  <si>
    <t>D-8664</t>
  </si>
  <si>
    <t>D-8665</t>
  </si>
  <si>
    <t>D-8666</t>
  </si>
  <si>
    <t>D-8667</t>
  </si>
  <si>
    <t>D-8668</t>
  </si>
  <si>
    <t>D-8669</t>
  </si>
  <si>
    <t>D-8670</t>
  </si>
  <si>
    <t>D-8671</t>
  </si>
  <si>
    <t>D-8672</t>
  </si>
  <si>
    <t>D-8673</t>
  </si>
  <si>
    <t>D-8674</t>
  </si>
  <si>
    <t>D-8675</t>
  </si>
  <si>
    <t>D-8676</t>
  </si>
  <si>
    <t>D-8677</t>
  </si>
  <si>
    <t>D-8678</t>
  </si>
  <si>
    <t>D-8679</t>
  </si>
  <si>
    <t>D-8680</t>
  </si>
  <si>
    <t>D-8681</t>
  </si>
  <si>
    <t>D-8682</t>
  </si>
  <si>
    <t>D-8683</t>
  </si>
  <si>
    <t>D-8684</t>
  </si>
  <si>
    <t>D-8685</t>
  </si>
  <si>
    <t>D-8686</t>
  </si>
  <si>
    <t>D-8687</t>
  </si>
  <si>
    <t>D-8688</t>
  </si>
  <si>
    <t>D-8689</t>
  </si>
  <si>
    <t>D-8690</t>
  </si>
  <si>
    <t>D-8691</t>
  </si>
  <si>
    <t>D-8692</t>
  </si>
  <si>
    <t>D-8693</t>
  </si>
  <si>
    <t>D-8694</t>
  </si>
  <si>
    <t>D-8695</t>
  </si>
  <si>
    <t>D-8696</t>
  </si>
  <si>
    <t>D-8697</t>
  </si>
  <si>
    <t>D-8698</t>
  </si>
  <si>
    <t>D-8699</t>
  </si>
  <si>
    <t>D-8700</t>
  </si>
  <si>
    <t>D-8701</t>
  </si>
  <si>
    <t>D-8702</t>
  </si>
  <si>
    <t>(909)FRANCISCO HUINATL</t>
  </si>
  <si>
    <t>D-8703</t>
  </si>
  <si>
    <t>D-8704</t>
  </si>
  <si>
    <t>D-8705</t>
  </si>
  <si>
    <t>D-8706</t>
  </si>
  <si>
    <t>D-8707</t>
  </si>
  <si>
    <t>D-8708</t>
  </si>
  <si>
    <t>D-8709</t>
  </si>
  <si>
    <t>D-8710</t>
  </si>
  <si>
    <t>D-8711</t>
  </si>
  <si>
    <t>D-8712</t>
  </si>
  <si>
    <t>D-8713</t>
  </si>
  <si>
    <t>D-8714</t>
  </si>
  <si>
    <t>D-8715</t>
  </si>
  <si>
    <t>D-8716</t>
  </si>
  <si>
    <t>D-8717</t>
  </si>
  <si>
    <t>D-8718</t>
  </si>
  <si>
    <t>D-8719</t>
  </si>
  <si>
    <t>D-8720</t>
  </si>
  <si>
    <t>D-8721</t>
  </si>
  <si>
    <t>D-8722</t>
  </si>
  <si>
    <t>D-8723</t>
  </si>
  <si>
    <t>D-8724</t>
  </si>
  <si>
    <t>D-8725</t>
  </si>
  <si>
    <t>D-8726</t>
  </si>
  <si>
    <t>D-8727</t>
  </si>
  <si>
    <t>se sustituyo x la  8728 D</t>
  </si>
  <si>
    <t>D-8728</t>
  </si>
  <si>
    <t>D-8729</t>
  </si>
  <si>
    <t>D-8730</t>
  </si>
  <si>
    <t>D-8731</t>
  </si>
  <si>
    <t>D-8732</t>
  </si>
  <si>
    <t>D-8733</t>
  </si>
  <si>
    <t>D-8734</t>
  </si>
  <si>
    <t>D-8735</t>
  </si>
  <si>
    <t>D-8736</t>
  </si>
  <si>
    <t>D-8737</t>
  </si>
  <si>
    <t>D-8738</t>
  </si>
  <si>
    <t>D-8739</t>
  </si>
  <si>
    <t>D-8740</t>
  </si>
  <si>
    <t>D-8741</t>
  </si>
  <si>
    <t>D-8742</t>
  </si>
  <si>
    <t>D-8743</t>
  </si>
  <si>
    <t>D-8744</t>
  </si>
  <si>
    <t>D-8745</t>
  </si>
  <si>
    <t>D-8746</t>
  </si>
  <si>
    <t>D-8747</t>
  </si>
  <si>
    <t>D-8748</t>
  </si>
  <si>
    <t>D-8749</t>
  </si>
  <si>
    <t>D-8750</t>
  </si>
  <si>
    <t>D-8751</t>
  </si>
  <si>
    <t>D-8752</t>
  </si>
  <si>
    <t>D-8753</t>
  </si>
  <si>
    <t>D-8754</t>
  </si>
  <si>
    <t>D-8755</t>
  </si>
  <si>
    <t>se sustituyo x la  8757 D</t>
  </si>
  <si>
    <t>D-8756</t>
  </si>
  <si>
    <t>D-8757</t>
  </si>
  <si>
    <t>D-8758</t>
  </si>
  <si>
    <t>D-8759</t>
  </si>
  <si>
    <t>D-8760</t>
  </si>
  <si>
    <t>D-8761</t>
  </si>
  <si>
    <t>D-8762</t>
  </si>
  <si>
    <t>D-8763</t>
  </si>
  <si>
    <t>D-8764</t>
  </si>
  <si>
    <t>D-8765</t>
  </si>
  <si>
    <t>D-8766</t>
  </si>
  <si>
    <t>D-8767</t>
  </si>
  <si>
    <t>D-8768</t>
  </si>
  <si>
    <t>D-8769</t>
  </si>
  <si>
    <t>D-8770</t>
  </si>
  <si>
    <t>D-8771</t>
  </si>
  <si>
    <t>D-8772</t>
  </si>
  <si>
    <t>D-8773</t>
  </si>
  <si>
    <t>D-8774</t>
  </si>
  <si>
    <t>D-8775</t>
  </si>
  <si>
    <t>D-8776</t>
  </si>
  <si>
    <t>D-8777</t>
  </si>
  <si>
    <t>D-8778</t>
  </si>
  <si>
    <t>D-8779</t>
  </si>
  <si>
    <t>D-8780</t>
  </si>
  <si>
    <t>D-8781</t>
  </si>
  <si>
    <t>D-8782</t>
  </si>
  <si>
    <t>D-8783</t>
  </si>
  <si>
    <r>
      <t xml:space="preserve">(128)HUGO LOPEZ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</si>
  <si>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8762 D</t>
  </si>
  <si>
    <t>D-8784</t>
  </si>
  <si>
    <t>D-8785</t>
  </si>
  <si>
    <t>D-8786</t>
  </si>
  <si>
    <t>D-8787</t>
  </si>
  <si>
    <t>D-8788</t>
  </si>
  <si>
    <t>D-8789</t>
  </si>
  <si>
    <t>D-8790</t>
  </si>
  <si>
    <t>D-8791</t>
  </si>
  <si>
    <t>D-8792</t>
  </si>
  <si>
    <t>D-8793</t>
  </si>
  <si>
    <t>D-8794</t>
  </si>
  <si>
    <t>D-8795</t>
  </si>
  <si>
    <t>D-8796</t>
  </si>
  <si>
    <t>D-8797</t>
  </si>
  <si>
    <t>D-8798</t>
  </si>
  <si>
    <t>D-8799</t>
  </si>
  <si>
    <t>D-8800</t>
  </si>
  <si>
    <t>D-8801</t>
  </si>
  <si>
    <t>D-8802</t>
  </si>
  <si>
    <t>D-8803</t>
  </si>
  <si>
    <t>D-8804</t>
  </si>
  <si>
    <t>D-8805</t>
  </si>
  <si>
    <t>D-8806</t>
  </si>
  <si>
    <t>D-8807</t>
  </si>
  <si>
    <t>D-8808</t>
  </si>
  <si>
    <t>D-8809</t>
  </si>
  <si>
    <t>D-8810</t>
  </si>
  <si>
    <t>D-8811</t>
  </si>
  <si>
    <t>D-8812</t>
  </si>
  <si>
    <t>D-8813</t>
  </si>
  <si>
    <t>D-8814</t>
  </si>
  <si>
    <t>D-8815</t>
  </si>
  <si>
    <t>D-8816</t>
  </si>
  <si>
    <t>D-8817</t>
  </si>
  <si>
    <t>D-8818</t>
  </si>
  <si>
    <t>D-8819</t>
  </si>
  <si>
    <t>D-8820</t>
  </si>
  <si>
    <t>D-8821</t>
  </si>
  <si>
    <t>D-8822</t>
  </si>
  <si>
    <t>D-8823</t>
  </si>
  <si>
    <t>D-8824</t>
  </si>
  <si>
    <t>D-8825</t>
  </si>
  <si>
    <t>D-8826</t>
  </si>
  <si>
    <t>D-8827</t>
  </si>
  <si>
    <t>D-8828</t>
  </si>
  <si>
    <t>D-8829</t>
  </si>
  <si>
    <t>D-8830</t>
  </si>
  <si>
    <t>D-8831</t>
  </si>
  <si>
    <t>D-8832</t>
  </si>
  <si>
    <t>D-8833</t>
  </si>
  <si>
    <t>D-8834</t>
  </si>
  <si>
    <t>D-8835</t>
  </si>
  <si>
    <t>D-8836</t>
  </si>
  <si>
    <t>D-8837</t>
  </si>
  <si>
    <t>D-8838</t>
  </si>
  <si>
    <t>D-8839</t>
  </si>
  <si>
    <t>D-8840</t>
  </si>
  <si>
    <t>D-8841</t>
  </si>
  <si>
    <t>D-8842</t>
  </si>
  <si>
    <t>D-8843</t>
  </si>
  <si>
    <t>D-8844</t>
  </si>
  <si>
    <t>D-8845</t>
  </si>
  <si>
    <t>D-8846</t>
  </si>
  <si>
    <t>D-8847</t>
  </si>
  <si>
    <t>D-8848</t>
  </si>
  <si>
    <t>D-8849</t>
  </si>
  <si>
    <t>D-8850</t>
  </si>
  <si>
    <t>D-8851</t>
  </si>
  <si>
    <t>D-8852</t>
  </si>
  <si>
    <t>D-8853</t>
  </si>
  <si>
    <t>D-8854</t>
  </si>
  <si>
    <t>D-8855</t>
  </si>
  <si>
    <t>D-8856</t>
  </si>
  <si>
    <t>D-8857</t>
  </si>
  <si>
    <t>D-8858</t>
  </si>
  <si>
    <t>D-8859</t>
  </si>
  <si>
    <t>D-8860</t>
  </si>
  <si>
    <t>D-8861</t>
  </si>
  <si>
    <t>D-8862</t>
  </si>
  <si>
    <t>D-8863</t>
  </si>
  <si>
    <t>D-8864</t>
  </si>
  <si>
    <t>D-8865</t>
  </si>
  <si>
    <t>D-8866</t>
  </si>
  <si>
    <t>D-8867</t>
  </si>
  <si>
    <t>D-8868</t>
  </si>
  <si>
    <t>D-8869</t>
  </si>
  <si>
    <t>D-8870</t>
  </si>
  <si>
    <t>D-8871</t>
  </si>
  <si>
    <t>D-8872</t>
  </si>
  <si>
    <t>D-8873</t>
  </si>
  <si>
    <t>D-8874</t>
  </si>
  <si>
    <t>(79)GUSTAVO JIMENEZ</t>
  </si>
  <si>
    <t>D-8875</t>
  </si>
  <si>
    <t>D-8876</t>
  </si>
  <si>
    <t>D-8877</t>
  </si>
  <si>
    <t>D-8878</t>
  </si>
  <si>
    <t>D-8879</t>
  </si>
  <si>
    <t>D-8880</t>
  </si>
  <si>
    <t>D-8881</t>
  </si>
  <si>
    <t>D-8882</t>
  </si>
  <si>
    <t>D-8883</t>
  </si>
  <si>
    <t>D-8884</t>
  </si>
  <si>
    <t>D-8885</t>
  </si>
  <si>
    <t>D-8886</t>
  </si>
  <si>
    <t>D-8887</t>
  </si>
  <si>
    <t>D-8888</t>
  </si>
  <si>
    <t>D-8889</t>
  </si>
  <si>
    <t>D-8890</t>
  </si>
  <si>
    <t>D-8891</t>
  </si>
  <si>
    <t>D-8892</t>
  </si>
  <si>
    <t>D-8893</t>
  </si>
  <si>
    <t>D-8894</t>
  </si>
  <si>
    <t>D-8895</t>
  </si>
  <si>
    <t>D-8896</t>
  </si>
  <si>
    <t>D-8897</t>
  </si>
  <si>
    <t>D-8898</t>
  </si>
  <si>
    <t>D-8899</t>
  </si>
  <si>
    <t>D-8900</t>
  </si>
  <si>
    <t>D-8901</t>
  </si>
  <si>
    <t>D-8902</t>
  </si>
  <si>
    <t>D-8903</t>
  </si>
  <si>
    <t>D-8904</t>
  </si>
  <si>
    <r>
      <t xml:space="preserve">(894)GLORIA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</si>
  <si>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8986 D</t>
  </si>
  <si>
    <t>D-8905</t>
  </si>
  <si>
    <t>D-8906</t>
  </si>
  <si>
    <t>D-8907</t>
  </si>
  <si>
    <t>D-8908</t>
  </si>
  <si>
    <t>D-8909</t>
  </si>
  <si>
    <t>D-8910</t>
  </si>
  <si>
    <t>D-8911</t>
  </si>
  <si>
    <t>D-8912</t>
  </si>
  <si>
    <t>D-8913</t>
  </si>
  <si>
    <t>D-8914</t>
  </si>
  <si>
    <t>D-8915</t>
  </si>
  <si>
    <t>D-8916</t>
  </si>
  <si>
    <t xml:space="preserve">T O  T A L </t>
  </si>
  <si>
    <t>9-Ago-22--13-Ago-22--23-Ago-22--1-Sept-22</t>
  </si>
  <si>
    <t>31-Ago-22--1-Sept-22</t>
  </si>
  <si>
    <t>26-Ago-22--2-Sept-22</t>
  </si>
  <si>
    <t>31-Ago-22--02-Sept-22</t>
  </si>
  <si>
    <t>30-Ago-22--3-Sept-22</t>
  </si>
  <si>
    <t>2-Sept-22--7-Sept-22</t>
  </si>
  <si>
    <t>1-Sept-22--8-Sept-22</t>
  </si>
  <si>
    <t>2-Sept-22--9-Sept-22</t>
  </si>
  <si>
    <t>5-Sept-22--12-Sept-22</t>
  </si>
  <si>
    <t>10-Sept-22--13-Sept-22</t>
  </si>
  <si>
    <t>7-Sept-22--13-Sept-22</t>
  </si>
  <si>
    <t>9-Sept-22--15-Sept-22</t>
  </si>
  <si>
    <t>15-Sept-22--19-Sept-22</t>
  </si>
  <si>
    <t>RENE  REMISION  21392-C</t>
  </si>
  <si>
    <t>DARIO TIRO   REMISION  8754-C</t>
  </si>
  <si>
    <t>19-Sept-22--26-Sept-22---</t>
  </si>
  <si>
    <t>5-Sept-22--27-Sept-22</t>
  </si>
  <si>
    <t>D-8917</t>
  </si>
  <si>
    <t>D-8918</t>
  </si>
  <si>
    <t>D-8919</t>
  </si>
  <si>
    <t>D-8920</t>
  </si>
  <si>
    <t>D-8921</t>
  </si>
  <si>
    <t>D-8922</t>
  </si>
  <si>
    <t>D-8923</t>
  </si>
  <si>
    <t>D-8924</t>
  </si>
  <si>
    <t>D-8925</t>
  </si>
  <si>
    <t>D-8926</t>
  </si>
  <si>
    <t>D-8927</t>
  </si>
  <si>
    <t>D-8928</t>
  </si>
  <si>
    <t>3-Sept-22--5-Sept-22</t>
  </si>
  <si>
    <t>D-8929</t>
  </si>
  <si>
    <t>D-8930</t>
  </si>
  <si>
    <t>D-8931</t>
  </si>
  <si>
    <t>D-8932</t>
  </si>
  <si>
    <t>D-8933</t>
  </si>
  <si>
    <t>D-8934</t>
  </si>
  <si>
    <t>D-8935</t>
  </si>
  <si>
    <t>D-8936</t>
  </si>
  <si>
    <t>D-8937</t>
  </si>
  <si>
    <t>D-8938</t>
  </si>
  <si>
    <t>D-8939</t>
  </si>
  <si>
    <t>D-8940</t>
  </si>
  <si>
    <t>D-8941</t>
  </si>
  <si>
    <t>D-8942</t>
  </si>
  <si>
    <t>D-8943</t>
  </si>
  <si>
    <t>D-8944</t>
  </si>
  <si>
    <t>D-8945</t>
  </si>
  <si>
    <t>D-8946</t>
  </si>
  <si>
    <t>D-8947</t>
  </si>
  <si>
    <t>D-8948</t>
  </si>
  <si>
    <t>D-8949</t>
  </si>
  <si>
    <t>D-8950</t>
  </si>
  <si>
    <t>D-8951</t>
  </si>
  <si>
    <t>D-8952</t>
  </si>
  <si>
    <t>D-8953</t>
  </si>
  <si>
    <t>D-8954</t>
  </si>
  <si>
    <t>D-8955</t>
  </si>
  <si>
    <t>D-8956</t>
  </si>
  <si>
    <t>D-8957</t>
  </si>
  <si>
    <t>D-8958</t>
  </si>
  <si>
    <t>D-8959</t>
  </si>
  <si>
    <t>D-8960</t>
  </si>
  <si>
    <t>D-8961</t>
  </si>
  <si>
    <t>D-8962</t>
  </si>
  <si>
    <t>D-8963</t>
  </si>
  <si>
    <t>D-8964</t>
  </si>
  <si>
    <t>D-8965</t>
  </si>
  <si>
    <t>se sustituyo x la 8990</t>
  </si>
  <si>
    <t>D-8966</t>
  </si>
  <si>
    <t>D-8967</t>
  </si>
  <si>
    <t>D-8968</t>
  </si>
  <si>
    <t>D-8969</t>
  </si>
  <si>
    <t>D-8970</t>
  </si>
  <si>
    <t>D-8971</t>
  </si>
  <si>
    <t>D-8972</t>
  </si>
  <si>
    <t>D-8973</t>
  </si>
  <si>
    <t>D-8974</t>
  </si>
  <si>
    <t>D-8975</t>
  </si>
  <si>
    <t>D-8976</t>
  </si>
  <si>
    <r>
      <t>(657)CORAZON DE BRASIL CENTRO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</si>
  <si>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8977</t>
  </si>
  <si>
    <t>D-8977</t>
  </si>
  <si>
    <t>D-8978</t>
  </si>
  <si>
    <t>D-8979</t>
  </si>
  <si>
    <t>D-8980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</si>
  <si>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</si>
  <si>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D-8981</t>
  </si>
  <si>
    <t>D-8982</t>
  </si>
  <si>
    <t>D-8983</t>
  </si>
  <si>
    <t>D-8984</t>
  </si>
  <si>
    <t>D-8985</t>
  </si>
  <si>
    <t>(725)ABASTO DE 4 CARNES 11 SUR</t>
  </si>
  <si>
    <t>D-8986</t>
  </si>
  <si>
    <t>D-8987</t>
  </si>
  <si>
    <t>D-8988</t>
  </si>
  <si>
    <t>D-8989</t>
  </si>
  <si>
    <t>D-8990</t>
  </si>
  <si>
    <t>D-8991</t>
  </si>
  <si>
    <t>D-8992</t>
  </si>
  <si>
    <t>D-8993</t>
  </si>
  <si>
    <t>D-8994</t>
  </si>
  <si>
    <t>D-8995</t>
  </si>
  <si>
    <t>D-8996</t>
  </si>
  <si>
    <t>D-8997</t>
  </si>
  <si>
    <t>D-8998</t>
  </si>
  <si>
    <t>D-8999</t>
  </si>
  <si>
    <t>D-9000</t>
  </si>
  <si>
    <t>D-9001</t>
  </si>
  <si>
    <t>D-9002</t>
  </si>
  <si>
    <t>D-9003</t>
  </si>
  <si>
    <t>D-9004</t>
  </si>
  <si>
    <t>D-9005</t>
  </si>
  <si>
    <t>D-9006</t>
  </si>
  <si>
    <t>D-9007</t>
  </si>
  <si>
    <t>D-9008</t>
  </si>
  <si>
    <t>D-9009</t>
  </si>
  <si>
    <t>D-9010</t>
  </si>
  <si>
    <t>D-9011</t>
  </si>
  <si>
    <t>D-9012</t>
  </si>
  <si>
    <t>D-9013</t>
  </si>
  <si>
    <t>D-9014</t>
  </si>
  <si>
    <t>D-9015</t>
  </si>
  <si>
    <t>D-9016</t>
  </si>
  <si>
    <t>D-9017</t>
  </si>
  <si>
    <t>D-9018</t>
  </si>
  <si>
    <t>D-9019</t>
  </si>
  <si>
    <t>D-9020</t>
  </si>
  <si>
    <t>D-9021</t>
  </si>
  <si>
    <t>D-9022</t>
  </si>
  <si>
    <t>D-9023</t>
  </si>
  <si>
    <t>D-9024</t>
  </si>
  <si>
    <t>D-9025</t>
  </si>
  <si>
    <t>D-9026</t>
  </si>
  <si>
    <t>D-9027</t>
  </si>
  <si>
    <t>D-9028</t>
  </si>
  <si>
    <t>D-9029</t>
  </si>
  <si>
    <t>D-9030</t>
  </si>
  <si>
    <t>D-9031</t>
  </si>
  <si>
    <t>D-9032</t>
  </si>
  <si>
    <t>D-9033</t>
  </si>
  <si>
    <t>D-9034</t>
  </si>
  <si>
    <t>D-9035</t>
  </si>
  <si>
    <t>D-9036</t>
  </si>
  <si>
    <t>D-9037</t>
  </si>
  <si>
    <t>D-9038</t>
  </si>
  <si>
    <t>se duplico</t>
  </si>
  <si>
    <t>D-9039</t>
  </si>
  <si>
    <t>D-9040</t>
  </si>
  <si>
    <t>D-9041</t>
  </si>
  <si>
    <t>D-9042</t>
  </si>
  <si>
    <t>D-9043</t>
  </si>
  <si>
    <t>D-9044</t>
  </si>
  <si>
    <t>D-9045</t>
  </si>
  <si>
    <t>D-9046</t>
  </si>
  <si>
    <t>D-9047</t>
  </si>
  <si>
    <t>D-9048</t>
  </si>
  <si>
    <t>D-9049</t>
  </si>
  <si>
    <t>D-9050</t>
  </si>
  <si>
    <t>D-9051</t>
  </si>
  <si>
    <t>D-9052</t>
  </si>
  <si>
    <t>D-9053</t>
  </si>
  <si>
    <t>D-9054</t>
  </si>
  <si>
    <t>D-9055</t>
  </si>
  <si>
    <t>D-9056</t>
  </si>
  <si>
    <t>D-9057</t>
  </si>
  <si>
    <t>D-9058</t>
  </si>
  <si>
    <t>D-9059</t>
  </si>
  <si>
    <t>D-9060</t>
  </si>
  <si>
    <t>D-9061</t>
  </si>
  <si>
    <t>D-9062</t>
  </si>
  <si>
    <t>D-9063</t>
  </si>
  <si>
    <r>
      <t xml:space="preserve">(360)MANUEL REYES   </t>
    </r>
    <r>
      <rPr>
        <b/>
        <sz val="12"/>
        <color rgb="FFFF0000"/>
        <rFont val="Calibri"/>
        <family val="2"/>
        <scheme val="minor"/>
      </rPr>
      <t>CANCELADA</t>
    </r>
  </si>
  <si>
    <t>se sustituyo x la 9064</t>
  </si>
  <si>
    <t>D-9064</t>
  </si>
  <si>
    <t>D-9065</t>
  </si>
  <si>
    <t>D-9066</t>
  </si>
  <si>
    <t>D-9067</t>
  </si>
  <si>
    <t>D-9068</t>
  </si>
  <si>
    <t>D-9069</t>
  </si>
  <si>
    <t>D-9070</t>
  </si>
  <si>
    <t>D-9071</t>
  </si>
  <si>
    <t>D-9072</t>
  </si>
  <si>
    <t>D-9073</t>
  </si>
  <si>
    <t>D-9074</t>
  </si>
  <si>
    <t>D-9075</t>
  </si>
  <si>
    <t>D-9076</t>
  </si>
  <si>
    <t>D-9077</t>
  </si>
  <si>
    <t>D-9078</t>
  </si>
  <si>
    <t>D-9079</t>
  </si>
  <si>
    <t>D-9080</t>
  </si>
  <si>
    <t>D-9081</t>
  </si>
  <si>
    <t>D-9082</t>
  </si>
  <si>
    <t>D-9083</t>
  </si>
  <si>
    <t>D-9084</t>
  </si>
  <si>
    <t>D-9085</t>
  </si>
  <si>
    <t>D-9086</t>
  </si>
  <si>
    <t>D-9087</t>
  </si>
  <si>
    <t>D-9088</t>
  </si>
  <si>
    <t>D-9089</t>
  </si>
  <si>
    <t>D-9090</t>
  </si>
  <si>
    <t>se sustituyo x la 9091</t>
  </si>
  <si>
    <t>D-9091</t>
  </si>
  <si>
    <t>7-Sept-22--9-Sept-22</t>
  </si>
  <si>
    <t>D-9092</t>
  </si>
  <si>
    <t>D-9093</t>
  </si>
  <si>
    <t>D-9094</t>
  </si>
  <si>
    <t>D-9095</t>
  </si>
  <si>
    <t>D-9096</t>
  </si>
  <si>
    <t>D-9097</t>
  </si>
  <si>
    <t>D-9098</t>
  </si>
  <si>
    <t>D-9099</t>
  </si>
  <si>
    <t>D-9100</t>
  </si>
  <si>
    <t>D-9101</t>
  </si>
  <si>
    <t>D-9102</t>
  </si>
  <si>
    <t>D-9103</t>
  </si>
  <si>
    <t>D-9104</t>
  </si>
  <si>
    <t>D-9105</t>
  </si>
  <si>
    <t>D-9106</t>
  </si>
  <si>
    <t>D-9107</t>
  </si>
  <si>
    <t>D-9108</t>
  </si>
  <si>
    <t>D-9109</t>
  </si>
  <si>
    <t>D-9110</t>
  </si>
  <si>
    <t>D-9111</t>
  </si>
  <si>
    <t>D-9112</t>
  </si>
  <si>
    <t>D-9113</t>
  </si>
  <si>
    <t>D-9114</t>
  </si>
  <si>
    <t>D-9115</t>
  </si>
  <si>
    <t>D-9116</t>
  </si>
  <si>
    <t>D-9117</t>
  </si>
  <si>
    <t>D-9118</t>
  </si>
  <si>
    <t>D-9119</t>
  </si>
  <si>
    <t>D-9120</t>
  </si>
  <si>
    <t>D-9121</t>
  </si>
  <si>
    <t>D-9122</t>
  </si>
  <si>
    <t>D-9123</t>
  </si>
  <si>
    <t>D-9124</t>
  </si>
  <si>
    <t>D-9125</t>
  </si>
  <si>
    <t>D-9126</t>
  </si>
  <si>
    <t>D-9127</t>
  </si>
  <si>
    <t>D-9128</t>
  </si>
  <si>
    <t>D-9129</t>
  </si>
  <si>
    <t>D-9130</t>
  </si>
  <si>
    <t>D-9131</t>
  </si>
  <si>
    <t>D-9132</t>
  </si>
  <si>
    <t>D-9133</t>
  </si>
  <si>
    <t>D-9134</t>
  </si>
  <si>
    <t>D-9135</t>
  </si>
  <si>
    <t>D-9136</t>
  </si>
  <si>
    <t>D-9137</t>
  </si>
  <si>
    <t>D-9138</t>
  </si>
  <si>
    <t>D-9139</t>
  </si>
  <si>
    <t>D-9140</t>
  </si>
  <si>
    <t>D-9141</t>
  </si>
  <si>
    <t>D-9142</t>
  </si>
  <si>
    <t>D-9143</t>
  </si>
  <si>
    <t>D-9144</t>
  </si>
  <si>
    <t>D-9145</t>
  </si>
  <si>
    <t>D-9146</t>
  </si>
  <si>
    <t>D-9147</t>
  </si>
  <si>
    <t>D-9148</t>
  </si>
  <si>
    <t>D-9149</t>
  </si>
  <si>
    <t>D-9150</t>
  </si>
  <si>
    <t>D-9151</t>
  </si>
  <si>
    <t>D-9152</t>
  </si>
  <si>
    <t>D-9153</t>
  </si>
  <si>
    <t>D-9154</t>
  </si>
  <si>
    <t>D-9155</t>
  </si>
  <si>
    <t>D-9156</t>
  </si>
  <si>
    <t>D-9157</t>
  </si>
  <si>
    <t>D-9158</t>
  </si>
  <si>
    <t>D-9159</t>
  </si>
  <si>
    <t>D-9160</t>
  </si>
  <si>
    <t>D-9161</t>
  </si>
  <si>
    <t>D-9162</t>
  </si>
  <si>
    <t>D-9163</t>
  </si>
  <si>
    <t>D-9164</t>
  </si>
  <si>
    <t>5-Sept-22--6-Sept-22</t>
  </si>
  <si>
    <t>D-9165</t>
  </si>
  <si>
    <t>D-9166</t>
  </si>
  <si>
    <t>D-9167</t>
  </si>
  <si>
    <t>D-9168</t>
  </si>
  <si>
    <t>D-9169</t>
  </si>
  <si>
    <t>D-9170</t>
  </si>
  <si>
    <t>D-9171</t>
  </si>
  <si>
    <t>D-9172</t>
  </si>
  <si>
    <t>D-9173</t>
  </si>
  <si>
    <t>D-9174</t>
  </si>
  <si>
    <t>D-9175</t>
  </si>
  <si>
    <r>
      <t xml:space="preserve">(297)ZAPATA 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</si>
  <si>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9176</t>
  </si>
  <si>
    <t>D-9176</t>
  </si>
  <si>
    <t>D-9177</t>
  </si>
  <si>
    <t>D-9178</t>
  </si>
  <si>
    <t>D-9179</t>
  </si>
  <si>
    <t>D-9180</t>
  </si>
  <si>
    <t>D-9181</t>
  </si>
  <si>
    <t>D-9182</t>
  </si>
  <si>
    <t>D-9183</t>
  </si>
  <si>
    <t>(540)RODRIGO SILVA</t>
  </si>
  <si>
    <t>D-9184</t>
  </si>
  <si>
    <t>D-9185</t>
  </si>
  <si>
    <t>D-9186</t>
  </si>
  <si>
    <t>D-9187</t>
  </si>
  <si>
    <t>D-9188</t>
  </si>
  <si>
    <t>D-9189</t>
  </si>
  <si>
    <t>D-9190</t>
  </si>
  <si>
    <t>D-9191</t>
  </si>
  <si>
    <t>D-9192</t>
  </si>
  <si>
    <t>4-Sept-11--5-Sept-22</t>
  </si>
  <si>
    <t>D-9193</t>
  </si>
  <si>
    <t>4-Sept-22--5-Sept-22</t>
  </si>
  <si>
    <t>D-9194</t>
  </si>
  <si>
    <t>D-9195</t>
  </si>
  <si>
    <t>D-9196</t>
  </si>
  <si>
    <t>D-9197</t>
  </si>
  <si>
    <t>D-9198</t>
  </si>
  <si>
    <t>D-9199</t>
  </si>
  <si>
    <t>D-9200</t>
  </si>
  <si>
    <t>D-9201</t>
  </si>
  <si>
    <r>
      <t>(289)JORGE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</si>
  <si>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9202</t>
  </si>
  <si>
    <t>D-9202</t>
  </si>
  <si>
    <t>D-9203</t>
  </si>
  <si>
    <t>D-9204</t>
  </si>
  <si>
    <t>D-9205</t>
  </si>
  <si>
    <t>D-9206</t>
  </si>
  <si>
    <t>D-9207</t>
  </si>
  <si>
    <t>D-9208</t>
  </si>
  <si>
    <t>D-9209</t>
  </si>
  <si>
    <t>D-9210</t>
  </si>
  <si>
    <t>D-9211</t>
  </si>
  <si>
    <t>D-9212</t>
  </si>
  <si>
    <t>D-9213</t>
  </si>
  <si>
    <t>D-9214</t>
  </si>
  <si>
    <t>D-9215</t>
  </si>
  <si>
    <t>D-9216</t>
  </si>
  <si>
    <t>D-9217</t>
  </si>
  <si>
    <t>D-9218</t>
  </si>
  <si>
    <t>D-9219</t>
  </si>
  <si>
    <t>D-9220</t>
  </si>
  <si>
    <t>D-9221</t>
  </si>
  <si>
    <t>D-9222</t>
  </si>
  <si>
    <t>D-9223</t>
  </si>
  <si>
    <t>D-9224</t>
  </si>
  <si>
    <t>D-9225</t>
  </si>
  <si>
    <t>D-9226</t>
  </si>
  <si>
    <t>D-9227</t>
  </si>
  <si>
    <t>D-9228</t>
  </si>
  <si>
    <t>D-9229</t>
  </si>
  <si>
    <t>D-9230</t>
  </si>
  <si>
    <t>D-9231</t>
  </si>
  <si>
    <t>D-9232</t>
  </si>
  <si>
    <t>D-9233</t>
  </si>
  <si>
    <t>D-9234</t>
  </si>
  <si>
    <t>D-9235</t>
  </si>
  <si>
    <t>D-9236</t>
  </si>
  <si>
    <t>D-9237</t>
  </si>
  <si>
    <t>D-9238</t>
  </si>
  <si>
    <t>D-9239</t>
  </si>
  <si>
    <t>D-9240</t>
  </si>
  <si>
    <t>D-9241</t>
  </si>
  <si>
    <t>D-9242</t>
  </si>
  <si>
    <t>D-9243</t>
  </si>
  <si>
    <t>D-9244</t>
  </si>
  <si>
    <t>D-9245</t>
  </si>
  <si>
    <t>D-9246</t>
  </si>
  <si>
    <t>D-9247</t>
  </si>
  <si>
    <t>D-9248</t>
  </si>
  <si>
    <t>D-9249</t>
  </si>
  <si>
    <t>D-9250</t>
  </si>
  <si>
    <t>D-9251</t>
  </si>
  <si>
    <t>D-9252</t>
  </si>
  <si>
    <t>D-9253</t>
  </si>
  <si>
    <t>D-9254</t>
  </si>
  <si>
    <t>D-9255</t>
  </si>
  <si>
    <t>D-9256</t>
  </si>
  <si>
    <t>D-9257</t>
  </si>
  <si>
    <t>D-9258</t>
  </si>
  <si>
    <t>D-9259</t>
  </si>
  <si>
    <t>D-9260</t>
  </si>
  <si>
    <t>D-9261</t>
  </si>
  <si>
    <t>D-9262</t>
  </si>
  <si>
    <t>D-9263</t>
  </si>
  <si>
    <t>D-9264</t>
  </si>
  <si>
    <t>D-9265</t>
  </si>
  <si>
    <t>D-9266</t>
  </si>
  <si>
    <t>D-9267</t>
  </si>
  <si>
    <t>D-9268</t>
  </si>
  <si>
    <t>D-9269</t>
  </si>
  <si>
    <t>D-9270</t>
  </si>
  <si>
    <t>D-9271</t>
  </si>
  <si>
    <t>D-9272</t>
  </si>
  <si>
    <t>D-9273</t>
  </si>
  <si>
    <t>D-9274</t>
  </si>
  <si>
    <t>D-9275</t>
  </si>
  <si>
    <t>D-9276</t>
  </si>
  <si>
    <t>D-9277</t>
  </si>
  <si>
    <t>D-9278</t>
  </si>
  <si>
    <t>D-9279</t>
  </si>
  <si>
    <t>D-9280</t>
  </si>
  <si>
    <t>D-9281</t>
  </si>
  <si>
    <t>D-9282</t>
  </si>
  <si>
    <t>D-9283</t>
  </si>
  <si>
    <t>D-9284</t>
  </si>
  <si>
    <t>D-9285</t>
  </si>
  <si>
    <t>D-9286</t>
  </si>
  <si>
    <t>D-9287</t>
  </si>
  <si>
    <t>D-9288</t>
  </si>
  <si>
    <t>D-9289</t>
  </si>
  <si>
    <t>D-9290</t>
  </si>
  <si>
    <t>D-9291</t>
  </si>
  <si>
    <t>D-9292</t>
  </si>
  <si>
    <t>D-9293</t>
  </si>
  <si>
    <t>D-9294</t>
  </si>
  <si>
    <t>D-9295</t>
  </si>
  <si>
    <t>D-9296</t>
  </si>
  <si>
    <t>D-9297</t>
  </si>
  <si>
    <t>D-9298</t>
  </si>
  <si>
    <t>D-9299</t>
  </si>
  <si>
    <t>D-9300</t>
  </si>
  <si>
    <t>D-9301</t>
  </si>
  <si>
    <t>D-9302</t>
  </si>
  <si>
    <t>D-9303</t>
  </si>
  <si>
    <t>D-9304</t>
  </si>
  <si>
    <t>D-9305</t>
  </si>
  <si>
    <t>D-9306</t>
  </si>
  <si>
    <t>D-9307</t>
  </si>
  <si>
    <t>D-9308</t>
  </si>
  <si>
    <t>D-9309</t>
  </si>
  <si>
    <t>D-9310</t>
  </si>
  <si>
    <t>D-9311</t>
  </si>
  <si>
    <t>D-9312</t>
  </si>
  <si>
    <t>D-9313</t>
  </si>
  <si>
    <t>D-9314</t>
  </si>
  <si>
    <t>D-9315</t>
  </si>
  <si>
    <t>D-9316</t>
  </si>
  <si>
    <t>(791)GABRIEL ZAYAZ</t>
  </si>
  <si>
    <t>D-9317</t>
  </si>
  <si>
    <t>D-9318</t>
  </si>
  <si>
    <t>D-9319</t>
  </si>
  <si>
    <t>D-9320</t>
  </si>
  <si>
    <t>D-9321</t>
  </si>
  <si>
    <t>D-9322</t>
  </si>
  <si>
    <t>D-9323</t>
  </si>
  <si>
    <t>D-9324</t>
  </si>
  <si>
    <t>D-9325</t>
  </si>
  <si>
    <t>D-9326</t>
  </si>
  <si>
    <t>D-9327</t>
  </si>
  <si>
    <t>D-9328</t>
  </si>
  <si>
    <t>D-9329</t>
  </si>
  <si>
    <t>D-9330</t>
  </si>
  <si>
    <t>D-9331</t>
  </si>
  <si>
    <t>D-9332</t>
  </si>
  <si>
    <t>D-9333</t>
  </si>
  <si>
    <t>D-9334</t>
  </si>
  <si>
    <t>D-9335</t>
  </si>
  <si>
    <t>D-9336</t>
  </si>
  <si>
    <t>D-9337</t>
  </si>
  <si>
    <t>D-9338</t>
  </si>
  <si>
    <t>D-9339</t>
  </si>
  <si>
    <t>D-9340</t>
  </si>
  <si>
    <t>D-9341</t>
  </si>
  <si>
    <t>D-9342</t>
  </si>
  <si>
    <t>D-9343</t>
  </si>
  <si>
    <t>D-9344</t>
  </si>
  <si>
    <t>D-9345</t>
  </si>
  <si>
    <t>D-9346</t>
  </si>
  <si>
    <t>D-9347</t>
  </si>
  <si>
    <t>D-9348</t>
  </si>
  <si>
    <t>D-9349</t>
  </si>
  <si>
    <t>D-9350</t>
  </si>
  <si>
    <t>D-9351</t>
  </si>
  <si>
    <t>D-9352</t>
  </si>
  <si>
    <t>D-9353</t>
  </si>
  <si>
    <t>D-9354</t>
  </si>
  <si>
    <t>D-9355</t>
  </si>
  <si>
    <t>D-9356</t>
  </si>
  <si>
    <t>D-9357</t>
  </si>
  <si>
    <t>D-9358</t>
  </si>
  <si>
    <t>D-9359</t>
  </si>
  <si>
    <t>D-9360</t>
  </si>
  <si>
    <t>D-9361</t>
  </si>
  <si>
    <t>D-9362</t>
  </si>
  <si>
    <t>D-9363</t>
  </si>
  <si>
    <t>D-9364</t>
  </si>
  <si>
    <t>D-9365</t>
  </si>
  <si>
    <t>D-9366</t>
  </si>
  <si>
    <t>D-9367</t>
  </si>
  <si>
    <t>D-9368</t>
  </si>
  <si>
    <t>D-9369</t>
  </si>
  <si>
    <t>D-9370</t>
  </si>
  <si>
    <t>D-9371</t>
  </si>
  <si>
    <t>D-9372</t>
  </si>
  <si>
    <t>D-9373</t>
  </si>
  <si>
    <t>D-9374</t>
  </si>
  <si>
    <t>D-9375</t>
  </si>
  <si>
    <t>D-9376</t>
  </si>
  <si>
    <t>D-9377</t>
  </si>
  <si>
    <t>D-9378</t>
  </si>
  <si>
    <t>D-9379</t>
  </si>
  <si>
    <t>D-9380</t>
  </si>
  <si>
    <t>D-9381</t>
  </si>
  <si>
    <t>D-9382</t>
  </si>
  <si>
    <t>D-9383</t>
  </si>
  <si>
    <t>D-9384</t>
  </si>
  <si>
    <t>D-9385</t>
  </si>
  <si>
    <t>D-9386</t>
  </si>
  <si>
    <t>D-9387</t>
  </si>
  <si>
    <t>D-9388</t>
  </si>
  <si>
    <t>D-9389</t>
  </si>
  <si>
    <t>D-9390</t>
  </si>
  <si>
    <t>D-9391</t>
  </si>
  <si>
    <t>D-9392</t>
  </si>
  <si>
    <t>D-9393</t>
  </si>
  <si>
    <t>D-9394</t>
  </si>
  <si>
    <t>D-9395</t>
  </si>
  <si>
    <t>D-9396</t>
  </si>
  <si>
    <t>D-9397</t>
  </si>
  <si>
    <t>D-9398</t>
  </si>
  <si>
    <t>D-9399</t>
  </si>
  <si>
    <t>D-9400</t>
  </si>
  <si>
    <t>D-9401</t>
  </si>
  <si>
    <t>D-9402</t>
  </si>
  <si>
    <t>D-9403</t>
  </si>
  <si>
    <t>D-9404</t>
  </si>
  <si>
    <t>D-9405</t>
  </si>
  <si>
    <t>D-9406</t>
  </si>
  <si>
    <t>D-9407</t>
  </si>
  <si>
    <t>D-9408</t>
  </si>
  <si>
    <t>D-9409</t>
  </si>
  <si>
    <t>D-9410</t>
  </si>
  <si>
    <t>D-9411</t>
  </si>
  <si>
    <t>D-9412</t>
  </si>
  <si>
    <t>D-9413</t>
  </si>
  <si>
    <t>D-9414</t>
  </si>
  <si>
    <t>D-9415</t>
  </si>
  <si>
    <t>D-9416</t>
  </si>
  <si>
    <t>D-9417</t>
  </si>
  <si>
    <t>D-9418</t>
  </si>
  <si>
    <t>D-9419</t>
  </si>
  <si>
    <t>D-9420</t>
  </si>
  <si>
    <t>D-9421</t>
  </si>
  <si>
    <t>D-9422</t>
  </si>
  <si>
    <t>D-9423</t>
  </si>
  <si>
    <t>D-9424</t>
  </si>
  <si>
    <t>D-9425</t>
  </si>
  <si>
    <t>D-9426</t>
  </si>
  <si>
    <t>D-9427</t>
  </si>
  <si>
    <t>D-9428</t>
  </si>
  <si>
    <t>D-9429</t>
  </si>
  <si>
    <t>D-9430</t>
  </si>
  <si>
    <t>D-9431</t>
  </si>
  <si>
    <t>D-9432</t>
  </si>
  <si>
    <t>D-9433</t>
  </si>
  <si>
    <t>D-9434</t>
  </si>
  <si>
    <t>D-9435</t>
  </si>
  <si>
    <t>D-9436</t>
  </si>
  <si>
    <t>D-9437</t>
  </si>
  <si>
    <t>D-9438</t>
  </si>
  <si>
    <t>D-9439</t>
  </si>
  <si>
    <t>D-9440</t>
  </si>
  <si>
    <t>D-9441</t>
  </si>
  <si>
    <t>D-9442</t>
  </si>
  <si>
    <t>D-9443</t>
  </si>
  <si>
    <t>D-9444</t>
  </si>
  <si>
    <t>D-9445</t>
  </si>
  <si>
    <t>D-9446</t>
  </si>
  <si>
    <t>D-9447</t>
  </si>
  <si>
    <t>D-9448</t>
  </si>
  <si>
    <t>D-9449</t>
  </si>
  <si>
    <t>D-9450</t>
  </si>
  <si>
    <t>D-9451</t>
  </si>
  <si>
    <t>D-9452</t>
  </si>
  <si>
    <t>D-9453</t>
  </si>
  <si>
    <t>D-9454</t>
  </si>
  <si>
    <t>D-9455</t>
  </si>
  <si>
    <t>D-9456</t>
  </si>
  <si>
    <t>D-9457</t>
  </si>
  <si>
    <t>D-9458</t>
  </si>
  <si>
    <t>D-9459</t>
  </si>
  <si>
    <t>D-9460</t>
  </si>
  <si>
    <t>D-9461</t>
  </si>
  <si>
    <t>D-9462</t>
  </si>
  <si>
    <t>D-9463</t>
  </si>
  <si>
    <t>D-9464</t>
  </si>
  <si>
    <t>D-9465</t>
  </si>
  <si>
    <t>D-9466</t>
  </si>
  <si>
    <t>D-9467</t>
  </si>
  <si>
    <t>D-9468</t>
  </si>
  <si>
    <t>D-9469</t>
  </si>
  <si>
    <t>D-9470</t>
  </si>
  <si>
    <t>D-9471</t>
  </si>
  <si>
    <t>D-9472</t>
  </si>
  <si>
    <t>D-9473</t>
  </si>
  <si>
    <t>D-9474</t>
  </si>
  <si>
    <t>D-9475</t>
  </si>
  <si>
    <t>D-9476</t>
  </si>
  <si>
    <t>D-9477</t>
  </si>
  <si>
    <t>12-Sept-22--19-Sept-22</t>
  </si>
  <si>
    <t>D-9478</t>
  </si>
  <si>
    <t>D-9479</t>
  </si>
  <si>
    <t>D-9480</t>
  </si>
  <si>
    <t>D-9481</t>
  </si>
  <si>
    <t>D-9482</t>
  </si>
  <si>
    <t>D-9483</t>
  </si>
  <si>
    <t>D-9484</t>
  </si>
  <si>
    <t>D-9485</t>
  </si>
  <si>
    <t>D-9486</t>
  </si>
  <si>
    <t>D-9487</t>
  </si>
  <si>
    <t>D-9488</t>
  </si>
  <si>
    <t>D-9489</t>
  </si>
  <si>
    <t>D-9490</t>
  </si>
  <si>
    <t>D-9491</t>
  </si>
  <si>
    <t>D-9492</t>
  </si>
  <si>
    <t>D-9493</t>
  </si>
  <si>
    <t>D-9494</t>
  </si>
  <si>
    <t>D-9495</t>
  </si>
  <si>
    <t>D-9496</t>
  </si>
  <si>
    <t>D-9497</t>
  </si>
  <si>
    <t>D-9498</t>
  </si>
  <si>
    <t>D-9499</t>
  </si>
  <si>
    <t>D-9500</t>
  </si>
  <si>
    <t>D-9501</t>
  </si>
  <si>
    <t>D-9502</t>
  </si>
  <si>
    <t>D-9503</t>
  </si>
  <si>
    <t>D-9504</t>
  </si>
  <si>
    <t>D-9505</t>
  </si>
  <si>
    <t>D-9506</t>
  </si>
  <si>
    <t>D-9507</t>
  </si>
  <si>
    <t>D-9508</t>
  </si>
  <si>
    <t>D-9509</t>
  </si>
  <si>
    <t>D-9510</t>
  </si>
  <si>
    <t>D-9511</t>
  </si>
  <si>
    <t>D-9512</t>
  </si>
  <si>
    <t>D-9513</t>
  </si>
  <si>
    <t>D-9514</t>
  </si>
  <si>
    <t>D-9515</t>
  </si>
  <si>
    <t>D-9516</t>
  </si>
  <si>
    <t>D-9517</t>
  </si>
  <si>
    <t>D-9518</t>
  </si>
  <si>
    <t>D-9519</t>
  </si>
  <si>
    <t>D-9520</t>
  </si>
  <si>
    <t>D-9521</t>
  </si>
  <si>
    <t>D-9522</t>
  </si>
  <si>
    <t>D-9523</t>
  </si>
  <si>
    <t>D-9524</t>
  </si>
  <si>
    <t>D-9525</t>
  </si>
  <si>
    <t>D-9526</t>
  </si>
  <si>
    <t>D-9527</t>
  </si>
  <si>
    <t>D-9528</t>
  </si>
  <si>
    <t>D-9529</t>
  </si>
  <si>
    <t>D-9530</t>
  </si>
  <si>
    <t>D-9531</t>
  </si>
  <si>
    <t>D-9532</t>
  </si>
  <si>
    <t>D-9533</t>
  </si>
  <si>
    <t>D-9534</t>
  </si>
  <si>
    <t>D-9535</t>
  </si>
  <si>
    <t>D-9536</t>
  </si>
  <si>
    <t>D-9537</t>
  </si>
  <si>
    <t>D-9538</t>
  </si>
  <si>
    <t>D-9539</t>
  </si>
  <si>
    <t>D-9540</t>
  </si>
  <si>
    <t>D-9541</t>
  </si>
  <si>
    <t>D-9542</t>
  </si>
  <si>
    <t>D-9543</t>
  </si>
  <si>
    <t>D-9544</t>
  </si>
  <si>
    <t>D-9545</t>
  </si>
  <si>
    <t>D-9546</t>
  </si>
  <si>
    <t>D-9547</t>
  </si>
  <si>
    <t>D-9548</t>
  </si>
  <si>
    <t>D-9549</t>
  </si>
  <si>
    <t>D-9550</t>
  </si>
  <si>
    <t>D-9551</t>
  </si>
  <si>
    <t>D-9552</t>
  </si>
  <si>
    <t>D-9553</t>
  </si>
  <si>
    <t>D-9554</t>
  </si>
  <si>
    <t>D-9555</t>
  </si>
  <si>
    <t>D-9556</t>
  </si>
  <si>
    <t>D-9557</t>
  </si>
  <si>
    <t>D-9558</t>
  </si>
  <si>
    <t>D-9559</t>
  </si>
  <si>
    <t>D-9560</t>
  </si>
  <si>
    <t>D-9561</t>
  </si>
  <si>
    <t>D-9562</t>
  </si>
  <si>
    <t>D-9563</t>
  </si>
  <si>
    <t>D-9564</t>
  </si>
  <si>
    <t>D-9565</t>
  </si>
  <si>
    <t>D-9566</t>
  </si>
  <si>
    <t>D-9567</t>
  </si>
  <si>
    <t>D-9568</t>
  </si>
  <si>
    <t>D-9569</t>
  </si>
  <si>
    <t>D-9570</t>
  </si>
  <si>
    <t>D-9571</t>
  </si>
  <si>
    <t>D-9572</t>
  </si>
  <si>
    <t>D-9573</t>
  </si>
  <si>
    <t>D-9574</t>
  </si>
  <si>
    <t>D-9575</t>
  </si>
  <si>
    <t>D-9576</t>
  </si>
  <si>
    <t>D-9577</t>
  </si>
  <si>
    <t>D-9578</t>
  </si>
  <si>
    <t>D-9579</t>
  </si>
  <si>
    <t>D-9580</t>
  </si>
  <si>
    <t>D-9581</t>
  </si>
  <si>
    <t>D-9582</t>
  </si>
  <si>
    <t>D-9583</t>
  </si>
  <si>
    <t>D-9584</t>
  </si>
  <si>
    <t>D-9585</t>
  </si>
  <si>
    <t>D-9586</t>
  </si>
  <si>
    <t>D-9587</t>
  </si>
  <si>
    <t>D-9588</t>
  </si>
  <si>
    <t>D-9589</t>
  </si>
  <si>
    <t>D-9590</t>
  </si>
  <si>
    <t>D-9591</t>
  </si>
  <si>
    <t>D-9592</t>
  </si>
  <si>
    <t>se sustituyo x la  9594</t>
  </si>
  <si>
    <t>D-9593</t>
  </si>
  <si>
    <t>D-9594</t>
  </si>
  <si>
    <t>D-9595</t>
  </si>
  <si>
    <t>D-9596</t>
  </si>
  <si>
    <t>D-9597</t>
  </si>
  <si>
    <t>D-9598</t>
  </si>
  <si>
    <t>D-9599</t>
  </si>
  <si>
    <t>D-9600</t>
  </si>
  <si>
    <t>D-9601</t>
  </si>
  <si>
    <t>D-9602</t>
  </si>
  <si>
    <t>D-9603</t>
  </si>
  <si>
    <t>D-9604</t>
  </si>
  <si>
    <t>D-9605</t>
  </si>
  <si>
    <t>D-9606</t>
  </si>
  <si>
    <t>D-9607</t>
  </si>
  <si>
    <t>D-9608</t>
  </si>
  <si>
    <t>D-9609</t>
  </si>
  <si>
    <t>D-9610</t>
  </si>
  <si>
    <t>D-9611</t>
  </si>
  <si>
    <t>D-9612</t>
  </si>
  <si>
    <t>D-9613</t>
  </si>
  <si>
    <t>D-9614</t>
  </si>
  <si>
    <t>D-9615</t>
  </si>
  <si>
    <t>D-9616</t>
  </si>
  <si>
    <t>D-9617</t>
  </si>
  <si>
    <t>D-9618</t>
  </si>
  <si>
    <t>D-9619</t>
  </si>
  <si>
    <t>D-9620</t>
  </si>
  <si>
    <t>D-9621</t>
  </si>
  <si>
    <t>D-9622</t>
  </si>
  <si>
    <t>D-9623</t>
  </si>
  <si>
    <t>D-9624</t>
  </si>
  <si>
    <t>D-9625</t>
  </si>
  <si>
    <t>D-9626</t>
  </si>
  <si>
    <t>D-9627</t>
  </si>
  <si>
    <t>D-9628</t>
  </si>
  <si>
    <t>D-9629</t>
  </si>
  <si>
    <t>D-9630</t>
  </si>
  <si>
    <t>D-9631</t>
  </si>
  <si>
    <t>D-9632</t>
  </si>
  <si>
    <t>D-9633</t>
  </si>
  <si>
    <t>D-9634</t>
  </si>
  <si>
    <t>D-9635</t>
  </si>
  <si>
    <t>D-9636</t>
  </si>
  <si>
    <t>D-9637</t>
  </si>
  <si>
    <t>D-9638</t>
  </si>
  <si>
    <t>D-9639</t>
  </si>
  <si>
    <t>D-9640</t>
  </si>
  <si>
    <t>D-9641</t>
  </si>
  <si>
    <t>D-9642</t>
  </si>
  <si>
    <t>D-9643</t>
  </si>
  <si>
    <t>D-9644</t>
  </si>
  <si>
    <t>D-9645</t>
  </si>
  <si>
    <t>D-9646</t>
  </si>
  <si>
    <t>se sustituyo x la  9649</t>
  </si>
  <si>
    <t>D-9647</t>
  </si>
  <si>
    <t>D-9648</t>
  </si>
  <si>
    <t>D-9649</t>
  </si>
  <si>
    <t>D-9650</t>
  </si>
  <si>
    <t>D-9651</t>
  </si>
  <si>
    <t>D-9652</t>
  </si>
  <si>
    <t>D-9653</t>
  </si>
  <si>
    <t>D-9654</t>
  </si>
  <si>
    <t>D-9655</t>
  </si>
  <si>
    <t>D-9656</t>
  </si>
  <si>
    <t>D-9657</t>
  </si>
  <si>
    <t>D-9658</t>
  </si>
  <si>
    <t>D-9659</t>
  </si>
  <si>
    <t>D-9660</t>
  </si>
  <si>
    <t>D-9661</t>
  </si>
  <si>
    <t>D-9662</t>
  </si>
  <si>
    <t>D-9663</t>
  </si>
  <si>
    <t>D-9664</t>
  </si>
  <si>
    <t>D-9665</t>
  </si>
  <si>
    <t>D-9666</t>
  </si>
  <si>
    <t>D-9667</t>
  </si>
  <si>
    <t>D-9668</t>
  </si>
  <si>
    <t>D-9669</t>
  </si>
  <si>
    <t>D-9670</t>
  </si>
  <si>
    <t>D-9671</t>
  </si>
  <si>
    <t>D-9672</t>
  </si>
  <si>
    <t>(912)MONICA ISABEL</t>
  </si>
  <si>
    <t>D-9673</t>
  </si>
  <si>
    <t>D-9674</t>
  </si>
  <si>
    <t>D-9675</t>
  </si>
  <si>
    <t>D-9676</t>
  </si>
  <si>
    <t>(389)GONZALO</t>
  </si>
  <si>
    <t>D-9677</t>
  </si>
  <si>
    <t>D-9678</t>
  </si>
  <si>
    <t>D-9679</t>
  </si>
  <si>
    <t>D-9680</t>
  </si>
  <si>
    <t>D-9681</t>
  </si>
  <si>
    <t>D-9682</t>
  </si>
  <si>
    <t>D-9683</t>
  </si>
  <si>
    <t>D-9684</t>
  </si>
  <si>
    <t>D-9685</t>
  </si>
  <si>
    <t>D-9686</t>
  </si>
  <si>
    <t>D-9687</t>
  </si>
  <si>
    <t>D-9688</t>
  </si>
  <si>
    <t>(878)MARCELINO SANCHEZ TORRES</t>
  </si>
  <si>
    <t>D-9689</t>
  </si>
  <si>
    <t>D-9690</t>
  </si>
  <si>
    <t>D-9691</t>
  </si>
  <si>
    <t>D-9692</t>
  </si>
  <si>
    <t>D-9693</t>
  </si>
  <si>
    <t>D-9694</t>
  </si>
  <si>
    <t>D-9695</t>
  </si>
  <si>
    <t>D-9696</t>
  </si>
  <si>
    <t>D-9697</t>
  </si>
  <si>
    <t>D-9698</t>
  </si>
  <si>
    <t>D-9699</t>
  </si>
  <si>
    <t>D-9700</t>
  </si>
  <si>
    <t>D-9701</t>
  </si>
  <si>
    <t>D-9702</t>
  </si>
  <si>
    <t>D-9703</t>
  </si>
  <si>
    <t>D-9704</t>
  </si>
  <si>
    <t>D-9705</t>
  </si>
  <si>
    <r>
      <t>(450)FOX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</si>
  <si>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9793</t>
  </si>
  <si>
    <t>D-9706</t>
  </si>
  <si>
    <t>D-9707</t>
  </si>
  <si>
    <t>D-9708</t>
  </si>
  <si>
    <t>D-9709</t>
  </si>
  <si>
    <t>D-9710</t>
  </si>
  <si>
    <t>D-9711</t>
  </si>
  <si>
    <t>D-9712</t>
  </si>
  <si>
    <t>8-Sept-22--9-Sept-22</t>
  </si>
  <si>
    <t>D-9713</t>
  </si>
  <si>
    <t>D-9714</t>
  </si>
  <si>
    <t>D-9715</t>
  </si>
  <si>
    <t>D-9716</t>
  </si>
  <si>
    <t>D-9717</t>
  </si>
  <si>
    <t>D-9718</t>
  </si>
  <si>
    <t>D-9719</t>
  </si>
  <si>
    <t>D-9720</t>
  </si>
  <si>
    <t>D-9721</t>
  </si>
  <si>
    <t>D-9722</t>
  </si>
  <si>
    <t>D-9723</t>
  </si>
  <si>
    <t>D-9724</t>
  </si>
  <si>
    <t>D-9725</t>
  </si>
  <si>
    <t>D-9726</t>
  </si>
  <si>
    <t>D-9727</t>
  </si>
  <si>
    <t>D-9728</t>
  </si>
  <si>
    <t>D-9729</t>
  </si>
  <si>
    <t>D-9730</t>
  </si>
  <si>
    <t>D-9731</t>
  </si>
  <si>
    <t>D-9732</t>
  </si>
  <si>
    <t>D-9733</t>
  </si>
  <si>
    <t>D-9734</t>
  </si>
  <si>
    <t>D-9735</t>
  </si>
  <si>
    <t>D-9736</t>
  </si>
  <si>
    <t>D-9737</t>
  </si>
  <si>
    <t>D-9738</t>
  </si>
  <si>
    <t>D-9739</t>
  </si>
  <si>
    <t>D-9740</t>
  </si>
  <si>
    <t>D-9741</t>
  </si>
  <si>
    <t>D-9742</t>
  </si>
  <si>
    <t>D-9743</t>
  </si>
  <si>
    <t>D-9744</t>
  </si>
  <si>
    <t>D-9745</t>
  </si>
  <si>
    <t>D-9746</t>
  </si>
  <si>
    <t>D-9747</t>
  </si>
  <si>
    <t>D-9748</t>
  </si>
  <si>
    <t>D-9749</t>
  </si>
  <si>
    <t>D-9750</t>
  </si>
  <si>
    <t>D-9751</t>
  </si>
  <si>
    <t>D-9752</t>
  </si>
  <si>
    <t>D-9753</t>
  </si>
  <si>
    <t>D-9754</t>
  </si>
  <si>
    <t>D-9755</t>
  </si>
  <si>
    <t>D-9756</t>
  </si>
  <si>
    <t>D-9757</t>
  </si>
  <si>
    <t>D-9758</t>
  </si>
  <si>
    <t>D-9759</t>
  </si>
  <si>
    <t>D-9760</t>
  </si>
  <si>
    <t>D-9761</t>
  </si>
  <si>
    <t>D-9762</t>
  </si>
  <si>
    <t>D-9763</t>
  </si>
  <si>
    <t>D-9764</t>
  </si>
  <si>
    <t>D-9765</t>
  </si>
  <si>
    <t>D-9766</t>
  </si>
  <si>
    <t>D-9767</t>
  </si>
  <si>
    <t>D-9768</t>
  </si>
  <si>
    <t>D-9769</t>
  </si>
  <si>
    <t>D-9770</t>
  </si>
  <si>
    <t>D-9771</t>
  </si>
  <si>
    <t>D-9772</t>
  </si>
  <si>
    <t>D-9773</t>
  </si>
  <si>
    <t>D-9774</t>
  </si>
  <si>
    <t>D-9775</t>
  </si>
  <si>
    <t>D-9776</t>
  </si>
  <si>
    <t>D-9777</t>
  </si>
  <si>
    <t>D-9778</t>
  </si>
  <si>
    <t>D-9779</t>
  </si>
  <si>
    <t>D-9780</t>
  </si>
  <si>
    <t>D-9781</t>
  </si>
  <si>
    <t>D-9782</t>
  </si>
  <si>
    <t>D-9783</t>
  </si>
  <si>
    <t>D-9784</t>
  </si>
  <si>
    <t>D-9785</t>
  </si>
  <si>
    <t>D-9786</t>
  </si>
  <si>
    <t>D-9787</t>
  </si>
  <si>
    <t>D-9788</t>
  </si>
  <si>
    <t>D-9789</t>
  </si>
  <si>
    <t>D-9790</t>
  </si>
  <si>
    <t>D-9791</t>
  </si>
  <si>
    <t>D-9792</t>
  </si>
  <si>
    <r>
      <t xml:space="preserve">(450)FOX  </t>
    </r>
    <r>
      <rPr>
        <b/>
        <sz val="12"/>
        <color rgb="FFFF0000"/>
        <rFont val="Calibri"/>
        <family val="2"/>
        <scheme val="minor"/>
      </rPr>
      <t>CANCELADA</t>
    </r>
  </si>
  <si>
    <t>D-9793</t>
  </si>
  <si>
    <r>
      <t xml:space="preserve">(450)FOX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</si>
  <si>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9943</t>
  </si>
  <si>
    <t>D-9794</t>
  </si>
  <si>
    <t>D-9795</t>
  </si>
  <si>
    <t>D-9796</t>
  </si>
  <si>
    <t>D-9797</t>
  </si>
  <si>
    <t>D-9798</t>
  </si>
  <si>
    <t>D-9799</t>
  </si>
  <si>
    <t>D-9800</t>
  </si>
  <si>
    <t>D-9801</t>
  </si>
  <si>
    <t>D-9802</t>
  </si>
  <si>
    <t>D-9803</t>
  </si>
  <si>
    <t>D-9804</t>
  </si>
  <si>
    <t>D-9805</t>
  </si>
  <si>
    <t>D-9806</t>
  </si>
  <si>
    <t>D-9807</t>
  </si>
  <si>
    <t>D-9808</t>
  </si>
  <si>
    <t>D-9809</t>
  </si>
  <si>
    <t>D-9810</t>
  </si>
  <si>
    <t>D-9811</t>
  </si>
  <si>
    <t>D-9812</t>
  </si>
  <si>
    <t>D-9813</t>
  </si>
  <si>
    <t>D-9814</t>
  </si>
  <si>
    <t>D-9815</t>
  </si>
  <si>
    <t>D-9816</t>
  </si>
  <si>
    <t>D-9817</t>
  </si>
  <si>
    <t>D-9818</t>
  </si>
  <si>
    <t>D-9819</t>
  </si>
  <si>
    <t>D-9820</t>
  </si>
  <si>
    <t>D-9821</t>
  </si>
  <si>
    <t>D-9822</t>
  </si>
  <si>
    <t>D-9823</t>
  </si>
  <si>
    <t>D-9824</t>
  </si>
  <si>
    <r>
      <t>(894)GLORIA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</si>
  <si>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D-9825</t>
  </si>
  <si>
    <t>D-9826</t>
  </si>
  <si>
    <t>D-9827</t>
  </si>
  <si>
    <t>D-9828</t>
  </si>
  <si>
    <t>D-9829</t>
  </si>
  <si>
    <t>D-9830</t>
  </si>
  <si>
    <t>D-9831</t>
  </si>
  <si>
    <t>D-9832</t>
  </si>
  <si>
    <t>D-9833</t>
  </si>
  <si>
    <t>D-9834</t>
  </si>
  <si>
    <t>D-9835</t>
  </si>
  <si>
    <t>9-Sept-22--10-Sept-22</t>
  </si>
  <si>
    <t>D-9836</t>
  </si>
  <si>
    <t>D-9837</t>
  </si>
  <si>
    <t>se sustituyo x la 9838</t>
  </si>
  <si>
    <t>D-9838</t>
  </si>
  <si>
    <t>D-9839</t>
  </si>
  <si>
    <t>D-9840</t>
  </si>
  <si>
    <t>D-9841</t>
  </si>
  <si>
    <t>D-9842</t>
  </si>
  <si>
    <t>D-9843</t>
  </si>
  <si>
    <t>D-9844</t>
  </si>
  <si>
    <t>D-9845</t>
  </si>
  <si>
    <t>D-9846</t>
  </si>
  <si>
    <t>D-9847</t>
  </si>
  <si>
    <t>D-9848</t>
  </si>
  <si>
    <t>D-9849</t>
  </si>
  <si>
    <t>D-9850</t>
  </si>
  <si>
    <t>D-9851</t>
  </si>
  <si>
    <t>D-9852</t>
  </si>
  <si>
    <t>D-9853</t>
  </si>
  <si>
    <t>D-9854</t>
  </si>
  <si>
    <t>se sustituyo x la 9855</t>
  </si>
  <si>
    <t>D-9855</t>
  </si>
  <si>
    <t>D-9856</t>
  </si>
  <si>
    <t>D-9857</t>
  </si>
  <si>
    <t>D-9858</t>
  </si>
  <si>
    <t>D-9859</t>
  </si>
  <si>
    <t>D-9860</t>
  </si>
  <si>
    <t>D-9861</t>
  </si>
  <si>
    <t>D-9862</t>
  </si>
  <si>
    <t>D-9863</t>
  </si>
  <si>
    <t>D-9864</t>
  </si>
  <si>
    <t>D-9865</t>
  </si>
  <si>
    <t>D-9866</t>
  </si>
  <si>
    <t>(913)ULISES VAZQUEZ</t>
  </si>
  <si>
    <t>D-9867</t>
  </si>
  <si>
    <t>D-9868</t>
  </si>
  <si>
    <t>D-9869</t>
  </si>
  <si>
    <t>D-9870</t>
  </si>
  <si>
    <t>D-9871</t>
  </si>
  <si>
    <t>D-9872</t>
  </si>
  <si>
    <t>D-9873</t>
  </si>
  <si>
    <t>D-9874</t>
  </si>
  <si>
    <t>D-9875</t>
  </si>
  <si>
    <t>D-9876</t>
  </si>
  <si>
    <t>D-9877</t>
  </si>
  <si>
    <t>D-9878</t>
  </si>
  <si>
    <t>D-9879</t>
  </si>
  <si>
    <t>D-9880</t>
  </si>
  <si>
    <t>D-9881</t>
  </si>
  <si>
    <t>D-9882</t>
  </si>
  <si>
    <t>D-9883</t>
  </si>
  <si>
    <t>D-9884</t>
  </si>
  <si>
    <t>D-9885</t>
  </si>
  <si>
    <t>D-9886</t>
  </si>
  <si>
    <t>D-9887</t>
  </si>
  <si>
    <t>D-9888</t>
  </si>
  <si>
    <t>D-9889</t>
  </si>
  <si>
    <t>D-9890</t>
  </si>
  <si>
    <t>D-9891</t>
  </si>
  <si>
    <t>D-9892</t>
  </si>
  <si>
    <t>D-9893</t>
  </si>
  <si>
    <t>D-9894</t>
  </si>
  <si>
    <t>D-9895</t>
  </si>
  <si>
    <t>D-9896</t>
  </si>
  <si>
    <t>D-9897</t>
  </si>
  <si>
    <t>D-9898</t>
  </si>
  <si>
    <t>D-9899</t>
  </si>
  <si>
    <t>D-9900</t>
  </si>
  <si>
    <t>D-9901</t>
  </si>
  <si>
    <t>D-9902</t>
  </si>
  <si>
    <t>D-9903</t>
  </si>
  <si>
    <t>D-9904</t>
  </si>
  <si>
    <t>D-9905</t>
  </si>
  <si>
    <t>D-9906</t>
  </si>
  <si>
    <t>D-9907</t>
  </si>
  <si>
    <t>(914)JUAN GARCIA</t>
  </si>
  <si>
    <t>D-9908</t>
  </si>
  <si>
    <r>
      <t xml:space="preserve">(303)SRA CORONA   </t>
    </r>
    <r>
      <rPr>
        <b/>
        <sz val="12"/>
        <color rgb="FFFF0000"/>
        <rFont val="Calibri"/>
        <family val="2"/>
        <scheme val="minor"/>
      </rPr>
      <t>CANCELADA</t>
    </r>
  </si>
  <si>
    <t>se sustituyo x la 9910</t>
  </si>
  <si>
    <t>D-9909</t>
  </si>
  <si>
    <t>D-9910</t>
  </si>
  <si>
    <t>D-9911</t>
  </si>
  <si>
    <t>D-9912</t>
  </si>
  <si>
    <t>D-9913</t>
  </si>
  <si>
    <t>D-9914</t>
  </si>
  <si>
    <t>D-9915</t>
  </si>
  <si>
    <t>D-9916</t>
  </si>
  <si>
    <t>D-9917</t>
  </si>
  <si>
    <t>D-9918</t>
  </si>
  <si>
    <t>D-9919</t>
  </si>
  <si>
    <t>D-9920</t>
  </si>
  <si>
    <t>D-9921</t>
  </si>
  <si>
    <t>D-9922</t>
  </si>
  <si>
    <t>D-9923</t>
  </si>
  <si>
    <t>D-9924</t>
  </si>
  <si>
    <t>D-9925</t>
  </si>
  <si>
    <t>D-9926</t>
  </si>
  <si>
    <t>D-9927</t>
  </si>
  <si>
    <t>D-9928</t>
  </si>
  <si>
    <t>D-9929</t>
  </si>
  <si>
    <t>D-9930</t>
  </si>
  <si>
    <t>D-9931</t>
  </si>
  <si>
    <t>D-9932</t>
  </si>
  <si>
    <t>D-9933</t>
  </si>
  <si>
    <t>D-9934</t>
  </si>
  <si>
    <t>D-9935</t>
  </si>
  <si>
    <t>D-9936</t>
  </si>
  <si>
    <t>D-9937</t>
  </si>
  <si>
    <t>D-9938</t>
  </si>
  <si>
    <t>D-9939</t>
  </si>
  <si>
    <t>D-9940</t>
  </si>
  <si>
    <t>D-9941</t>
  </si>
  <si>
    <t>D-9942</t>
  </si>
  <si>
    <t>D-9943</t>
  </si>
  <si>
    <t>D-9944</t>
  </si>
  <si>
    <t>D-9945</t>
  </si>
  <si>
    <t>D-9946</t>
  </si>
  <si>
    <t>D-9947</t>
  </si>
  <si>
    <t>D-9948</t>
  </si>
  <si>
    <t>D-9949</t>
  </si>
  <si>
    <t>D-9950</t>
  </si>
  <si>
    <t>D-9951</t>
  </si>
  <si>
    <t>D-9952</t>
  </si>
  <si>
    <t>D-9953</t>
  </si>
  <si>
    <t>D-9954</t>
  </si>
  <si>
    <t>D-9955</t>
  </si>
  <si>
    <t>D-9956</t>
  </si>
  <si>
    <t>D-9957</t>
  </si>
  <si>
    <t>D-9958</t>
  </si>
  <si>
    <t>D-9959</t>
  </si>
  <si>
    <t>D-9960</t>
  </si>
  <si>
    <t>D-9961</t>
  </si>
  <si>
    <t>D-9962</t>
  </si>
  <si>
    <t>D-9963</t>
  </si>
  <si>
    <t>D-9964</t>
  </si>
  <si>
    <t>D-9965</t>
  </si>
  <si>
    <t>D-9966</t>
  </si>
  <si>
    <t>D-9967</t>
  </si>
  <si>
    <t>D-9968</t>
  </si>
  <si>
    <t>D-9969</t>
  </si>
  <si>
    <t>D-9970</t>
  </si>
  <si>
    <t>D-9971</t>
  </si>
  <si>
    <t>D-9972</t>
  </si>
  <si>
    <t>D-9973</t>
  </si>
  <si>
    <t>D-9974</t>
  </si>
  <si>
    <t>13-Sept-22--14-Sept-22</t>
  </si>
  <si>
    <t>D-9975</t>
  </si>
  <si>
    <t>D-9976</t>
  </si>
  <si>
    <t>D-9977</t>
  </si>
  <si>
    <t>D-9978</t>
  </si>
  <si>
    <t>D-9979</t>
  </si>
  <si>
    <t>D-9980</t>
  </si>
  <si>
    <t>D-9981</t>
  </si>
  <si>
    <t>D-9982</t>
  </si>
  <si>
    <t>D-9983</t>
  </si>
  <si>
    <t>D-9984</t>
  </si>
  <si>
    <t>D-9985</t>
  </si>
  <si>
    <t>D-9986</t>
  </si>
  <si>
    <t>D-9987</t>
  </si>
  <si>
    <t>D-9988</t>
  </si>
  <si>
    <t>12-Sept-22--13-Sept-22</t>
  </si>
  <si>
    <t>D-9989</t>
  </si>
  <si>
    <t>D-9990</t>
  </si>
  <si>
    <t>D-9991</t>
  </si>
  <si>
    <t>D-9992</t>
  </si>
  <si>
    <t>D-9993</t>
  </si>
  <si>
    <t>D-9994</t>
  </si>
  <si>
    <t>D-9995</t>
  </si>
  <si>
    <t>D-9996</t>
  </si>
  <si>
    <t>D-9997</t>
  </si>
  <si>
    <t>D-9998</t>
  </si>
  <si>
    <t>D-9999</t>
  </si>
  <si>
    <t>D-10000</t>
  </si>
  <si>
    <t>D-10001</t>
  </si>
  <si>
    <t>D-10002</t>
  </si>
  <si>
    <r>
      <t xml:space="preserve">(311)ALBERTO ARROYO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</si>
  <si>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D-10003</t>
  </si>
  <si>
    <t>D-10004</t>
  </si>
  <si>
    <t>D-10005</t>
  </si>
  <si>
    <t>D-10006</t>
  </si>
  <si>
    <t>D-10007</t>
  </si>
  <si>
    <t>D-10008</t>
  </si>
  <si>
    <t>D-10009</t>
  </si>
  <si>
    <t>D-10010</t>
  </si>
  <si>
    <t>D-10011</t>
  </si>
  <si>
    <t>D-10012</t>
  </si>
  <si>
    <t>D-10013</t>
  </si>
  <si>
    <t>D-10014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</si>
  <si>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</si>
  <si>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10015</t>
  </si>
  <si>
    <t>D-10015</t>
  </si>
  <si>
    <t>D-10016</t>
  </si>
  <si>
    <t>D-10017</t>
  </si>
  <si>
    <t>D-10018</t>
  </si>
  <si>
    <t>D-10019</t>
  </si>
  <si>
    <t>D-10020</t>
  </si>
  <si>
    <t>D-10021</t>
  </si>
  <si>
    <t>D-10022</t>
  </si>
  <si>
    <t>D-10023</t>
  </si>
  <si>
    <t>D-10024</t>
  </si>
  <si>
    <t>D-10025</t>
  </si>
  <si>
    <t>D-10026</t>
  </si>
  <si>
    <t>D-10027</t>
  </si>
  <si>
    <t>D-10028</t>
  </si>
  <si>
    <t>D-10029</t>
  </si>
  <si>
    <t>D-10030</t>
  </si>
  <si>
    <t>D-10031</t>
  </si>
  <si>
    <t>D-10032</t>
  </si>
  <si>
    <t>D-10033</t>
  </si>
  <si>
    <t>D-10034</t>
  </si>
  <si>
    <t>D-10035</t>
  </si>
  <si>
    <t>D-10036</t>
  </si>
  <si>
    <t>D-10037</t>
  </si>
  <si>
    <t>D-10038</t>
  </si>
  <si>
    <t>D-10039</t>
  </si>
  <si>
    <t>D-10040</t>
  </si>
  <si>
    <t>D-10041</t>
  </si>
  <si>
    <t>D-10042</t>
  </si>
  <si>
    <t>D-10043</t>
  </si>
  <si>
    <t>D-10044</t>
  </si>
  <si>
    <t>D-10045</t>
  </si>
  <si>
    <t>D-10046</t>
  </si>
  <si>
    <t>D-10047</t>
  </si>
  <si>
    <t>D-10048</t>
  </si>
  <si>
    <t>D-10049</t>
  </si>
  <si>
    <t>D-10050</t>
  </si>
  <si>
    <t>D-10051</t>
  </si>
  <si>
    <t>D-10052</t>
  </si>
  <si>
    <t>D-10053</t>
  </si>
  <si>
    <t>D-10054</t>
  </si>
  <si>
    <t>D-10055</t>
  </si>
  <si>
    <t>D-10056</t>
  </si>
  <si>
    <t>D-10057</t>
  </si>
  <si>
    <t>D-10058</t>
  </si>
  <si>
    <t>D-10059</t>
  </si>
  <si>
    <t>15-Sept-22--21-Sept-22</t>
  </si>
  <si>
    <t>D-10060</t>
  </si>
  <si>
    <t>D-10061</t>
  </si>
  <si>
    <t>D-10062</t>
  </si>
  <si>
    <t>D-10063</t>
  </si>
  <si>
    <t>D-10064</t>
  </si>
  <si>
    <t>D-10065</t>
  </si>
  <si>
    <t>D-10066</t>
  </si>
  <si>
    <t>D-10067</t>
  </si>
  <si>
    <t>D-10068</t>
  </si>
  <si>
    <t>D-10069</t>
  </si>
  <si>
    <t>D-10070</t>
  </si>
  <si>
    <t>D-10071</t>
  </si>
  <si>
    <t>D-10072</t>
  </si>
  <si>
    <t>D-10073</t>
  </si>
  <si>
    <t>D-10074</t>
  </si>
  <si>
    <t>D-10075</t>
  </si>
  <si>
    <t>D-10076</t>
  </si>
  <si>
    <t>D-10077</t>
  </si>
  <si>
    <t>D-10078</t>
  </si>
  <si>
    <t>D-10079</t>
  </si>
  <si>
    <t>D-10080</t>
  </si>
  <si>
    <t>D-10081</t>
  </si>
  <si>
    <t>D-10082</t>
  </si>
  <si>
    <t>D-10083</t>
  </si>
  <si>
    <t>D-10084</t>
  </si>
  <si>
    <t>D-10085</t>
  </si>
  <si>
    <t>D-10086</t>
  </si>
  <si>
    <t>D-10087</t>
  </si>
  <si>
    <t>D-10088</t>
  </si>
  <si>
    <t>D-10089</t>
  </si>
  <si>
    <t>D-10090</t>
  </si>
  <si>
    <t>D-10091</t>
  </si>
  <si>
    <t>D-10092</t>
  </si>
  <si>
    <t>D-10093</t>
  </si>
  <si>
    <t>D-10094</t>
  </si>
  <si>
    <t>D-10095</t>
  </si>
  <si>
    <t>D-10096</t>
  </si>
  <si>
    <t>D-10097</t>
  </si>
  <si>
    <t>D-10098</t>
  </si>
  <si>
    <t>D-10099</t>
  </si>
  <si>
    <t>D-10100</t>
  </si>
  <si>
    <t>D-10101</t>
  </si>
  <si>
    <t>D-10102</t>
  </si>
  <si>
    <t>D-10103</t>
  </si>
  <si>
    <t>D-10104</t>
  </si>
  <si>
    <t>D-10105</t>
  </si>
  <si>
    <t>D-10106</t>
  </si>
  <si>
    <t>D-10107</t>
  </si>
  <si>
    <t>D-10108</t>
  </si>
  <si>
    <t>D-10109</t>
  </si>
  <si>
    <t>D-10110</t>
  </si>
  <si>
    <t>D-10111</t>
  </si>
  <si>
    <t>D-10112</t>
  </si>
  <si>
    <t>D-10113</t>
  </si>
  <si>
    <t>D-10114</t>
  </si>
  <si>
    <t>D-10115</t>
  </si>
  <si>
    <t>se sustituyo x la 10116</t>
  </si>
  <si>
    <t>D-10116</t>
  </si>
  <si>
    <t>D-10117</t>
  </si>
  <si>
    <t>D-10118</t>
  </si>
  <si>
    <t>D-10119</t>
  </si>
  <si>
    <t>D-10120</t>
  </si>
  <si>
    <t>D-10121</t>
  </si>
  <si>
    <t>D-10122</t>
  </si>
  <si>
    <t>D-10123</t>
  </si>
  <si>
    <t>D-10124</t>
  </si>
  <si>
    <t>D-10125</t>
  </si>
  <si>
    <t>D-10126</t>
  </si>
  <si>
    <t>D-10127</t>
  </si>
  <si>
    <t>D-10128</t>
  </si>
  <si>
    <t>D-10129</t>
  </si>
  <si>
    <t>D-10130</t>
  </si>
  <si>
    <t>D-10131</t>
  </si>
  <si>
    <t>D-10132</t>
  </si>
  <si>
    <t>D-10133</t>
  </si>
  <si>
    <t>D-10134</t>
  </si>
  <si>
    <t>D-10135</t>
  </si>
  <si>
    <t>D-10136</t>
  </si>
  <si>
    <t>D-10137</t>
  </si>
  <si>
    <t>D-10138</t>
  </si>
  <si>
    <t>D-10139</t>
  </si>
  <si>
    <t>D-10140</t>
  </si>
  <si>
    <t>D-10141</t>
  </si>
  <si>
    <t>D-10142</t>
  </si>
  <si>
    <t>D-10143</t>
  </si>
  <si>
    <t>D-10144</t>
  </si>
  <si>
    <t>D-10145</t>
  </si>
  <si>
    <t>D-10146</t>
  </si>
  <si>
    <t>D-10147</t>
  </si>
  <si>
    <t>(473)OMAR CONTRERAS</t>
  </si>
  <si>
    <t>D-10148</t>
  </si>
  <si>
    <t>D-10149</t>
  </si>
  <si>
    <t>D-10150</t>
  </si>
  <si>
    <t>D-10151</t>
  </si>
  <si>
    <t>D-10152</t>
  </si>
  <si>
    <t>D-10153</t>
  </si>
  <si>
    <t>D-10154</t>
  </si>
  <si>
    <t>D-10155</t>
  </si>
  <si>
    <t>D-10156</t>
  </si>
  <si>
    <t>D-10157</t>
  </si>
  <si>
    <t>D-10158</t>
  </si>
  <si>
    <t>D-10159</t>
  </si>
  <si>
    <t>D-10160</t>
  </si>
  <si>
    <t>D-10161</t>
  </si>
  <si>
    <t>D-10162</t>
  </si>
  <si>
    <t>D-10163</t>
  </si>
  <si>
    <t>D-10164</t>
  </si>
  <si>
    <t>D-10165</t>
  </si>
  <si>
    <t>D-10166</t>
  </si>
  <si>
    <t>D-10167</t>
  </si>
  <si>
    <t>D-10168</t>
  </si>
  <si>
    <t>D-10169</t>
  </si>
  <si>
    <t>D-10170</t>
  </si>
  <si>
    <t>D-10171</t>
  </si>
  <si>
    <t>D-10172</t>
  </si>
  <si>
    <t>D-10173</t>
  </si>
  <si>
    <t>D-10174</t>
  </si>
  <si>
    <t>D-10175</t>
  </si>
  <si>
    <t>D-10176</t>
  </si>
  <si>
    <t>D-10177</t>
  </si>
  <si>
    <t>D-10178</t>
  </si>
  <si>
    <t>D-10179</t>
  </si>
  <si>
    <t>D-10180</t>
  </si>
  <si>
    <t>D-10181</t>
  </si>
  <si>
    <t>D-10182</t>
  </si>
  <si>
    <t>D-10183</t>
  </si>
  <si>
    <t>D-10184</t>
  </si>
  <si>
    <t>D-10185</t>
  </si>
  <si>
    <t>D-10186</t>
  </si>
  <si>
    <t>D-10187</t>
  </si>
  <si>
    <t>D-10188</t>
  </si>
  <si>
    <t>D-10189</t>
  </si>
  <si>
    <t>D-10190</t>
  </si>
  <si>
    <t>D-10191</t>
  </si>
  <si>
    <t>D-10192</t>
  </si>
  <si>
    <t>D-10193</t>
  </si>
  <si>
    <t>D-10194</t>
  </si>
  <si>
    <t>D-10195</t>
  </si>
  <si>
    <t>D-10196</t>
  </si>
  <si>
    <t>(307)ANGEL LARA</t>
  </si>
  <si>
    <t>D-10197</t>
  </si>
  <si>
    <t>D-10198</t>
  </si>
  <si>
    <t>D-10199</t>
  </si>
  <si>
    <t>D-10200</t>
  </si>
  <si>
    <t>D-10201</t>
  </si>
  <si>
    <t>D-10202</t>
  </si>
  <si>
    <t>D-10203</t>
  </si>
  <si>
    <t>D-10204</t>
  </si>
  <si>
    <t>D-10205</t>
  </si>
  <si>
    <t>D-10206</t>
  </si>
  <si>
    <t>D-10207</t>
  </si>
  <si>
    <t>D-10208</t>
  </si>
  <si>
    <t>D-10209</t>
  </si>
  <si>
    <t>D-10210</t>
  </si>
  <si>
    <t>D-10211</t>
  </si>
  <si>
    <t>D-10212</t>
  </si>
  <si>
    <t>D-10213</t>
  </si>
  <si>
    <t>D-10214</t>
  </si>
  <si>
    <t>D-10215</t>
  </si>
  <si>
    <t>D-10216</t>
  </si>
  <si>
    <t>D-10217</t>
  </si>
  <si>
    <t>D-10218</t>
  </si>
  <si>
    <t>D-10219</t>
  </si>
  <si>
    <t>D-10220</t>
  </si>
  <si>
    <t>D-10221</t>
  </si>
  <si>
    <t>D-10222</t>
  </si>
  <si>
    <t>D-10223</t>
  </si>
  <si>
    <t>D-10224</t>
  </si>
  <si>
    <t>D-10225</t>
  </si>
  <si>
    <t>D-10226</t>
  </si>
  <si>
    <t>D-10227</t>
  </si>
  <si>
    <t>D-10228</t>
  </si>
  <si>
    <t>D-10229</t>
  </si>
  <si>
    <t>D-10230</t>
  </si>
  <si>
    <t>D-10231</t>
  </si>
  <si>
    <t>D-10232</t>
  </si>
  <si>
    <t>D-10233</t>
  </si>
  <si>
    <t>D-10234</t>
  </si>
  <si>
    <t>D-10235</t>
  </si>
  <si>
    <t>D-10236</t>
  </si>
  <si>
    <t>D-10237</t>
  </si>
  <si>
    <t>D-10238</t>
  </si>
  <si>
    <t>D-10239</t>
  </si>
  <si>
    <t>D-10240</t>
  </si>
  <si>
    <t>D-10241</t>
  </si>
  <si>
    <t>D-10242</t>
  </si>
  <si>
    <r>
      <t xml:space="preserve">(325)CARLOS TEHUACAN  </t>
    </r>
    <r>
      <rPr>
        <b/>
        <sz val="12"/>
        <color rgb="FFFF0000"/>
        <rFont val="Calibri"/>
        <family val="2"/>
        <scheme val="minor"/>
      </rPr>
      <t>CANCELADA</t>
    </r>
  </si>
  <si>
    <t>se sustituyo x la 10297</t>
  </si>
  <si>
    <t>D-10243</t>
  </si>
  <si>
    <t>D-10244</t>
  </si>
  <si>
    <t>D-10245</t>
  </si>
  <si>
    <t>D-10246</t>
  </si>
  <si>
    <t>D-10247</t>
  </si>
  <si>
    <t>D-10248</t>
  </si>
  <si>
    <t>D-10249</t>
  </si>
  <si>
    <t>D-10250</t>
  </si>
  <si>
    <t>D-10251</t>
  </si>
  <si>
    <t>D-10252</t>
  </si>
  <si>
    <t>D-10253</t>
  </si>
  <si>
    <t>D-10254</t>
  </si>
  <si>
    <t>D-10255</t>
  </si>
  <si>
    <t>D-10256</t>
  </si>
  <si>
    <t>D-10257</t>
  </si>
  <si>
    <t>D-10258</t>
  </si>
  <si>
    <t>D-10259</t>
  </si>
  <si>
    <t>D-10260</t>
  </si>
  <si>
    <t>D-10261</t>
  </si>
  <si>
    <t>D-10262</t>
  </si>
  <si>
    <t>D-10263</t>
  </si>
  <si>
    <t>D-10264</t>
  </si>
  <si>
    <t>D-10265</t>
  </si>
  <si>
    <t>D-10266</t>
  </si>
  <si>
    <t>D-10267</t>
  </si>
  <si>
    <t>D-10268</t>
  </si>
  <si>
    <t>D-10269</t>
  </si>
  <si>
    <t>D-10270</t>
  </si>
  <si>
    <t>D-10271</t>
  </si>
  <si>
    <t>D-10272</t>
  </si>
  <si>
    <t>D-10273</t>
  </si>
  <si>
    <t>D-10274</t>
  </si>
  <si>
    <t>D-10275</t>
  </si>
  <si>
    <t>D-10276</t>
  </si>
  <si>
    <t>D-10277</t>
  </si>
  <si>
    <t>D-10278</t>
  </si>
  <si>
    <r>
      <t xml:space="preserve">(725)ABASTO DE 4 CARNES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</si>
  <si>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10286</t>
  </si>
  <si>
    <t>D-10279</t>
  </si>
  <si>
    <t>D-10280</t>
  </si>
  <si>
    <t>(430)LUIS SANDOVAL</t>
  </si>
  <si>
    <t>D-10281</t>
  </si>
  <si>
    <t>D-10282</t>
  </si>
  <si>
    <t>D-10283</t>
  </si>
  <si>
    <t>D-10284</t>
  </si>
  <si>
    <t>D-10285</t>
  </si>
  <si>
    <t>D-10286</t>
  </si>
  <si>
    <t>D-10287</t>
  </si>
  <si>
    <t>D-10288</t>
  </si>
  <si>
    <t>D-10289</t>
  </si>
  <si>
    <t>D-10290</t>
  </si>
  <si>
    <t>D-10291</t>
  </si>
  <si>
    <t>D-10292</t>
  </si>
  <si>
    <t>D-10293</t>
  </si>
  <si>
    <t>D-10294</t>
  </si>
  <si>
    <t>D-10295</t>
  </si>
  <si>
    <t>D-10296</t>
  </si>
  <si>
    <t>D-10297</t>
  </si>
  <si>
    <t>D-10298</t>
  </si>
  <si>
    <t>D-10299</t>
  </si>
  <si>
    <t>D-10300</t>
  </si>
  <si>
    <t>D-10301</t>
  </si>
  <si>
    <t>D-10302</t>
  </si>
  <si>
    <t>D-10303</t>
  </si>
  <si>
    <t>D-10304</t>
  </si>
  <si>
    <t>D-10305</t>
  </si>
  <si>
    <t>D-10306</t>
  </si>
  <si>
    <t>D-10307</t>
  </si>
  <si>
    <t>D-10308</t>
  </si>
  <si>
    <t>D-10309</t>
  </si>
  <si>
    <t>D-10310</t>
  </si>
  <si>
    <t>D-10311</t>
  </si>
  <si>
    <t>D-10312</t>
  </si>
  <si>
    <t>D-10313</t>
  </si>
  <si>
    <t>D-10314</t>
  </si>
  <si>
    <t>D-10315</t>
  </si>
  <si>
    <t>D-10316</t>
  </si>
  <si>
    <t>D-10317</t>
  </si>
  <si>
    <t>D-10318</t>
  </si>
  <si>
    <t>D-10319</t>
  </si>
  <si>
    <t>D-10320</t>
  </si>
  <si>
    <t>D-10321</t>
  </si>
  <si>
    <t>D-10322</t>
  </si>
  <si>
    <t>D-10323</t>
  </si>
  <si>
    <t>D-10324</t>
  </si>
  <si>
    <t>D-10325</t>
  </si>
  <si>
    <t>D-10326</t>
  </si>
  <si>
    <t>17-Sept-22--20-Sept-22-22-Sept-22--24-Sept-22--26-Sept-22</t>
  </si>
  <si>
    <t>D-10327</t>
  </si>
  <si>
    <t>D-10328</t>
  </si>
  <si>
    <t>D-10329</t>
  </si>
  <si>
    <t>D-10330</t>
  </si>
  <si>
    <t>D-10331</t>
  </si>
  <si>
    <t>D-10332</t>
  </si>
  <si>
    <t>D-10333</t>
  </si>
  <si>
    <t>D-10334</t>
  </si>
  <si>
    <t>D-10335</t>
  </si>
  <si>
    <t>D-10336</t>
  </si>
  <si>
    <t>D-10337</t>
  </si>
  <si>
    <t>D-10338</t>
  </si>
  <si>
    <t>D-10339</t>
  </si>
  <si>
    <t>D-10340</t>
  </si>
  <si>
    <t>D-10341</t>
  </si>
  <si>
    <t>D-10342</t>
  </si>
  <si>
    <t>D-10343</t>
  </si>
  <si>
    <t>D-10344</t>
  </si>
  <si>
    <r>
      <t>(687)OMAR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</si>
  <si>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10345</t>
  </si>
  <si>
    <t>D-10345</t>
  </si>
  <si>
    <t>D-10346</t>
  </si>
  <si>
    <t>D-10347</t>
  </si>
  <si>
    <t>D-10348</t>
  </si>
  <si>
    <t>D-10349</t>
  </si>
  <si>
    <t>D-10350</t>
  </si>
  <si>
    <t>D-10351</t>
  </si>
  <si>
    <t>D-10352</t>
  </si>
  <si>
    <t>D-10353</t>
  </si>
  <si>
    <t>D-10354</t>
  </si>
  <si>
    <t>D-10355</t>
  </si>
  <si>
    <t>D-10356</t>
  </si>
  <si>
    <t>D-10357</t>
  </si>
  <si>
    <t>D-10358</t>
  </si>
  <si>
    <t>D-10359</t>
  </si>
  <si>
    <t>D-10360</t>
  </si>
  <si>
    <t>D-10361</t>
  </si>
  <si>
    <t>se sustituyo x la 10364</t>
  </si>
  <si>
    <t>D-10362</t>
  </si>
  <si>
    <t>D-10363</t>
  </si>
  <si>
    <t>D-10364</t>
  </si>
  <si>
    <t>D-10365</t>
  </si>
  <si>
    <t>D-10366</t>
  </si>
  <si>
    <t>D-10367</t>
  </si>
  <si>
    <t>D-10368</t>
  </si>
  <si>
    <t>D-10369</t>
  </si>
  <si>
    <t>D-10370</t>
  </si>
  <si>
    <t>D-10371</t>
  </si>
  <si>
    <t>D-10372</t>
  </si>
  <si>
    <t>D-10373</t>
  </si>
  <si>
    <t>D-10374</t>
  </si>
  <si>
    <t>D-10375</t>
  </si>
  <si>
    <t>D-10376</t>
  </si>
  <si>
    <t>D-10377</t>
  </si>
  <si>
    <t>D-10378</t>
  </si>
  <si>
    <t>D-10379</t>
  </si>
  <si>
    <t>D-10380</t>
  </si>
  <si>
    <t>D-10381</t>
  </si>
  <si>
    <t>D-10382</t>
  </si>
  <si>
    <t>D-10383</t>
  </si>
  <si>
    <t>D-10384</t>
  </si>
  <si>
    <t>D-10385</t>
  </si>
  <si>
    <t>D-10386</t>
  </si>
  <si>
    <t>D-10387</t>
  </si>
  <si>
    <t>D-10388</t>
  </si>
  <si>
    <t>D-10389</t>
  </si>
  <si>
    <t>D-10390</t>
  </si>
  <si>
    <t>D-10391</t>
  </si>
  <si>
    <t>D-10392</t>
  </si>
  <si>
    <t>D-10393</t>
  </si>
  <si>
    <t>D-10394</t>
  </si>
  <si>
    <t>D-10395</t>
  </si>
  <si>
    <t>D-10396</t>
  </si>
  <si>
    <t>D-10397</t>
  </si>
  <si>
    <t>D-10398</t>
  </si>
  <si>
    <t>D-10399</t>
  </si>
  <si>
    <t>D-10400</t>
  </si>
  <si>
    <t>D-10401</t>
  </si>
  <si>
    <t>D-10402</t>
  </si>
  <si>
    <t>D-10403</t>
  </si>
  <si>
    <t>D-10404</t>
  </si>
  <si>
    <t>D-10405</t>
  </si>
  <si>
    <t>D-10406</t>
  </si>
  <si>
    <t>D-10407</t>
  </si>
  <si>
    <t>D-10408</t>
  </si>
  <si>
    <t>D-10409</t>
  </si>
  <si>
    <t>D-10410</t>
  </si>
  <si>
    <t>D-10411</t>
  </si>
  <si>
    <t>D-10412</t>
  </si>
  <si>
    <t>D-10413</t>
  </si>
  <si>
    <t>D-10414</t>
  </si>
  <si>
    <t>D-10415</t>
  </si>
  <si>
    <t>D-10416</t>
  </si>
  <si>
    <t>D-10417</t>
  </si>
  <si>
    <t>D-10418</t>
  </si>
  <si>
    <t>D-10419</t>
  </si>
  <si>
    <t>D-10420</t>
  </si>
  <si>
    <t>D-10421</t>
  </si>
  <si>
    <t>D-10422</t>
  </si>
  <si>
    <t>D-10423</t>
  </si>
  <si>
    <t>D-10424</t>
  </si>
  <si>
    <t>D-10425</t>
  </si>
  <si>
    <t>D-10426</t>
  </si>
  <si>
    <t>D-10427</t>
  </si>
  <si>
    <t>D-10428</t>
  </si>
  <si>
    <t>D-10429</t>
  </si>
  <si>
    <t>D-10430</t>
  </si>
  <si>
    <t>D-10431</t>
  </si>
  <si>
    <t>D-10432</t>
  </si>
  <si>
    <t>D-10433</t>
  </si>
  <si>
    <t>D-10434</t>
  </si>
  <si>
    <t>D-10435</t>
  </si>
  <si>
    <t>D-10436</t>
  </si>
  <si>
    <t>D-10437</t>
  </si>
  <si>
    <t>D-10438</t>
  </si>
  <si>
    <t>D-10439</t>
  </si>
  <si>
    <t>D-10440</t>
  </si>
  <si>
    <t>D-10441</t>
  </si>
  <si>
    <t>D-10442</t>
  </si>
  <si>
    <t>D-10443</t>
  </si>
  <si>
    <t>D-10444</t>
  </si>
  <si>
    <t>D-10445</t>
  </si>
  <si>
    <t>D-10446</t>
  </si>
  <si>
    <t>D-10447</t>
  </si>
  <si>
    <t>D-10448</t>
  </si>
  <si>
    <t>D-10449</t>
  </si>
  <si>
    <t>D-10450</t>
  </si>
  <si>
    <t>D-10451</t>
  </si>
  <si>
    <t>se sustituyo x la 10453</t>
  </si>
  <si>
    <t>D-10452</t>
  </si>
  <si>
    <t>D-10453</t>
  </si>
  <si>
    <t>D-10454</t>
  </si>
  <si>
    <t>D-10455</t>
  </si>
  <si>
    <t>D-10456</t>
  </si>
  <si>
    <t>D-10457</t>
  </si>
  <si>
    <t>13-Sept-22--15-Sept-22</t>
  </si>
  <si>
    <t>D-10458</t>
  </si>
  <si>
    <t>D-10459</t>
  </si>
  <si>
    <t>D-10460</t>
  </si>
  <si>
    <t>15-Sept-22--16-Sept-22</t>
  </si>
  <si>
    <t>D-10461</t>
  </si>
  <si>
    <t>D-10462</t>
  </si>
  <si>
    <t>D-10463</t>
  </si>
  <si>
    <t>D-10464</t>
  </si>
  <si>
    <t>D-10465</t>
  </si>
  <si>
    <t>D-10466</t>
  </si>
  <si>
    <t>D-10467</t>
  </si>
  <si>
    <t>D-10468</t>
  </si>
  <si>
    <t>D-10469</t>
  </si>
  <si>
    <t>D-10470</t>
  </si>
  <si>
    <t>D-10471</t>
  </si>
  <si>
    <t>D-10472</t>
  </si>
  <si>
    <t>D-10473</t>
  </si>
  <si>
    <t>D-10474</t>
  </si>
  <si>
    <t>D-10475</t>
  </si>
  <si>
    <t>D-10476</t>
  </si>
  <si>
    <t>D-10477</t>
  </si>
  <si>
    <t>D-10478</t>
  </si>
  <si>
    <t>D-10479</t>
  </si>
  <si>
    <t>D-10480</t>
  </si>
  <si>
    <t>D-10481</t>
  </si>
  <si>
    <t>D-10482</t>
  </si>
  <si>
    <t>D-10483</t>
  </si>
  <si>
    <t>D-10484</t>
  </si>
  <si>
    <t>D-10485</t>
  </si>
  <si>
    <t>D-10486</t>
  </si>
  <si>
    <t>D-10487</t>
  </si>
  <si>
    <t>D-10488</t>
  </si>
  <si>
    <t>D-10489</t>
  </si>
  <si>
    <t>D-10490</t>
  </si>
  <si>
    <t>D-10491</t>
  </si>
  <si>
    <t>D-10492</t>
  </si>
  <si>
    <t>D-10493</t>
  </si>
  <si>
    <t>D-10494</t>
  </si>
  <si>
    <t>D-10495</t>
  </si>
  <si>
    <t>D-10496</t>
  </si>
  <si>
    <t>D-10497</t>
  </si>
  <si>
    <t>D-10498</t>
  </si>
  <si>
    <t>17-Sept-22--21-Sept-22</t>
  </si>
  <si>
    <t>D-10499</t>
  </si>
  <si>
    <t>D-10500</t>
  </si>
  <si>
    <t>D-10501</t>
  </si>
  <si>
    <t>D-10502</t>
  </si>
  <si>
    <t>D-10503</t>
  </si>
  <si>
    <t>D-10504</t>
  </si>
  <si>
    <t>D-10505</t>
  </si>
  <si>
    <t>D-10506</t>
  </si>
  <si>
    <t>D-10507</t>
  </si>
  <si>
    <t>D-10508</t>
  </si>
  <si>
    <t>D-10509</t>
  </si>
  <si>
    <t>D-10510</t>
  </si>
  <si>
    <t>D-10511</t>
  </si>
  <si>
    <t>D-10512</t>
  </si>
  <si>
    <t>D-10513</t>
  </si>
  <si>
    <t>D-10514</t>
  </si>
  <si>
    <t>D-10515</t>
  </si>
  <si>
    <t>D-10516</t>
  </si>
  <si>
    <t>D-10517</t>
  </si>
  <si>
    <t>D-10518</t>
  </si>
  <si>
    <t>D-10519</t>
  </si>
  <si>
    <t>D-10520</t>
  </si>
  <si>
    <t>D-10521</t>
  </si>
  <si>
    <t>D-10522</t>
  </si>
  <si>
    <t>D-10523</t>
  </si>
  <si>
    <t>D-10524</t>
  </si>
  <si>
    <t>D-10525</t>
  </si>
  <si>
    <t>D-10526</t>
  </si>
  <si>
    <t>D-10527</t>
  </si>
  <si>
    <t>D-10528</t>
  </si>
  <si>
    <t>D-10529</t>
  </si>
  <si>
    <t>D-10530</t>
  </si>
  <si>
    <t>D-10531</t>
  </si>
  <si>
    <t>D-10532</t>
  </si>
  <si>
    <t>D-10533</t>
  </si>
  <si>
    <t>D-10534</t>
  </si>
  <si>
    <t>D-10535</t>
  </si>
  <si>
    <t>D-10536</t>
  </si>
  <si>
    <t>D-10537</t>
  </si>
  <si>
    <t>D-10538</t>
  </si>
  <si>
    <t>D-10539</t>
  </si>
  <si>
    <t>D-10540</t>
  </si>
  <si>
    <t>D-10541</t>
  </si>
  <si>
    <t>D-10542</t>
  </si>
  <si>
    <t>D-10543</t>
  </si>
  <si>
    <t>(661)SERVICIO ALATRISTE SA DE CV</t>
  </si>
  <si>
    <t>D-10544</t>
  </si>
  <si>
    <t>D-10545</t>
  </si>
  <si>
    <t>D-10546</t>
  </si>
  <si>
    <t>D-10547</t>
  </si>
  <si>
    <t>D-10548</t>
  </si>
  <si>
    <t>D-10549</t>
  </si>
  <si>
    <t>D-10550</t>
  </si>
  <si>
    <t>D-10551</t>
  </si>
  <si>
    <t>D-10552</t>
  </si>
  <si>
    <t>D-10553</t>
  </si>
  <si>
    <t>D-10554</t>
  </si>
  <si>
    <t>D-10555</t>
  </si>
  <si>
    <t>D-10556</t>
  </si>
  <si>
    <t>D-10557</t>
  </si>
  <si>
    <t>D-10558</t>
  </si>
  <si>
    <t>D-10559</t>
  </si>
  <si>
    <t>D-10560</t>
  </si>
  <si>
    <t>D-10561</t>
  </si>
  <si>
    <t>D-10562</t>
  </si>
  <si>
    <t>D-10563</t>
  </si>
  <si>
    <t>D-10564</t>
  </si>
  <si>
    <t>D-10565</t>
  </si>
  <si>
    <t>D-10566</t>
  </si>
  <si>
    <t>D-10567</t>
  </si>
  <si>
    <t>D-10568</t>
  </si>
  <si>
    <t>D-10569</t>
  </si>
  <si>
    <t>D-10570</t>
  </si>
  <si>
    <t>D-10571</t>
  </si>
  <si>
    <t>D-10572</t>
  </si>
  <si>
    <t>D-10573</t>
  </si>
  <si>
    <t>D-10574</t>
  </si>
  <si>
    <t>D-10575</t>
  </si>
  <si>
    <t>D-10576</t>
  </si>
  <si>
    <t>D-10577</t>
  </si>
  <si>
    <t>D-10578</t>
  </si>
  <si>
    <t>D-10579</t>
  </si>
  <si>
    <t>D-10580</t>
  </si>
  <si>
    <t>D-10581</t>
  </si>
  <si>
    <t>D-10582</t>
  </si>
  <si>
    <t>D-10583</t>
  </si>
  <si>
    <t>D-10584</t>
  </si>
  <si>
    <t>D-10585</t>
  </si>
  <si>
    <t>D-10586</t>
  </si>
  <si>
    <t>D-10587</t>
  </si>
  <si>
    <t>D-10588</t>
  </si>
  <si>
    <t>D-10589</t>
  </si>
  <si>
    <t>D-10590</t>
  </si>
  <si>
    <t>D-10591</t>
  </si>
  <si>
    <t>D-10592</t>
  </si>
  <si>
    <t>D-10593</t>
  </si>
  <si>
    <t>D-10594</t>
  </si>
  <si>
    <t>D-10595</t>
  </si>
  <si>
    <t>D-10596</t>
  </si>
  <si>
    <t>D-10597</t>
  </si>
  <si>
    <t>D-10598</t>
  </si>
  <si>
    <t>D-10599</t>
  </si>
  <si>
    <t>D-10600</t>
  </si>
  <si>
    <t>D-10601</t>
  </si>
  <si>
    <t>D-10602</t>
  </si>
  <si>
    <t>D-10603</t>
  </si>
  <si>
    <t>D-10604</t>
  </si>
  <si>
    <t>D-10605</t>
  </si>
  <si>
    <t>D-10606</t>
  </si>
  <si>
    <t>D-10607</t>
  </si>
  <si>
    <t>D-10608</t>
  </si>
  <si>
    <t>D-10609</t>
  </si>
  <si>
    <t>D-10610</t>
  </si>
  <si>
    <t>D-10611</t>
  </si>
  <si>
    <t>D-10612</t>
  </si>
  <si>
    <t>D-10613</t>
  </si>
  <si>
    <t>D-10614</t>
  </si>
  <si>
    <t>D-10615</t>
  </si>
  <si>
    <t>D-10616</t>
  </si>
  <si>
    <t>D-10617</t>
  </si>
  <si>
    <t>D-10618</t>
  </si>
  <si>
    <t>D-10619</t>
  </si>
  <si>
    <t>D-10620</t>
  </si>
  <si>
    <t>D-10621</t>
  </si>
  <si>
    <t>D-10622</t>
  </si>
  <si>
    <t>D-10623</t>
  </si>
  <si>
    <t>D-10624</t>
  </si>
  <si>
    <t>D-10625</t>
  </si>
  <si>
    <r>
      <t xml:space="preserve">(840)JESUS CRUZ RANGEL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</si>
  <si>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10627</t>
  </si>
  <si>
    <t>D-10626</t>
  </si>
  <si>
    <t>D-10627</t>
  </si>
  <si>
    <t>D-10628</t>
  </si>
  <si>
    <t>D-10629</t>
  </si>
  <si>
    <t>D-10630</t>
  </si>
  <si>
    <t>D-10631</t>
  </si>
  <si>
    <t>D-10632</t>
  </si>
  <si>
    <t>D-10633</t>
  </si>
  <si>
    <t>D-10634</t>
  </si>
  <si>
    <t>D-10635</t>
  </si>
  <si>
    <t>D-10636</t>
  </si>
  <si>
    <t>D-10637</t>
  </si>
  <si>
    <t>D-10638</t>
  </si>
  <si>
    <t>D-10639</t>
  </si>
  <si>
    <t>D-10640</t>
  </si>
  <si>
    <t>D-10641</t>
  </si>
  <si>
    <t>D-10642</t>
  </si>
  <si>
    <t>D-10643</t>
  </si>
  <si>
    <t>D-10644</t>
  </si>
  <si>
    <t>D-10645</t>
  </si>
  <si>
    <t>D-10646</t>
  </si>
  <si>
    <t>D-10647</t>
  </si>
  <si>
    <t>D-10648</t>
  </si>
  <si>
    <t>D-10649</t>
  </si>
  <si>
    <t>D-10650</t>
  </si>
  <si>
    <t>D-10651</t>
  </si>
  <si>
    <t>D-10652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</si>
  <si>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</si>
  <si>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10654</t>
  </si>
  <si>
    <t>D-10653</t>
  </si>
  <si>
    <t>D-10654</t>
  </si>
  <si>
    <t>D-10655</t>
  </si>
  <si>
    <t>D-10656</t>
  </si>
  <si>
    <t>D-10657</t>
  </si>
  <si>
    <t>D-10658</t>
  </si>
  <si>
    <t>D-10659</t>
  </si>
  <si>
    <t>D-10660</t>
  </si>
  <si>
    <t>D-10661</t>
  </si>
  <si>
    <t>D-10662</t>
  </si>
  <si>
    <t>D-10663</t>
  </si>
  <si>
    <t>D-10664</t>
  </si>
  <si>
    <t>D-10665</t>
  </si>
  <si>
    <t>D-10666</t>
  </si>
  <si>
    <t>D-10667</t>
  </si>
  <si>
    <t>D-10668</t>
  </si>
  <si>
    <t>D-10669</t>
  </si>
  <si>
    <t>D-10670</t>
  </si>
  <si>
    <t>D-10671</t>
  </si>
  <si>
    <t>D-10672</t>
  </si>
  <si>
    <t>D-10673</t>
  </si>
  <si>
    <t>se sustituyo x la  10675</t>
  </si>
  <si>
    <t>D-10674</t>
  </si>
  <si>
    <t>D-10675</t>
  </si>
  <si>
    <t>D-10676</t>
  </si>
  <si>
    <t>D-10677</t>
  </si>
  <si>
    <t>D-10678</t>
  </si>
  <si>
    <t>D-10679</t>
  </si>
  <si>
    <t>D-10680</t>
  </si>
  <si>
    <t>D-10681</t>
  </si>
  <si>
    <t>D-10682</t>
  </si>
  <si>
    <t>D-10683</t>
  </si>
  <si>
    <t>D-10684</t>
  </si>
  <si>
    <t>D-10685</t>
  </si>
  <si>
    <t>D-10686</t>
  </si>
  <si>
    <t>D-10687</t>
  </si>
  <si>
    <t>D-10688</t>
  </si>
  <si>
    <t>D-10689</t>
  </si>
  <si>
    <t>D-10690</t>
  </si>
  <si>
    <t>D-10691</t>
  </si>
  <si>
    <t>D-10692</t>
  </si>
  <si>
    <t>D-10693</t>
  </si>
  <si>
    <t>D-10694</t>
  </si>
  <si>
    <t>se sustituyo x la 10699</t>
  </si>
  <si>
    <t>D-10695</t>
  </si>
  <si>
    <t>D-10696</t>
  </si>
  <si>
    <t>D-10697</t>
  </si>
  <si>
    <t>D-10698</t>
  </si>
  <si>
    <t>D-10699</t>
  </si>
  <si>
    <t>D-10700</t>
  </si>
  <si>
    <t>D-10701</t>
  </si>
  <si>
    <t>D-10702</t>
  </si>
  <si>
    <t>D-10703</t>
  </si>
  <si>
    <t>D-10704</t>
  </si>
  <si>
    <t>D-10705</t>
  </si>
  <si>
    <t>D-10706</t>
  </si>
  <si>
    <t>D-10707</t>
  </si>
  <si>
    <t>D-10708</t>
  </si>
  <si>
    <t>D-10709</t>
  </si>
  <si>
    <t>se sustituyo x la  10730</t>
  </si>
  <si>
    <t>D-10710</t>
  </si>
  <si>
    <t>D-10711</t>
  </si>
  <si>
    <t>D-10712</t>
  </si>
  <si>
    <t>D-10713</t>
  </si>
  <si>
    <t>D-10714</t>
  </si>
  <si>
    <t>D-10715</t>
  </si>
  <si>
    <t>D-10716</t>
  </si>
  <si>
    <t>D-10717</t>
  </si>
  <si>
    <t>D-10718</t>
  </si>
  <si>
    <t>D-10719</t>
  </si>
  <si>
    <t>D-10720</t>
  </si>
  <si>
    <t>D-10721</t>
  </si>
  <si>
    <t>D-10722</t>
  </si>
  <si>
    <t>D-10723</t>
  </si>
  <si>
    <t>D-10724</t>
  </si>
  <si>
    <t>D-10725</t>
  </si>
  <si>
    <t>D-10726</t>
  </si>
  <si>
    <t>D-10727</t>
  </si>
  <si>
    <t>D-10728</t>
  </si>
  <si>
    <t>D-10729</t>
  </si>
  <si>
    <t>D-10730</t>
  </si>
  <si>
    <t>D-10731</t>
  </si>
  <si>
    <t>D-10732</t>
  </si>
  <si>
    <t>D-10733</t>
  </si>
  <si>
    <t>D-10734</t>
  </si>
  <si>
    <t>D-10735</t>
  </si>
  <si>
    <t>D-10736</t>
  </si>
  <si>
    <t>D-10737</t>
  </si>
  <si>
    <t>D-10738</t>
  </si>
  <si>
    <t>se sustituyo x la  10744</t>
  </si>
  <si>
    <t>D-10739</t>
  </si>
  <si>
    <t>D-10740</t>
  </si>
  <si>
    <t>D-10741</t>
  </si>
  <si>
    <t>D-10742</t>
  </si>
  <si>
    <t>D-10743</t>
  </si>
  <si>
    <t>D-10744</t>
  </si>
  <si>
    <t>D-10745</t>
  </si>
  <si>
    <t>D-10746</t>
  </si>
  <si>
    <t>D-10747</t>
  </si>
  <si>
    <t>D-10748</t>
  </si>
  <si>
    <t>D-10749</t>
  </si>
  <si>
    <t>D-10750</t>
  </si>
  <si>
    <t>D-10751</t>
  </si>
  <si>
    <t>D-10752</t>
  </si>
  <si>
    <t>D-10753</t>
  </si>
  <si>
    <t>D-10754</t>
  </si>
  <si>
    <t>D-10755</t>
  </si>
  <si>
    <t>D-10756</t>
  </si>
  <si>
    <t>D-10757</t>
  </si>
  <si>
    <t>D-10758</t>
  </si>
  <si>
    <t>D-10759</t>
  </si>
  <si>
    <t>D-10760</t>
  </si>
  <si>
    <t>D-10761</t>
  </si>
  <si>
    <t>D-10762</t>
  </si>
  <si>
    <t>D-10763</t>
  </si>
  <si>
    <t>D-10764</t>
  </si>
  <si>
    <r>
      <t xml:space="preserve">(23)ALVARO MEZA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</si>
  <si>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D-10765</t>
  </si>
  <si>
    <t>D-10766</t>
  </si>
  <si>
    <t>D-10767</t>
  </si>
  <si>
    <t>D-10768</t>
  </si>
  <si>
    <t>D-10769</t>
  </si>
  <si>
    <t>D-10770</t>
  </si>
  <si>
    <t>D-10771</t>
  </si>
  <si>
    <t>D-10772</t>
  </si>
  <si>
    <t>D-10773</t>
  </si>
  <si>
    <t>D-10774</t>
  </si>
  <si>
    <t>D-10775</t>
  </si>
  <si>
    <t>D-10776</t>
  </si>
  <si>
    <t>D-10777</t>
  </si>
  <si>
    <t>D-10778</t>
  </si>
  <si>
    <t>D-10779</t>
  </si>
  <si>
    <t>D-10780</t>
  </si>
  <si>
    <t>D-10781</t>
  </si>
  <si>
    <t>D-10782</t>
  </si>
  <si>
    <r>
      <t xml:space="preserve">(725)ABASTO DE 4 CARNES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</si>
  <si>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D-10783</t>
  </si>
  <si>
    <t>D-10784</t>
  </si>
  <si>
    <t>D-10785</t>
  </si>
  <si>
    <t>D-10786</t>
  </si>
  <si>
    <t>D-10787</t>
  </si>
  <si>
    <t>D-10788</t>
  </si>
  <si>
    <t>D-10789</t>
  </si>
  <si>
    <t>D-10790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</si>
  <si>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</si>
  <si>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10793</t>
  </si>
  <si>
    <t>D-10791</t>
  </si>
  <si>
    <t>D-10792</t>
  </si>
  <si>
    <t>D-10793</t>
  </si>
  <si>
    <t>D-10794</t>
  </si>
  <si>
    <t>D-10795</t>
  </si>
  <si>
    <t>D-10796</t>
  </si>
  <si>
    <t>D-10797</t>
  </si>
  <si>
    <t>D-10798</t>
  </si>
  <si>
    <t>D-10799</t>
  </si>
  <si>
    <t>D-10800</t>
  </si>
  <si>
    <t>D-10801</t>
  </si>
  <si>
    <t>D-10802</t>
  </si>
  <si>
    <t>D-10803</t>
  </si>
  <si>
    <t>D-10804</t>
  </si>
  <si>
    <t>D-10805</t>
  </si>
  <si>
    <t>D-10806</t>
  </si>
  <si>
    <t>D-10807</t>
  </si>
  <si>
    <t>D-10808</t>
  </si>
  <si>
    <t>D-10809</t>
  </si>
  <si>
    <t>D-10810</t>
  </si>
  <si>
    <t>D-10811</t>
  </si>
  <si>
    <t>D-10812</t>
  </si>
  <si>
    <t>D-10813</t>
  </si>
  <si>
    <t>D-10814</t>
  </si>
  <si>
    <t>D-10815</t>
  </si>
  <si>
    <t>D-10816</t>
  </si>
  <si>
    <t>D-10817</t>
  </si>
  <si>
    <t>D-10818</t>
  </si>
  <si>
    <t>D-10819</t>
  </si>
  <si>
    <t>D-10820</t>
  </si>
  <si>
    <t>D-10821</t>
  </si>
  <si>
    <t>D-10822</t>
  </si>
  <si>
    <t>D-10823</t>
  </si>
  <si>
    <t>D-10824</t>
  </si>
  <si>
    <t>D-10825</t>
  </si>
  <si>
    <t>D-10826</t>
  </si>
  <si>
    <t>D-10827</t>
  </si>
  <si>
    <t>D-10828</t>
  </si>
  <si>
    <t>D-10829</t>
  </si>
  <si>
    <t>D-10830</t>
  </si>
  <si>
    <t>D-10831</t>
  </si>
  <si>
    <t>D-10832</t>
  </si>
  <si>
    <t>D-10833</t>
  </si>
  <si>
    <t>D-10834</t>
  </si>
  <si>
    <t>D-10835</t>
  </si>
  <si>
    <t>D-10836</t>
  </si>
  <si>
    <t>20-Sept-22--21-Sept-22</t>
  </si>
  <si>
    <t>D-10837</t>
  </si>
  <si>
    <t>D-10838</t>
  </si>
  <si>
    <t>D-10839</t>
  </si>
  <si>
    <t>D-10840</t>
  </si>
  <si>
    <t>D-10841</t>
  </si>
  <si>
    <t>D-10842</t>
  </si>
  <si>
    <t>D-10843</t>
  </si>
  <si>
    <t>D-10844</t>
  </si>
  <si>
    <t>D-10845</t>
  </si>
  <si>
    <t>D-10846</t>
  </si>
  <si>
    <t>D-10847</t>
  </si>
  <si>
    <t>D-10848</t>
  </si>
  <si>
    <t>28-Sept-22--29-Sept-22</t>
  </si>
  <si>
    <t>D-10849</t>
  </si>
  <si>
    <t>D-10850</t>
  </si>
  <si>
    <t>D-10851</t>
  </si>
  <si>
    <t>D-10852</t>
  </si>
  <si>
    <t>19-Sept-22--20-Sept-22</t>
  </si>
  <si>
    <t>D-10853</t>
  </si>
  <si>
    <t>D-10854</t>
  </si>
  <si>
    <t>(669)LEO CENTENO</t>
  </si>
  <si>
    <t>D-10855</t>
  </si>
  <si>
    <t>D-10856</t>
  </si>
  <si>
    <t>18-Sept-22--19-Sept-22</t>
  </si>
  <si>
    <t>D-10857</t>
  </si>
  <si>
    <t>D-10858</t>
  </si>
  <si>
    <t>D-10859</t>
  </si>
  <si>
    <t>D-10860</t>
  </si>
  <si>
    <t>D-10861</t>
  </si>
  <si>
    <t>D-10862</t>
  </si>
  <si>
    <t>D-10863</t>
  </si>
  <si>
    <t>D-10864</t>
  </si>
  <si>
    <t>D-10865</t>
  </si>
  <si>
    <t>D-10866</t>
  </si>
  <si>
    <t>D-10867</t>
  </si>
  <si>
    <t>D-10868</t>
  </si>
  <si>
    <t>D-10869</t>
  </si>
  <si>
    <t>D-10870</t>
  </si>
  <si>
    <t>D-10871</t>
  </si>
  <si>
    <t>D-10872</t>
  </si>
  <si>
    <t>D-10873</t>
  </si>
  <si>
    <t>D-10874</t>
  </si>
  <si>
    <t>D-10875</t>
  </si>
  <si>
    <t>D-10876</t>
  </si>
  <si>
    <r>
      <t>(691)ISMAEL MARTINEZ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</si>
  <si>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D-10877</t>
  </si>
  <si>
    <t>D-10878</t>
  </si>
  <si>
    <t>D-10879</t>
  </si>
  <si>
    <t>D-10880</t>
  </si>
  <si>
    <t>D-10881</t>
  </si>
  <si>
    <t>D-10882</t>
  </si>
  <si>
    <t>D-10883</t>
  </si>
  <si>
    <t>D-10884</t>
  </si>
  <si>
    <t>D-10885</t>
  </si>
  <si>
    <t>D-10886</t>
  </si>
  <si>
    <t>D-10887</t>
  </si>
  <si>
    <t>D-10888</t>
  </si>
  <si>
    <t>D-10889</t>
  </si>
  <si>
    <t>D-10890</t>
  </si>
  <si>
    <t>D-10891</t>
  </si>
  <si>
    <t>D-10892</t>
  </si>
  <si>
    <t>D-10893</t>
  </si>
  <si>
    <t>D-10894</t>
  </si>
  <si>
    <t>D-10895</t>
  </si>
  <si>
    <t>D-10896</t>
  </si>
  <si>
    <t>D-10897</t>
  </si>
  <si>
    <t>D-10898</t>
  </si>
  <si>
    <t>D-10899</t>
  </si>
  <si>
    <t>D-10900</t>
  </si>
  <si>
    <t>D-10901</t>
  </si>
  <si>
    <t>D-10902</t>
  </si>
  <si>
    <t>D-10903</t>
  </si>
  <si>
    <t>D-10904</t>
  </si>
  <si>
    <t>D-10905</t>
  </si>
  <si>
    <t>D-10906</t>
  </si>
  <si>
    <t>D-10907</t>
  </si>
  <si>
    <t>D-10908</t>
  </si>
  <si>
    <t>D-10909</t>
  </si>
  <si>
    <t>D-10910</t>
  </si>
  <si>
    <t>D-10911</t>
  </si>
  <si>
    <t>D-10912</t>
  </si>
  <si>
    <t>D-10913</t>
  </si>
  <si>
    <t>D-10914</t>
  </si>
  <si>
    <t>D-10915</t>
  </si>
  <si>
    <t>D-10916</t>
  </si>
  <si>
    <t>D-10917</t>
  </si>
  <si>
    <t>D-10918</t>
  </si>
  <si>
    <t>D-10919</t>
  </si>
  <si>
    <t>D-10920</t>
  </si>
  <si>
    <t>D-10921</t>
  </si>
  <si>
    <t>D-10922</t>
  </si>
  <si>
    <t>D-10923</t>
  </si>
  <si>
    <t>D-10924</t>
  </si>
  <si>
    <t>D-10925</t>
  </si>
  <si>
    <t>D-10926</t>
  </si>
  <si>
    <t>D-10927</t>
  </si>
  <si>
    <t>D-10928</t>
  </si>
  <si>
    <t>D-10929</t>
  </si>
  <si>
    <t>D-10930</t>
  </si>
  <si>
    <t>D-10931</t>
  </si>
  <si>
    <t>D-10932</t>
  </si>
  <si>
    <t>D-10933</t>
  </si>
  <si>
    <t>D-10934</t>
  </si>
  <si>
    <t>D-10935</t>
  </si>
  <si>
    <t>D-10936</t>
  </si>
  <si>
    <t>D-10937</t>
  </si>
  <si>
    <t>D-10938</t>
  </si>
  <si>
    <t>D-10939</t>
  </si>
  <si>
    <t>D-10940</t>
  </si>
  <si>
    <t>D-10941</t>
  </si>
  <si>
    <t>D-10942</t>
  </si>
  <si>
    <t>D-10943</t>
  </si>
  <si>
    <t>D-10944</t>
  </si>
  <si>
    <t>D-10945</t>
  </si>
  <si>
    <t>D-10946</t>
  </si>
  <si>
    <t>D-10947</t>
  </si>
  <si>
    <t>D-10948</t>
  </si>
  <si>
    <t>D-10949</t>
  </si>
  <si>
    <t>D-10950</t>
  </si>
  <si>
    <t>D-10951</t>
  </si>
  <si>
    <t>D-10952</t>
  </si>
  <si>
    <t>D-10953</t>
  </si>
  <si>
    <t>D-10954</t>
  </si>
  <si>
    <t>D-10955</t>
  </si>
  <si>
    <t>D-10956</t>
  </si>
  <si>
    <t>D-10957</t>
  </si>
  <si>
    <t>D-10958</t>
  </si>
  <si>
    <t>D-10959</t>
  </si>
  <si>
    <t>D-10960</t>
  </si>
  <si>
    <t>D-10961</t>
  </si>
  <si>
    <t>D-10962</t>
  </si>
  <si>
    <t>D-10963</t>
  </si>
  <si>
    <t>D-10964</t>
  </si>
  <si>
    <t>D-10965</t>
  </si>
  <si>
    <t>D-10966</t>
  </si>
  <si>
    <t>D-10967</t>
  </si>
  <si>
    <t>D-10968</t>
  </si>
  <si>
    <t>D-10969</t>
  </si>
  <si>
    <t>D-10970</t>
  </si>
  <si>
    <t>D-10971</t>
  </si>
  <si>
    <t>D-10972</t>
  </si>
  <si>
    <t>D-10973</t>
  </si>
  <si>
    <t>D-10974</t>
  </si>
  <si>
    <t>D-10975</t>
  </si>
  <si>
    <t>D-10976</t>
  </si>
  <si>
    <t>D-10977</t>
  </si>
  <si>
    <t>D-10978</t>
  </si>
  <si>
    <t>D-10979</t>
  </si>
  <si>
    <t>D-10980</t>
  </si>
  <si>
    <t>D-10981</t>
  </si>
  <si>
    <t>D-10982</t>
  </si>
  <si>
    <t>D-10983</t>
  </si>
  <si>
    <t>D-10984</t>
  </si>
  <si>
    <t>D-10985</t>
  </si>
  <si>
    <t>D-10986</t>
  </si>
  <si>
    <t>D-10987</t>
  </si>
  <si>
    <t>D-10988</t>
  </si>
  <si>
    <t>D-10989</t>
  </si>
  <si>
    <t>D-10990</t>
  </si>
  <si>
    <t>D-10991</t>
  </si>
  <si>
    <t>D-10992</t>
  </si>
  <si>
    <t>D-10993</t>
  </si>
  <si>
    <t>D-10994</t>
  </si>
  <si>
    <t>D-10995</t>
  </si>
  <si>
    <t>D-10996</t>
  </si>
  <si>
    <t>D-10997</t>
  </si>
  <si>
    <t>D-10998</t>
  </si>
  <si>
    <t>D-10999</t>
  </si>
  <si>
    <t>D-11000</t>
  </si>
  <si>
    <t>D-11001</t>
  </si>
  <si>
    <t>D-11002</t>
  </si>
  <si>
    <t>D-11003</t>
  </si>
  <si>
    <t>D-11004</t>
  </si>
  <si>
    <t>D-11005</t>
  </si>
  <si>
    <t>D-11006</t>
  </si>
  <si>
    <t>(910)RAFAEL CORTERO DOMINGUEZ</t>
  </si>
  <si>
    <t>D-11007</t>
  </si>
  <si>
    <t>D-11008</t>
  </si>
  <si>
    <t>D-11009</t>
  </si>
  <si>
    <t>D-11010</t>
  </si>
  <si>
    <t>D-11011</t>
  </si>
  <si>
    <t>D-11012</t>
  </si>
  <si>
    <t>D-11013</t>
  </si>
  <si>
    <t>D-11014</t>
  </si>
  <si>
    <t>D-11015</t>
  </si>
  <si>
    <t>D-11016</t>
  </si>
  <si>
    <t>D-11017</t>
  </si>
  <si>
    <t>D-11018</t>
  </si>
  <si>
    <t>D-11019</t>
  </si>
  <si>
    <t>D-11020</t>
  </si>
  <si>
    <t>D-11021</t>
  </si>
  <si>
    <t>D-11022</t>
  </si>
  <si>
    <t>D-11023</t>
  </si>
  <si>
    <t>D-11024</t>
  </si>
  <si>
    <t>D-11025</t>
  </si>
  <si>
    <t>D-11026</t>
  </si>
  <si>
    <t>D-11027</t>
  </si>
  <si>
    <t>D-11028</t>
  </si>
  <si>
    <t>D-11029</t>
  </si>
  <si>
    <t>D-11030</t>
  </si>
  <si>
    <t>D-11031</t>
  </si>
  <si>
    <t>D-11032</t>
  </si>
  <si>
    <t>D-11033</t>
  </si>
  <si>
    <t>D-11034</t>
  </si>
  <si>
    <t>D-11035</t>
  </si>
  <si>
    <t>D-11036</t>
  </si>
  <si>
    <t>D-11037</t>
  </si>
  <si>
    <t>D-11038</t>
  </si>
  <si>
    <t>D-11039</t>
  </si>
  <si>
    <t>D-11040</t>
  </si>
  <si>
    <t>D-11041</t>
  </si>
  <si>
    <t>D-11042</t>
  </si>
  <si>
    <t>21-Sept-22--22-Sept-22</t>
  </si>
  <si>
    <t>D-11043</t>
  </si>
  <si>
    <t>D-11044</t>
  </si>
  <si>
    <t>D-11045</t>
  </si>
  <si>
    <t>D-11046</t>
  </si>
  <si>
    <t>D-11047</t>
  </si>
  <si>
    <t>D-11048</t>
  </si>
  <si>
    <t>D-11049</t>
  </si>
  <si>
    <t>D-11050</t>
  </si>
  <si>
    <t>D-11051</t>
  </si>
  <si>
    <t>D-11052</t>
  </si>
  <si>
    <t>D-11053</t>
  </si>
  <si>
    <t>D-11054</t>
  </si>
  <si>
    <t>D-11055</t>
  </si>
  <si>
    <t>D-11056</t>
  </si>
  <si>
    <t>D-11057</t>
  </si>
  <si>
    <t>D-11058</t>
  </si>
  <si>
    <t>D-11059</t>
  </si>
  <si>
    <t>D-11060</t>
  </si>
  <si>
    <t>D-11061</t>
  </si>
  <si>
    <t>D-11062</t>
  </si>
  <si>
    <t>D-11063</t>
  </si>
  <si>
    <t>D-11064</t>
  </si>
  <si>
    <t>D-11065</t>
  </si>
  <si>
    <t>D-11066</t>
  </si>
  <si>
    <t>D-11067</t>
  </si>
  <si>
    <t>D-11068</t>
  </si>
  <si>
    <t>D-11069</t>
  </si>
  <si>
    <t>D-11070</t>
  </si>
  <si>
    <t>D-11071</t>
  </si>
  <si>
    <t>D-11072</t>
  </si>
  <si>
    <t>D-11073</t>
  </si>
  <si>
    <t>D-11074</t>
  </si>
  <si>
    <t>D-11075</t>
  </si>
  <si>
    <t>D-11076</t>
  </si>
  <si>
    <t>D-11077</t>
  </si>
  <si>
    <t>D-11078</t>
  </si>
  <si>
    <t>D-11079</t>
  </si>
  <si>
    <t>D-11080</t>
  </si>
  <si>
    <t>D-11081</t>
  </si>
  <si>
    <t>D-11082</t>
  </si>
  <si>
    <t>D-11083</t>
  </si>
  <si>
    <t>D-11084</t>
  </si>
  <si>
    <t>D-11085</t>
  </si>
  <si>
    <t>D-11086</t>
  </si>
  <si>
    <t>D-11087</t>
  </si>
  <si>
    <t>D-11088</t>
  </si>
  <si>
    <t>D-11089</t>
  </si>
  <si>
    <t>D-11090</t>
  </si>
  <si>
    <t>D-11091</t>
  </si>
  <si>
    <t>D-11092</t>
  </si>
  <si>
    <t>D-11093</t>
  </si>
  <si>
    <t>D-11094</t>
  </si>
  <si>
    <t>D-11095</t>
  </si>
  <si>
    <t>D-11096</t>
  </si>
  <si>
    <t>D-11097</t>
  </si>
  <si>
    <t>D-11098</t>
  </si>
  <si>
    <t>D-11099</t>
  </si>
  <si>
    <t>D-11100</t>
  </si>
  <si>
    <t>D-11101</t>
  </si>
  <si>
    <t>D-11102</t>
  </si>
  <si>
    <t>D-11103</t>
  </si>
  <si>
    <t>D-11104</t>
  </si>
  <si>
    <t>D-11105</t>
  </si>
  <si>
    <t>D-11106</t>
  </si>
  <si>
    <t>D-11107</t>
  </si>
  <si>
    <t>D-11108</t>
  </si>
  <si>
    <t>D-11109</t>
  </si>
  <si>
    <t>se sustituyo x la  11111</t>
  </si>
  <si>
    <t>D-11110</t>
  </si>
  <si>
    <t>D-11111</t>
  </si>
  <si>
    <t>D-11112</t>
  </si>
  <si>
    <t>D-11113</t>
  </si>
  <si>
    <t>D-11114</t>
  </si>
  <si>
    <t>D-11115</t>
  </si>
  <si>
    <t>D-11116</t>
  </si>
  <si>
    <t>D-11117</t>
  </si>
  <si>
    <t>D-11118</t>
  </si>
  <si>
    <t>D-11119</t>
  </si>
  <si>
    <t>D-11120</t>
  </si>
  <si>
    <t>D-11121</t>
  </si>
  <si>
    <t>D-11122</t>
  </si>
  <si>
    <t>D-11123</t>
  </si>
  <si>
    <t>D-11124</t>
  </si>
  <si>
    <t>19-Sept-22--27-Sept-22</t>
  </si>
  <si>
    <t>D-11125</t>
  </si>
  <si>
    <t>D-11126</t>
  </si>
  <si>
    <t>D-11127</t>
  </si>
  <si>
    <t>D-11128</t>
  </si>
  <si>
    <t>D-11129</t>
  </si>
  <si>
    <t>D-11130</t>
  </si>
  <si>
    <t>D-11131</t>
  </si>
  <si>
    <t>D-11132</t>
  </si>
  <si>
    <t>D-11133</t>
  </si>
  <si>
    <t>D-11134</t>
  </si>
  <si>
    <t>D-11135</t>
  </si>
  <si>
    <t>D-11136</t>
  </si>
  <si>
    <t>23-Sept-22--24-Sept-22</t>
  </si>
  <si>
    <t>D-11137</t>
  </si>
  <si>
    <t>D-11138</t>
  </si>
  <si>
    <t>D-11139</t>
  </si>
  <si>
    <t>D-11140</t>
  </si>
  <si>
    <t>D-11141</t>
  </si>
  <si>
    <t>D-11142</t>
  </si>
  <si>
    <t>D-11143</t>
  </si>
  <si>
    <t>D-11144</t>
  </si>
  <si>
    <t>D-11145</t>
  </si>
  <si>
    <t>D-11146</t>
  </si>
  <si>
    <t>D-11147</t>
  </si>
  <si>
    <t>D-11148</t>
  </si>
  <si>
    <t>D-11149</t>
  </si>
  <si>
    <t>D-11150</t>
  </si>
  <si>
    <t>D-11151</t>
  </si>
  <si>
    <t>D-11152</t>
  </si>
  <si>
    <t>D-11153</t>
  </si>
  <si>
    <t>D-11154</t>
  </si>
  <si>
    <t>D-11155</t>
  </si>
  <si>
    <t>D-11156</t>
  </si>
  <si>
    <t>D-11157</t>
  </si>
  <si>
    <t>D-11158</t>
  </si>
  <si>
    <t>D-11159</t>
  </si>
  <si>
    <t>D-11160</t>
  </si>
  <si>
    <t>D-11161</t>
  </si>
  <si>
    <t>D-11162</t>
  </si>
  <si>
    <t>D-11163</t>
  </si>
  <si>
    <t>D-11164</t>
  </si>
  <si>
    <t>D-11165</t>
  </si>
  <si>
    <t>D-11166</t>
  </si>
  <si>
    <t>D-11167</t>
  </si>
  <si>
    <t>D-11168</t>
  </si>
  <si>
    <t>D-11169</t>
  </si>
  <si>
    <t>D-11170</t>
  </si>
  <si>
    <t>D-11171</t>
  </si>
  <si>
    <t>D-11172</t>
  </si>
  <si>
    <t>D-11173</t>
  </si>
  <si>
    <t>D-11174</t>
  </si>
  <si>
    <t>D-11175</t>
  </si>
  <si>
    <t>D-11176</t>
  </si>
  <si>
    <t>D-11177</t>
  </si>
  <si>
    <t>D-11178</t>
  </si>
  <si>
    <t>D-11179</t>
  </si>
  <si>
    <t>D-11180</t>
  </si>
  <si>
    <t>D-11181</t>
  </si>
  <si>
    <t>D-11182</t>
  </si>
  <si>
    <t>D-11183</t>
  </si>
  <si>
    <t>D-11184</t>
  </si>
  <si>
    <t>D-11185</t>
  </si>
  <si>
    <t>D-11186</t>
  </si>
  <si>
    <t>D-11187</t>
  </si>
  <si>
    <t>D-11188</t>
  </si>
  <si>
    <t>D-11189</t>
  </si>
  <si>
    <t>D-11190</t>
  </si>
  <si>
    <r>
      <t>(889)ALBERTO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</si>
  <si>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D-11191</t>
  </si>
  <si>
    <t>D-11192</t>
  </si>
  <si>
    <t>D-11193</t>
  </si>
  <si>
    <t>D-11194</t>
  </si>
  <si>
    <t>D-11195</t>
  </si>
  <si>
    <t>D-11196</t>
  </si>
  <si>
    <t>D-11197</t>
  </si>
  <si>
    <t>D-11198</t>
  </si>
  <si>
    <t>D-11199</t>
  </si>
  <si>
    <t>D-11200</t>
  </si>
  <si>
    <t>D-11201</t>
  </si>
  <si>
    <t>D-11202</t>
  </si>
  <si>
    <t>D-11203</t>
  </si>
  <si>
    <t>D-11204</t>
  </si>
  <si>
    <t>D-11205</t>
  </si>
  <si>
    <t>D-11206</t>
  </si>
  <si>
    <t>D-11207</t>
  </si>
  <si>
    <t>D-11208</t>
  </si>
  <si>
    <t>D-11209</t>
  </si>
  <si>
    <t>D-11210</t>
  </si>
  <si>
    <t>D-11211</t>
  </si>
  <si>
    <t>D-11212</t>
  </si>
  <si>
    <t>D-11213</t>
  </si>
  <si>
    <t>D-11214</t>
  </si>
  <si>
    <t>D-11215</t>
  </si>
  <si>
    <t>D-11216</t>
  </si>
  <si>
    <t>D-11217</t>
  </si>
  <si>
    <t>D-11218</t>
  </si>
  <si>
    <t>D-11219</t>
  </si>
  <si>
    <t>D-11220</t>
  </si>
  <si>
    <r>
      <t>(883)MEXICAN FOOD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</si>
  <si>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11229</t>
  </si>
  <si>
    <t>D-11221</t>
  </si>
  <si>
    <t>D-11222</t>
  </si>
  <si>
    <t>D-11223</t>
  </si>
  <si>
    <t>D-11224</t>
  </si>
  <si>
    <t>D-11225</t>
  </si>
  <si>
    <t>D-11226</t>
  </si>
  <si>
    <t>D-11227</t>
  </si>
  <si>
    <t>D-11228</t>
  </si>
  <si>
    <t>D-11229</t>
  </si>
  <si>
    <t>D-11230</t>
  </si>
  <si>
    <t>(198)PEDRO TIRO</t>
  </si>
  <si>
    <t>D-11231</t>
  </si>
  <si>
    <t>D-11232</t>
  </si>
  <si>
    <t>D-11233</t>
  </si>
  <si>
    <t>D-11234</t>
  </si>
  <si>
    <t>D-11235</t>
  </si>
  <si>
    <t>D-11236</t>
  </si>
  <si>
    <t>D-11237</t>
  </si>
  <si>
    <t>D-11238</t>
  </si>
  <si>
    <t>D-11239</t>
  </si>
  <si>
    <t>D-11240</t>
  </si>
  <si>
    <t>D-11241</t>
  </si>
  <si>
    <t>D-11242</t>
  </si>
  <si>
    <t>D-11243</t>
  </si>
  <si>
    <t>D-11244</t>
  </si>
  <si>
    <t>D-11245</t>
  </si>
  <si>
    <t>D-11246</t>
  </si>
  <si>
    <t>D-11247</t>
  </si>
  <si>
    <t>D-11248</t>
  </si>
  <si>
    <t>D-11249</t>
  </si>
  <si>
    <t>D-11250</t>
  </si>
  <si>
    <t>D-11251</t>
  </si>
  <si>
    <t>D-11252</t>
  </si>
  <si>
    <t>D-11253</t>
  </si>
  <si>
    <t>D-11254</t>
  </si>
  <si>
    <t>D-11255</t>
  </si>
  <si>
    <t>D-11256</t>
  </si>
  <si>
    <t>D-11257</t>
  </si>
  <si>
    <t>D-11258</t>
  </si>
  <si>
    <t>D-11259</t>
  </si>
  <si>
    <t>D-11260</t>
  </si>
  <si>
    <t>D-11261</t>
  </si>
  <si>
    <t>D-11262</t>
  </si>
  <si>
    <t>D-11263</t>
  </si>
  <si>
    <t>D-11264</t>
  </si>
  <si>
    <t>D-11265</t>
  </si>
  <si>
    <t>D-11266</t>
  </si>
  <si>
    <t>D-11267</t>
  </si>
  <si>
    <t>D-11268</t>
  </si>
  <si>
    <t>D-11269</t>
  </si>
  <si>
    <t>D-11270</t>
  </si>
  <si>
    <t>D-11271</t>
  </si>
  <si>
    <t>D-11272</t>
  </si>
  <si>
    <t>D-11273</t>
  </si>
  <si>
    <t>D-11274</t>
  </si>
  <si>
    <t>D-11275</t>
  </si>
  <si>
    <t>D-11276</t>
  </si>
  <si>
    <t>D-11277</t>
  </si>
  <si>
    <t>D-11278</t>
  </si>
  <si>
    <t>D-11279</t>
  </si>
  <si>
    <t>D-11280</t>
  </si>
  <si>
    <t>D-11281</t>
  </si>
  <si>
    <t>D-11282</t>
  </si>
  <si>
    <t>D-11283</t>
  </si>
  <si>
    <t>D-11284</t>
  </si>
  <si>
    <t>D-11285</t>
  </si>
  <si>
    <t>D-11286</t>
  </si>
  <si>
    <t>D-11287</t>
  </si>
  <si>
    <t>D-11288</t>
  </si>
  <si>
    <t>D-11289</t>
  </si>
  <si>
    <t>D-11290</t>
  </si>
  <si>
    <t>D-11291</t>
  </si>
  <si>
    <t>D-11292</t>
  </si>
  <si>
    <t>D-11293</t>
  </si>
  <si>
    <t>D-11294</t>
  </si>
  <si>
    <t>D-11295</t>
  </si>
  <si>
    <t>D-11296</t>
  </si>
  <si>
    <t>D-11297</t>
  </si>
  <si>
    <t>D-11298</t>
  </si>
  <si>
    <t>D-11299</t>
  </si>
  <si>
    <t>D-11300</t>
  </si>
  <si>
    <t>D-11301</t>
  </si>
  <si>
    <t>D-11302</t>
  </si>
  <si>
    <t>D-11303</t>
  </si>
  <si>
    <t>D-11304</t>
  </si>
  <si>
    <t>D-11305</t>
  </si>
  <si>
    <t>D-11306</t>
  </si>
  <si>
    <t>D-11307</t>
  </si>
  <si>
    <t>D-11308</t>
  </si>
  <si>
    <t>D-11309</t>
  </si>
  <si>
    <t>D-11310</t>
  </si>
  <si>
    <t>D-11311</t>
  </si>
  <si>
    <t>D-11312</t>
  </si>
  <si>
    <t>D-11313</t>
  </si>
  <si>
    <t>D-11314</t>
  </si>
  <si>
    <t>D-11315</t>
  </si>
  <si>
    <t>D-11316</t>
  </si>
  <si>
    <t>D-11317</t>
  </si>
  <si>
    <t>D-11318</t>
  </si>
  <si>
    <t>D-11319</t>
  </si>
  <si>
    <t>D-11320</t>
  </si>
  <si>
    <t>D-11321</t>
  </si>
  <si>
    <t>D-11322</t>
  </si>
  <si>
    <t>D-11323</t>
  </si>
  <si>
    <t>D-11324</t>
  </si>
  <si>
    <t>D-11325</t>
  </si>
  <si>
    <t>D-11326</t>
  </si>
  <si>
    <t>D-11327</t>
  </si>
  <si>
    <t>D-11328</t>
  </si>
  <si>
    <t>D-11329</t>
  </si>
  <si>
    <t>D-11330</t>
  </si>
  <si>
    <t>D-11331</t>
  </si>
  <si>
    <t>D-11332</t>
  </si>
  <si>
    <t>D-11333</t>
  </si>
  <si>
    <t>D-11334</t>
  </si>
  <si>
    <t>D-11335</t>
  </si>
  <si>
    <t>D-11336</t>
  </si>
  <si>
    <t>D-11337</t>
  </si>
  <si>
    <t>D-11338</t>
  </si>
  <si>
    <t>22-Sept-22--23-Sept-22</t>
  </si>
  <si>
    <t>D-11339</t>
  </si>
  <si>
    <t>D-11340</t>
  </si>
  <si>
    <t>D-11341</t>
  </si>
  <si>
    <t>D-11342</t>
  </si>
  <si>
    <t>D-11343</t>
  </si>
  <si>
    <t>D-11344</t>
  </si>
  <si>
    <t>D-11345</t>
  </si>
  <si>
    <t>D-11346</t>
  </si>
  <si>
    <t>D-11347</t>
  </si>
  <si>
    <t>D-11348</t>
  </si>
  <si>
    <t>D-11349</t>
  </si>
  <si>
    <t>D-11350</t>
  </si>
  <si>
    <t>D-11351</t>
  </si>
  <si>
    <t>D-11352</t>
  </si>
  <si>
    <t>D-11353</t>
  </si>
  <si>
    <t>D-11354</t>
  </si>
  <si>
    <t>D-11355</t>
  </si>
  <si>
    <t>D-11356</t>
  </si>
  <si>
    <t>D-11357</t>
  </si>
  <si>
    <r>
      <t xml:space="preserve">(450)FOX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</si>
  <si>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11388</t>
  </si>
  <si>
    <t>D-11358</t>
  </si>
  <si>
    <t>D-11359</t>
  </si>
  <si>
    <t>D-11360</t>
  </si>
  <si>
    <t>D-11361</t>
  </si>
  <si>
    <t>D-11362</t>
  </si>
  <si>
    <t>D-11363</t>
  </si>
  <si>
    <t>D-11364</t>
  </si>
  <si>
    <t>23/09/2022</t>
  </si>
  <si>
    <t>D-11365</t>
  </si>
  <si>
    <t>D-11366</t>
  </si>
  <si>
    <t>D-11367</t>
  </si>
  <si>
    <t>D-11368</t>
  </si>
  <si>
    <t>D-11369</t>
  </si>
  <si>
    <t>D-11370</t>
  </si>
  <si>
    <t>D-11371</t>
  </si>
  <si>
    <t>D-11372</t>
  </si>
  <si>
    <t>D-11373</t>
  </si>
  <si>
    <t>D-11374</t>
  </si>
  <si>
    <t>D-11375</t>
  </si>
  <si>
    <t>D-11376</t>
  </si>
  <si>
    <t>D-11377</t>
  </si>
  <si>
    <t>D-11378</t>
  </si>
  <si>
    <t>D-11379</t>
  </si>
  <si>
    <t>D-11380</t>
  </si>
  <si>
    <t>D-11381</t>
  </si>
  <si>
    <t>D-11382</t>
  </si>
  <si>
    <t>D-11383</t>
  </si>
  <si>
    <t>se sustituyo x la  11382</t>
  </si>
  <si>
    <t>D-11384</t>
  </si>
  <si>
    <t>D-11385</t>
  </si>
  <si>
    <t>D-11386</t>
  </si>
  <si>
    <t>D-11387</t>
  </si>
  <si>
    <t>D-11388</t>
  </si>
  <si>
    <t>D-11389</t>
  </si>
  <si>
    <t>D-11390</t>
  </si>
  <si>
    <t>D-11391</t>
  </si>
  <si>
    <t>D-11392</t>
  </si>
  <si>
    <t>D-11393</t>
  </si>
  <si>
    <t>D-11394</t>
  </si>
  <si>
    <t>D-11395</t>
  </si>
  <si>
    <t>D-11396</t>
  </si>
  <si>
    <t>D-11397</t>
  </si>
  <si>
    <t>D-11398</t>
  </si>
  <si>
    <t>D-11399</t>
  </si>
  <si>
    <t>D-11400</t>
  </si>
  <si>
    <t>D-11401</t>
  </si>
  <si>
    <t>D-11402</t>
  </si>
  <si>
    <t>D-11403</t>
  </si>
  <si>
    <t>D-11404</t>
  </si>
  <si>
    <t>D-11405</t>
  </si>
  <si>
    <t>D-11406</t>
  </si>
  <si>
    <t>D-11407</t>
  </si>
  <si>
    <t>D-11408</t>
  </si>
  <si>
    <t>D-11409</t>
  </si>
  <si>
    <t>D-11410</t>
  </si>
  <si>
    <t>D-11411</t>
  </si>
  <si>
    <t>D-11412</t>
  </si>
  <si>
    <t>D-11413</t>
  </si>
  <si>
    <t>D-11414</t>
  </si>
  <si>
    <t>D-11415</t>
  </si>
  <si>
    <t>D-11416</t>
  </si>
  <si>
    <t>D-11417</t>
  </si>
  <si>
    <t>D-11418</t>
  </si>
  <si>
    <t>D-11419</t>
  </si>
  <si>
    <t>D-11420</t>
  </si>
  <si>
    <t>D-11421</t>
  </si>
  <si>
    <t>D-11422</t>
  </si>
  <si>
    <t>D-11423</t>
  </si>
  <si>
    <t>D-11424</t>
  </si>
  <si>
    <t>D-11425</t>
  </si>
  <si>
    <t>D-11426</t>
  </si>
  <si>
    <t>D-11427</t>
  </si>
  <si>
    <t>D-11428</t>
  </si>
  <si>
    <t>D-11429</t>
  </si>
  <si>
    <t>D-11430</t>
  </si>
  <si>
    <t>D-11431</t>
  </si>
  <si>
    <t>D-11432</t>
  </si>
  <si>
    <t>D-11433</t>
  </si>
  <si>
    <t>D-11434</t>
  </si>
  <si>
    <t>D-11435</t>
  </si>
  <si>
    <t>D-11436</t>
  </si>
  <si>
    <t>se sustituyo x la 11438</t>
  </si>
  <si>
    <t>D-11437</t>
  </si>
  <si>
    <t>D-11438</t>
  </si>
  <si>
    <t>D-11439</t>
  </si>
  <si>
    <t>D-11440</t>
  </si>
  <si>
    <t>D-11441</t>
  </si>
  <si>
    <t>D-11442</t>
  </si>
  <si>
    <t>D-11443</t>
  </si>
  <si>
    <t>D-11444</t>
  </si>
  <si>
    <t>D-11445</t>
  </si>
  <si>
    <t>D-11446</t>
  </si>
  <si>
    <t>D-11447</t>
  </si>
  <si>
    <t>D-11448</t>
  </si>
  <si>
    <t>D-11449</t>
  </si>
  <si>
    <t>D-11450</t>
  </si>
  <si>
    <t>D-11451</t>
  </si>
  <si>
    <t>D-11452</t>
  </si>
  <si>
    <t>D-11453</t>
  </si>
  <si>
    <t>D-11454</t>
  </si>
  <si>
    <t>D-11455</t>
  </si>
  <si>
    <t>D-11456</t>
  </si>
  <si>
    <t>D-11457</t>
  </si>
  <si>
    <t>22-Sept-22--24-Sept-22</t>
  </si>
  <si>
    <t>D-11458</t>
  </si>
  <si>
    <t>D-11459</t>
  </si>
  <si>
    <t>D-11460</t>
  </si>
  <si>
    <t>D-11461</t>
  </si>
  <si>
    <t>24-Sept-22--25-Sept-22</t>
  </si>
  <si>
    <t>D-11462</t>
  </si>
  <si>
    <t>D-11463</t>
  </si>
  <si>
    <t>D-11464</t>
  </si>
  <si>
    <t>D-11465</t>
  </si>
  <si>
    <t>D-11466</t>
  </si>
  <si>
    <t>D-11467</t>
  </si>
  <si>
    <t>D-11468</t>
  </si>
  <si>
    <r>
      <t>(662)ROJO CENTENO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</si>
  <si>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D-11469</t>
  </si>
  <si>
    <t>D-11470</t>
  </si>
  <si>
    <t>D-11471</t>
  </si>
  <si>
    <t>D-11472</t>
  </si>
  <si>
    <t>D-11473</t>
  </si>
  <si>
    <t>D-11474</t>
  </si>
  <si>
    <t>D-11475</t>
  </si>
  <si>
    <t>D-11476</t>
  </si>
  <si>
    <t>D-11477</t>
  </si>
  <si>
    <t>D-11478</t>
  </si>
  <si>
    <t>D-11479</t>
  </si>
  <si>
    <t>D-11480</t>
  </si>
  <si>
    <t>D-11481</t>
  </si>
  <si>
    <t>24-Sept-22--26-Sept-22</t>
  </si>
  <si>
    <t>D-11482</t>
  </si>
  <si>
    <t>D-11483</t>
  </si>
  <si>
    <t>D-11484</t>
  </si>
  <si>
    <t>D-11485</t>
  </si>
  <si>
    <t>D-11486</t>
  </si>
  <si>
    <t>D-11487</t>
  </si>
  <si>
    <t>D-11488</t>
  </si>
  <si>
    <t>D-11489</t>
  </si>
  <si>
    <t>D-11490</t>
  </si>
  <si>
    <t>D-11491</t>
  </si>
  <si>
    <t>D-11492</t>
  </si>
  <si>
    <t>D-11493</t>
  </si>
  <si>
    <t>D-11494</t>
  </si>
  <si>
    <t>D-11495</t>
  </si>
  <si>
    <t>D-11496</t>
  </si>
  <si>
    <t>D-11497</t>
  </si>
  <si>
    <t>D-11498</t>
  </si>
  <si>
    <t>D-11499</t>
  </si>
  <si>
    <t>D-11500</t>
  </si>
  <si>
    <t>D-11501</t>
  </si>
  <si>
    <t>D-11502</t>
  </si>
  <si>
    <t>D-11503</t>
  </si>
  <si>
    <t>D-11504</t>
  </si>
  <si>
    <t>D-11505</t>
  </si>
  <si>
    <t>D-11506</t>
  </si>
  <si>
    <t>D-11507</t>
  </si>
  <si>
    <t>D-11508</t>
  </si>
  <si>
    <t>D-11509</t>
  </si>
  <si>
    <t>D-11510</t>
  </si>
  <si>
    <t>D-11511</t>
  </si>
  <si>
    <t>D-11512</t>
  </si>
  <si>
    <t>D-11513</t>
  </si>
  <si>
    <t>D-11514</t>
  </si>
  <si>
    <t>D-11515</t>
  </si>
  <si>
    <t>D-11516</t>
  </si>
  <si>
    <t>D-11517</t>
  </si>
  <si>
    <t>D-11518</t>
  </si>
  <si>
    <t>D-11519</t>
  </si>
  <si>
    <t>D-11520</t>
  </si>
  <si>
    <t>D-11521</t>
  </si>
  <si>
    <t>D-11522</t>
  </si>
  <si>
    <t>D-11523</t>
  </si>
  <si>
    <t>D-11524</t>
  </si>
  <si>
    <t>D-11525</t>
  </si>
  <si>
    <t>D-11526</t>
  </si>
  <si>
    <t>D-11527</t>
  </si>
  <si>
    <t>D-11528</t>
  </si>
  <si>
    <t>D-11529</t>
  </si>
  <si>
    <t>D-11530</t>
  </si>
  <si>
    <t>D-11531</t>
  </si>
  <si>
    <t>D-11532</t>
  </si>
  <si>
    <t>D-11533</t>
  </si>
  <si>
    <t>D-11534</t>
  </si>
  <si>
    <t>D-11535</t>
  </si>
  <si>
    <t>D-11536</t>
  </si>
  <si>
    <t>D-11537</t>
  </si>
  <si>
    <t>D-11538</t>
  </si>
  <si>
    <t>D-11539</t>
  </si>
  <si>
    <t>D-11540</t>
  </si>
  <si>
    <t>D-11541</t>
  </si>
  <si>
    <t>D-11542</t>
  </si>
  <si>
    <t>D-11543</t>
  </si>
  <si>
    <t>D-11544</t>
  </si>
  <si>
    <t>D-11545</t>
  </si>
  <si>
    <t>D-11546</t>
  </si>
  <si>
    <t>D-11547</t>
  </si>
  <si>
    <t>D-11548</t>
  </si>
  <si>
    <t>D-11549</t>
  </si>
  <si>
    <t>D-11550</t>
  </si>
  <si>
    <t>D-11551</t>
  </si>
  <si>
    <t>D-11552</t>
  </si>
  <si>
    <t>D-11553</t>
  </si>
  <si>
    <t>D-11554</t>
  </si>
  <si>
    <t>D-11555</t>
  </si>
  <si>
    <t>D-11556</t>
  </si>
  <si>
    <t>D-11557</t>
  </si>
  <si>
    <t>D-11558</t>
  </si>
  <si>
    <t>D-11559</t>
  </si>
  <si>
    <t>D-11560</t>
  </si>
  <si>
    <t>D-11561</t>
  </si>
  <si>
    <t>D-11562</t>
  </si>
  <si>
    <t>D-11563</t>
  </si>
  <si>
    <t>D-11564</t>
  </si>
  <si>
    <t>D-11565</t>
  </si>
  <si>
    <t>D-11566</t>
  </si>
  <si>
    <t>D-11567</t>
  </si>
  <si>
    <t>D-11568</t>
  </si>
  <si>
    <t>D-11569</t>
  </si>
  <si>
    <t>D-11570</t>
  </si>
  <si>
    <t>D-11571</t>
  </si>
  <si>
    <t>D-11572</t>
  </si>
  <si>
    <t>D-11573</t>
  </si>
  <si>
    <t>D-11574</t>
  </si>
  <si>
    <t>D-11575</t>
  </si>
  <si>
    <t>D-11576</t>
  </si>
  <si>
    <t>D-11577</t>
  </si>
  <si>
    <t>D-11578</t>
  </si>
  <si>
    <t>D-11579</t>
  </si>
  <si>
    <t>D-11580</t>
  </si>
  <si>
    <t>D-11581</t>
  </si>
  <si>
    <t>D-11582</t>
  </si>
  <si>
    <t>D-11583</t>
  </si>
  <si>
    <t>D-11584</t>
  </si>
  <si>
    <t>D-11585</t>
  </si>
  <si>
    <t>D-11586</t>
  </si>
  <si>
    <t>D-11587</t>
  </si>
  <si>
    <t>D-11588</t>
  </si>
  <si>
    <t>D-11589</t>
  </si>
  <si>
    <t>26-Sept-22--27-Sept-22</t>
  </si>
  <si>
    <t>D-11590</t>
  </si>
  <si>
    <t>D-11591</t>
  </si>
  <si>
    <t>D-11592</t>
  </si>
  <si>
    <t>26-Sept-22--27-Sept-22--28-Sept-22</t>
  </si>
  <si>
    <t>D-11593</t>
  </si>
  <si>
    <t>D-11594</t>
  </si>
  <si>
    <t>D-11595</t>
  </si>
  <si>
    <t>D-11596</t>
  </si>
  <si>
    <t>D-11597</t>
  </si>
  <si>
    <t>D-11598</t>
  </si>
  <si>
    <t>D-11599</t>
  </si>
  <si>
    <t>D-11600</t>
  </si>
  <si>
    <t>D-11601</t>
  </si>
  <si>
    <t>D-11602</t>
  </si>
  <si>
    <t>D-11603</t>
  </si>
  <si>
    <t>D-11604</t>
  </si>
  <si>
    <t>D-11605</t>
  </si>
  <si>
    <t>D-11606</t>
  </si>
  <si>
    <t>D-11607</t>
  </si>
  <si>
    <t>D-11608</t>
  </si>
  <si>
    <t>D-11609</t>
  </si>
  <si>
    <t>D-11610</t>
  </si>
  <si>
    <t>D-11611</t>
  </si>
  <si>
    <t>D-11612</t>
  </si>
  <si>
    <t>D-11613</t>
  </si>
  <si>
    <t>D-11614</t>
  </si>
  <si>
    <t>D-11615</t>
  </si>
  <si>
    <t>D-11616</t>
  </si>
  <si>
    <t>D-11617</t>
  </si>
  <si>
    <t>D-11618</t>
  </si>
  <si>
    <t>D-11619</t>
  </si>
  <si>
    <t>D-11620</t>
  </si>
  <si>
    <t>D-11621</t>
  </si>
  <si>
    <r>
      <t xml:space="preserve">(868)SAGRADO GRANJAS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</si>
  <si>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11623</t>
  </si>
  <si>
    <t>D-11622</t>
  </si>
  <si>
    <t>D-11623</t>
  </si>
  <si>
    <t>D-11624</t>
  </si>
  <si>
    <t>D-11625</t>
  </si>
  <si>
    <t>D-11626</t>
  </si>
  <si>
    <t>D-11627</t>
  </si>
  <si>
    <t>D-11628</t>
  </si>
  <si>
    <t>D-11629</t>
  </si>
  <si>
    <t>D-11630</t>
  </si>
  <si>
    <t>D-11631</t>
  </si>
  <si>
    <t>D-11632</t>
  </si>
  <si>
    <t>D-11633</t>
  </si>
  <si>
    <t>D-11634</t>
  </si>
  <si>
    <t>D-11635</t>
  </si>
  <si>
    <t>D-11636</t>
  </si>
  <si>
    <t>D-11637</t>
  </si>
  <si>
    <t>D-11638</t>
  </si>
  <si>
    <t>D-11639</t>
  </si>
  <si>
    <t>D-11640</t>
  </si>
  <si>
    <t>D-11641</t>
  </si>
  <si>
    <t>D-11642</t>
  </si>
  <si>
    <t>D-11643</t>
  </si>
  <si>
    <t>D-11644</t>
  </si>
  <si>
    <t>D-11645</t>
  </si>
  <si>
    <t>D-11646</t>
  </si>
  <si>
    <t>D-11647</t>
  </si>
  <si>
    <t>D-11648</t>
  </si>
  <si>
    <t>D-11649</t>
  </si>
  <si>
    <t>D-11650</t>
  </si>
  <si>
    <t>D-11651</t>
  </si>
  <si>
    <t>D-11652</t>
  </si>
  <si>
    <t>D-11653</t>
  </si>
  <si>
    <t>D-11654</t>
  </si>
  <si>
    <t>D-11655</t>
  </si>
  <si>
    <t>D-11656</t>
  </si>
  <si>
    <t>D-11657</t>
  </si>
  <si>
    <t>D-11658</t>
  </si>
  <si>
    <t>D-11659</t>
  </si>
  <si>
    <t>D-11660</t>
  </si>
  <si>
    <t>D-11661</t>
  </si>
  <si>
    <t>D-11662</t>
  </si>
  <si>
    <t>D-11663</t>
  </si>
  <si>
    <t>D-11664</t>
  </si>
  <si>
    <t>D-11665</t>
  </si>
  <si>
    <t>D-11666</t>
  </si>
  <si>
    <t>D-11667</t>
  </si>
  <si>
    <t>D-11668</t>
  </si>
  <si>
    <t>D-11669</t>
  </si>
  <si>
    <t>D-11670</t>
  </si>
  <si>
    <t>D-11671</t>
  </si>
  <si>
    <t>D-11672</t>
  </si>
  <si>
    <t>D-11673</t>
  </si>
  <si>
    <t>D-11674</t>
  </si>
  <si>
    <t>D-11675</t>
  </si>
  <si>
    <t>D-11676</t>
  </si>
  <si>
    <t>D-11677</t>
  </si>
  <si>
    <t>D-11678</t>
  </si>
  <si>
    <t>D-11679</t>
  </si>
  <si>
    <t>D-11680</t>
  </si>
  <si>
    <t>D-11681</t>
  </si>
  <si>
    <t>D-11682</t>
  </si>
  <si>
    <t>D-11683</t>
  </si>
  <si>
    <t>D-11684</t>
  </si>
  <si>
    <t>D-11685</t>
  </si>
  <si>
    <t>D-11686</t>
  </si>
  <si>
    <t>D-11687</t>
  </si>
  <si>
    <t>D-11688</t>
  </si>
  <si>
    <t>D-11689</t>
  </si>
  <si>
    <t>D-11690</t>
  </si>
  <si>
    <t>D-11691</t>
  </si>
  <si>
    <t>D-11692</t>
  </si>
  <si>
    <t>D-11693</t>
  </si>
  <si>
    <t>D-11694</t>
  </si>
  <si>
    <t>D-11695</t>
  </si>
  <si>
    <t>D-11696</t>
  </si>
  <si>
    <t>D-11697</t>
  </si>
  <si>
    <t>D-11698</t>
  </si>
  <si>
    <t>D-11699</t>
  </si>
  <si>
    <t>D-11700</t>
  </si>
  <si>
    <t>D-11701</t>
  </si>
  <si>
    <t>D-11702</t>
  </si>
  <si>
    <t>D-11703</t>
  </si>
  <si>
    <t>D-11704</t>
  </si>
  <si>
    <t>D-11705</t>
  </si>
  <si>
    <t>D-11706</t>
  </si>
  <si>
    <t>D-11707</t>
  </si>
  <si>
    <t>D-11708</t>
  </si>
  <si>
    <t>D-11709</t>
  </si>
  <si>
    <t>D-11710</t>
  </si>
  <si>
    <t>D-11711</t>
  </si>
  <si>
    <t>D-11712</t>
  </si>
  <si>
    <t>D-11713</t>
  </si>
  <si>
    <t>D-11714</t>
  </si>
  <si>
    <t>D-11715</t>
  </si>
  <si>
    <t>D-11716</t>
  </si>
  <si>
    <t>D-11717</t>
  </si>
  <si>
    <t>D-11718</t>
  </si>
  <si>
    <t>D-11719</t>
  </si>
  <si>
    <t>D-11720</t>
  </si>
  <si>
    <t>D-11721</t>
  </si>
  <si>
    <t>D-11722</t>
  </si>
  <si>
    <t>D-11723</t>
  </si>
  <si>
    <t>D-11724</t>
  </si>
  <si>
    <t>D-11725</t>
  </si>
  <si>
    <t>D-11726</t>
  </si>
  <si>
    <t>D-11727</t>
  </si>
  <si>
    <t>D-11728</t>
  </si>
  <si>
    <t>D-11729</t>
  </si>
  <si>
    <t>se sustituyo x la  11730</t>
  </si>
  <si>
    <t>D-11730</t>
  </si>
  <si>
    <t>D-11731</t>
  </si>
  <si>
    <t>D-11732</t>
  </si>
  <si>
    <t>D-11733</t>
  </si>
  <si>
    <t>D-11734</t>
  </si>
  <si>
    <t>D-11735</t>
  </si>
  <si>
    <t>D-11736</t>
  </si>
  <si>
    <t>D-11737</t>
  </si>
  <si>
    <t>D-11738</t>
  </si>
  <si>
    <t>D-11739</t>
  </si>
  <si>
    <t>D-11740</t>
  </si>
  <si>
    <t>D-11741</t>
  </si>
  <si>
    <t>D-11742</t>
  </si>
  <si>
    <t>D-11743</t>
  </si>
  <si>
    <t>D-11744</t>
  </si>
  <si>
    <t>D-11745</t>
  </si>
  <si>
    <t>D-11746</t>
  </si>
  <si>
    <t>D-11747</t>
  </si>
  <si>
    <t>D-11748</t>
  </si>
  <si>
    <t>D-11749</t>
  </si>
  <si>
    <t>D-11750</t>
  </si>
  <si>
    <t>D-11751</t>
  </si>
  <si>
    <t>D-11752</t>
  </si>
  <si>
    <r>
      <t>(592)RENE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</si>
  <si>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11753</t>
  </si>
  <si>
    <t>D-11753</t>
  </si>
  <si>
    <t>D-11754</t>
  </si>
  <si>
    <t>D-11755</t>
  </si>
  <si>
    <t>D-11756</t>
  </si>
  <si>
    <t>D-11757</t>
  </si>
  <si>
    <t>D-11758</t>
  </si>
  <si>
    <t>D-11759</t>
  </si>
  <si>
    <t>D-11760</t>
  </si>
  <si>
    <t>D-11761</t>
  </si>
  <si>
    <t>D-11762</t>
  </si>
  <si>
    <t>D-11763</t>
  </si>
  <si>
    <t>D-11764</t>
  </si>
  <si>
    <t>D-11765</t>
  </si>
  <si>
    <t>29-Sept-22--30-Sept-22</t>
  </si>
  <si>
    <t>D-11766</t>
  </si>
  <si>
    <t>D-11767</t>
  </si>
  <si>
    <t>D-11768</t>
  </si>
  <si>
    <t>D-11769</t>
  </si>
  <si>
    <t>D-11770</t>
  </si>
  <si>
    <t>D-11771</t>
  </si>
  <si>
    <t>D-11772</t>
  </si>
  <si>
    <t>D-11773</t>
  </si>
  <si>
    <t>D-11774</t>
  </si>
  <si>
    <t>D-11775</t>
  </si>
  <si>
    <t>D-11776</t>
  </si>
  <si>
    <t>D-11777</t>
  </si>
  <si>
    <t>D-11778</t>
  </si>
  <si>
    <t>D-11779</t>
  </si>
  <si>
    <t>D-11780</t>
  </si>
  <si>
    <t>D-11781</t>
  </si>
  <si>
    <t>D-11782</t>
  </si>
  <si>
    <t>D-11783</t>
  </si>
  <si>
    <t>D-11784</t>
  </si>
  <si>
    <t>D-11785</t>
  </si>
  <si>
    <t>D-11786</t>
  </si>
  <si>
    <t>D-11787</t>
  </si>
  <si>
    <t>D-11788</t>
  </si>
  <si>
    <t>D-11789</t>
  </si>
  <si>
    <t>D-11790</t>
  </si>
  <si>
    <t>D-11791</t>
  </si>
  <si>
    <t>D-11792</t>
  </si>
  <si>
    <t>D-11793</t>
  </si>
  <si>
    <t>D-11794</t>
  </si>
  <si>
    <t>D-11795</t>
  </si>
  <si>
    <t>D-11796</t>
  </si>
  <si>
    <t>D-11797</t>
  </si>
  <si>
    <t>D-11798</t>
  </si>
  <si>
    <t>D-11799</t>
  </si>
  <si>
    <t>D-11800</t>
  </si>
  <si>
    <t>D-11801</t>
  </si>
  <si>
    <t>D-11802</t>
  </si>
  <si>
    <t>D-11803</t>
  </si>
  <si>
    <t>D-11804</t>
  </si>
  <si>
    <t>D-11805</t>
  </si>
  <si>
    <t>D-11806</t>
  </si>
  <si>
    <t>D-11807</t>
  </si>
  <si>
    <t>D-11808</t>
  </si>
  <si>
    <t>D-11809</t>
  </si>
  <si>
    <t>D-11810</t>
  </si>
  <si>
    <t>D-11811</t>
  </si>
  <si>
    <t>D-11812</t>
  </si>
  <si>
    <t>D-11813</t>
  </si>
  <si>
    <t>D-11814</t>
  </si>
  <si>
    <t>D-11815</t>
  </si>
  <si>
    <t>D-11816</t>
  </si>
  <si>
    <t>D-11817</t>
  </si>
  <si>
    <t>D-11818</t>
  </si>
  <si>
    <t>D-11819</t>
  </si>
  <si>
    <r>
      <t xml:space="preserve">(219)GIOVANNI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</si>
  <si>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11821</t>
  </si>
  <si>
    <t>D-11820</t>
  </si>
  <si>
    <t>D-11821</t>
  </si>
  <si>
    <t>D-11822</t>
  </si>
  <si>
    <t>D-11823</t>
  </si>
  <si>
    <t>D-11824</t>
  </si>
  <si>
    <t>D-11825</t>
  </si>
  <si>
    <t>D-11826</t>
  </si>
  <si>
    <t>D-11827</t>
  </si>
  <si>
    <t>D-11828</t>
  </si>
  <si>
    <t>D-11829</t>
  </si>
  <si>
    <t>D-11830</t>
  </si>
  <si>
    <t>D-11831</t>
  </si>
  <si>
    <t>D-11832</t>
  </si>
  <si>
    <t>D-11833</t>
  </si>
  <si>
    <t>D-11834</t>
  </si>
  <si>
    <t>D-11835</t>
  </si>
  <si>
    <t>D-11836</t>
  </si>
  <si>
    <t>D-11837</t>
  </si>
  <si>
    <t>D-11838</t>
  </si>
  <si>
    <t>D-11839</t>
  </si>
  <si>
    <t>D-11840</t>
  </si>
  <si>
    <t>D-11841</t>
  </si>
  <si>
    <t>D-11842</t>
  </si>
  <si>
    <t>D-11843</t>
  </si>
  <si>
    <t>D-11844</t>
  </si>
  <si>
    <t>D-11845</t>
  </si>
  <si>
    <t>D-11846</t>
  </si>
  <si>
    <t>D-11847</t>
  </si>
  <si>
    <t>D-11848</t>
  </si>
  <si>
    <t>D-11849</t>
  </si>
  <si>
    <t>D-11850</t>
  </si>
  <si>
    <t>D-11851</t>
  </si>
  <si>
    <t>D-11852</t>
  </si>
  <si>
    <t>D-11853</t>
  </si>
  <si>
    <t>D-11854</t>
  </si>
  <si>
    <t>D-11855</t>
  </si>
  <si>
    <t>D-11856</t>
  </si>
  <si>
    <t>D-11857</t>
  </si>
  <si>
    <t>D-11858</t>
  </si>
  <si>
    <t>D-11859</t>
  </si>
  <si>
    <t>D-11860</t>
  </si>
  <si>
    <t>D-11861</t>
  </si>
  <si>
    <t>D-11862</t>
  </si>
  <si>
    <t>D-11863</t>
  </si>
  <si>
    <t>D-11864</t>
  </si>
  <si>
    <t>D-11865</t>
  </si>
  <si>
    <t>D-11866</t>
  </si>
  <si>
    <t>D-11867</t>
  </si>
  <si>
    <t>D-11868</t>
  </si>
  <si>
    <t>D-11869</t>
  </si>
  <si>
    <t>D-11870</t>
  </si>
  <si>
    <t>D-11871</t>
  </si>
  <si>
    <t>D-11872</t>
  </si>
  <si>
    <t>D-11873</t>
  </si>
  <si>
    <t>D-11874</t>
  </si>
  <si>
    <t>D-11875</t>
  </si>
  <si>
    <t>D-11876</t>
  </si>
  <si>
    <t>D-11877</t>
  </si>
  <si>
    <t>D-11878</t>
  </si>
  <si>
    <t>D-11879</t>
  </si>
  <si>
    <t>D-11880</t>
  </si>
  <si>
    <t>D-11881</t>
  </si>
  <si>
    <t>D-11882</t>
  </si>
  <si>
    <t>D-11883</t>
  </si>
  <si>
    <t>D-11884</t>
  </si>
  <si>
    <t>D-11885</t>
  </si>
  <si>
    <t>D-11886</t>
  </si>
  <si>
    <t>D-11887</t>
  </si>
  <si>
    <t>D-11888</t>
  </si>
  <si>
    <t>D-11889</t>
  </si>
  <si>
    <t>D-11890</t>
  </si>
  <si>
    <t>D-11891</t>
  </si>
  <si>
    <t>D-11892</t>
  </si>
  <si>
    <t>D-11893</t>
  </si>
  <si>
    <t>D-11894</t>
  </si>
  <si>
    <t>D-11895</t>
  </si>
  <si>
    <t>D-11896</t>
  </si>
  <si>
    <t>D-11897</t>
  </si>
  <si>
    <t>D-11898</t>
  </si>
  <si>
    <t>D-11899</t>
  </si>
  <si>
    <t>D-11900</t>
  </si>
  <si>
    <t>D-11901</t>
  </si>
  <si>
    <t>D-11902</t>
  </si>
  <si>
    <t>D-11903</t>
  </si>
  <si>
    <t>D-11904</t>
  </si>
  <si>
    <t>D-11905</t>
  </si>
  <si>
    <t>D-11906</t>
  </si>
  <si>
    <t>D-11907</t>
  </si>
  <si>
    <t>D-11908</t>
  </si>
  <si>
    <t>D-11909</t>
  </si>
  <si>
    <t>D-11910</t>
  </si>
  <si>
    <t>D-11911</t>
  </si>
  <si>
    <t>D-11912</t>
  </si>
  <si>
    <t>D-11913</t>
  </si>
  <si>
    <t>D-11914</t>
  </si>
  <si>
    <t>D-11915</t>
  </si>
  <si>
    <t>D-11916</t>
  </si>
  <si>
    <t>D-11917</t>
  </si>
  <si>
    <t>D-11918</t>
  </si>
  <si>
    <t>D-11919</t>
  </si>
  <si>
    <t>D-11920</t>
  </si>
  <si>
    <t>D-11921</t>
  </si>
  <si>
    <t>D-11922</t>
  </si>
  <si>
    <t>D-11923</t>
  </si>
  <si>
    <t>D-11924</t>
  </si>
  <si>
    <t>D-11925</t>
  </si>
  <si>
    <t>D-11926</t>
  </si>
  <si>
    <t>D-11927</t>
  </si>
  <si>
    <t>D-11928</t>
  </si>
  <si>
    <t>D-11929</t>
  </si>
  <si>
    <t>D-11930</t>
  </si>
  <si>
    <t>D-11931</t>
  </si>
  <si>
    <t>D-11932</t>
  </si>
  <si>
    <t>D-11933</t>
  </si>
  <si>
    <t>D-11934</t>
  </si>
  <si>
    <t>D-11935</t>
  </si>
  <si>
    <t>D-11936</t>
  </si>
  <si>
    <t>D-11937</t>
  </si>
  <si>
    <t>D-11938</t>
  </si>
  <si>
    <t>D-11939</t>
  </si>
  <si>
    <t>D-11940</t>
  </si>
  <si>
    <t>D-11941</t>
  </si>
  <si>
    <t>D-11942</t>
  </si>
  <si>
    <t>D-11943</t>
  </si>
  <si>
    <t>D-11944</t>
  </si>
  <si>
    <t>D-11945</t>
  </si>
  <si>
    <t>D-11946</t>
  </si>
  <si>
    <t>D-11947</t>
  </si>
  <si>
    <t>D-11948</t>
  </si>
  <si>
    <t>D-11949</t>
  </si>
  <si>
    <t>D-11950</t>
  </si>
  <si>
    <t>D-11951</t>
  </si>
  <si>
    <t>se sustituyo x la  11952</t>
  </si>
  <si>
    <t>D-11952</t>
  </si>
  <si>
    <t>D-11953</t>
  </si>
  <si>
    <t>D-11954</t>
  </si>
  <si>
    <t>D-11955</t>
  </si>
  <si>
    <t>D-11956</t>
  </si>
  <si>
    <t>D-11957</t>
  </si>
  <si>
    <t>D-11958</t>
  </si>
  <si>
    <t>D-11959</t>
  </si>
  <si>
    <t>D-11960</t>
  </si>
  <si>
    <t>(243)RAFAEL LEDO</t>
  </si>
  <si>
    <t>D-11961</t>
  </si>
  <si>
    <t>D-11962</t>
  </si>
  <si>
    <t>D-11963</t>
  </si>
  <si>
    <t>D-11964</t>
  </si>
  <si>
    <t>D-11965</t>
  </si>
  <si>
    <t>D-11966</t>
  </si>
  <si>
    <t>D-11967</t>
  </si>
  <si>
    <t>D-11968</t>
  </si>
  <si>
    <t>D-11969</t>
  </si>
  <si>
    <t>D-11970</t>
  </si>
  <si>
    <t>D-11971</t>
  </si>
  <si>
    <t>D-11972</t>
  </si>
  <si>
    <t>D-11973</t>
  </si>
  <si>
    <t>D-11974</t>
  </si>
  <si>
    <t>D-11975</t>
  </si>
  <si>
    <t>D-11976</t>
  </si>
  <si>
    <t>D-11977</t>
  </si>
  <si>
    <t>D-11978</t>
  </si>
  <si>
    <t>D-11979</t>
  </si>
  <si>
    <t>D-11980</t>
  </si>
  <si>
    <t>D-11981</t>
  </si>
  <si>
    <t>D-11982</t>
  </si>
  <si>
    <t>D-11983</t>
  </si>
  <si>
    <t>D-11984</t>
  </si>
  <si>
    <t>D-11985</t>
  </si>
  <si>
    <t>D-11986</t>
  </si>
  <si>
    <t>D-11987</t>
  </si>
  <si>
    <t>D-11988</t>
  </si>
  <si>
    <t>D-11989</t>
  </si>
  <si>
    <t>D-11990</t>
  </si>
  <si>
    <t>D-11991</t>
  </si>
  <si>
    <t>D-11992</t>
  </si>
  <si>
    <t>D-11993</t>
  </si>
  <si>
    <t>D-11994</t>
  </si>
  <si>
    <t>D-11995</t>
  </si>
  <si>
    <t>D-11996</t>
  </si>
  <si>
    <t>D-11997</t>
  </si>
  <si>
    <t>D-11998</t>
  </si>
  <si>
    <t>D-11999</t>
  </si>
  <si>
    <t>D-12000</t>
  </si>
  <si>
    <t>D-12001</t>
  </si>
  <si>
    <t>D-12002</t>
  </si>
  <si>
    <t>D-12003</t>
  </si>
  <si>
    <t>D-12004</t>
  </si>
  <si>
    <t>D-12005</t>
  </si>
  <si>
    <t>D-12006</t>
  </si>
  <si>
    <t>D-12007</t>
  </si>
  <si>
    <t>D-12008</t>
  </si>
  <si>
    <t>D-12009</t>
  </si>
  <si>
    <t>D-12010</t>
  </si>
  <si>
    <t>D-12011</t>
  </si>
  <si>
    <t>D-12012</t>
  </si>
  <si>
    <t>D-12013</t>
  </si>
  <si>
    <t>D-12014</t>
  </si>
  <si>
    <t>D-12015</t>
  </si>
  <si>
    <t>D-12016</t>
  </si>
  <si>
    <t>D-12017</t>
  </si>
  <si>
    <t>D-12018</t>
  </si>
  <si>
    <t>D-12019</t>
  </si>
  <si>
    <t>D-12020</t>
  </si>
  <si>
    <t>D-12021</t>
  </si>
  <si>
    <t>D-12022</t>
  </si>
  <si>
    <t>D-12023</t>
  </si>
  <si>
    <t>D-12024</t>
  </si>
  <si>
    <t>D-12025</t>
  </si>
  <si>
    <t>D-12026</t>
  </si>
  <si>
    <t>D-12027</t>
  </si>
  <si>
    <t>D-12028</t>
  </si>
  <si>
    <t>D-12029</t>
  </si>
  <si>
    <t>D-12030</t>
  </si>
  <si>
    <t>D-12031</t>
  </si>
  <si>
    <t>se sustituyo x la  12034</t>
  </si>
  <si>
    <t>D-12032</t>
  </si>
  <si>
    <t>D-12033</t>
  </si>
  <si>
    <t>D-12034</t>
  </si>
  <si>
    <t>D-12035</t>
  </si>
  <si>
    <t>D-12036</t>
  </si>
  <si>
    <t>D-12037</t>
  </si>
  <si>
    <t>D-12038</t>
  </si>
  <si>
    <t>D-12039</t>
  </si>
  <si>
    <t>D-12040</t>
  </si>
  <si>
    <t>D-12041</t>
  </si>
  <si>
    <t>D-12042</t>
  </si>
  <si>
    <t>D-12043</t>
  </si>
  <si>
    <t>D-12044</t>
  </si>
  <si>
    <t>D-12045</t>
  </si>
  <si>
    <t>D-12046</t>
  </si>
  <si>
    <t>D-12047</t>
  </si>
  <si>
    <t>D-12048</t>
  </si>
  <si>
    <t>D-12049</t>
  </si>
  <si>
    <t>D-12050</t>
  </si>
  <si>
    <t>D-12051</t>
  </si>
  <si>
    <t>D-12052</t>
  </si>
  <si>
    <t>D-12053</t>
  </si>
  <si>
    <t>D-12054</t>
  </si>
  <si>
    <t>D-12055</t>
  </si>
  <si>
    <t>D-12056</t>
  </si>
  <si>
    <t>D-12057</t>
  </si>
  <si>
    <t>D-12058</t>
  </si>
  <si>
    <t>D-12059</t>
  </si>
  <si>
    <t>D-12060</t>
  </si>
  <si>
    <t>D-12061</t>
  </si>
  <si>
    <t>D-12062</t>
  </si>
  <si>
    <t>D-12063</t>
  </si>
  <si>
    <t>D-12064</t>
  </si>
  <si>
    <t>D-12065</t>
  </si>
  <si>
    <t>D-12066</t>
  </si>
  <si>
    <t>D-12067</t>
  </si>
  <si>
    <t>D-12068</t>
  </si>
  <si>
    <t>D-12069</t>
  </si>
  <si>
    <t>D-12070</t>
  </si>
  <si>
    <t>D-12071</t>
  </si>
  <si>
    <t>D-12072</t>
  </si>
  <si>
    <t>D-12073</t>
  </si>
  <si>
    <t>D-12074</t>
  </si>
  <si>
    <t>D-12075</t>
  </si>
  <si>
    <t>D-12076</t>
  </si>
  <si>
    <t>D-12077</t>
  </si>
  <si>
    <t>D-12078</t>
  </si>
  <si>
    <t>D-12079</t>
  </si>
  <si>
    <t>D-12080</t>
  </si>
  <si>
    <t>D-12081</t>
  </si>
  <si>
    <t>D-12082</t>
  </si>
  <si>
    <t>D-12083</t>
  </si>
  <si>
    <t>D-12084</t>
  </si>
  <si>
    <t>D-12085</t>
  </si>
  <si>
    <t>D-12086</t>
  </si>
  <si>
    <t>D-12087</t>
  </si>
  <si>
    <t>D-12088</t>
  </si>
  <si>
    <t>D-12089</t>
  </si>
  <si>
    <t>D-12090</t>
  </si>
  <si>
    <t>D-12091</t>
  </si>
  <si>
    <t>D-12092</t>
  </si>
  <si>
    <t>D-12093</t>
  </si>
  <si>
    <t>D-12094</t>
  </si>
  <si>
    <t>D-12095</t>
  </si>
  <si>
    <t>D-12096</t>
  </si>
  <si>
    <t>D-12097</t>
  </si>
  <si>
    <t>D-12098</t>
  </si>
  <si>
    <t>D-12099</t>
  </si>
  <si>
    <t>D-12100</t>
  </si>
  <si>
    <t>D-12101</t>
  </si>
  <si>
    <t>D-12102</t>
  </si>
  <si>
    <t>D-12103</t>
  </si>
  <si>
    <t>D-12104</t>
  </si>
  <si>
    <t>D-12105</t>
  </si>
  <si>
    <r>
      <t xml:space="preserve">(374)FRANCISCO (ROMERO VARGAS)  </t>
    </r>
    <r>
      <rPr>
        <b/>
        <sz val="12"/>
        <color rgb="FFFF0000"/>
        <rFont val="Calibri"/>
        <family val="2"/>
        <scheme val="minor"/>
      </rPr>
      <t>CANCELADA</t>
    </r>
  </si>
  <si>
    <t>D-12106</t>
  </si>
  <si>
    <t>D-12107</t>
  </si>
  <si>
    <t>D-12108</t>
  </si>
  <si>
    <t>D-12109</t>
  </si>
  <si>
    <t>D-12110</t>
  </si>
  <si>
    <t>D-12111</t>
  </si>
  <si>
    <t>D-12112</t>
  </si>
  <si>
    <t>(915)WILMAR LARA</t>
  </si>
  <si>
    <t>D-12113</t>
  </si>
  <si>
    <t>D-12114</t>
  </si>
  <si>
    <t>D-12115</t>
  </si>
  <si>
    <t>D-12116</t>
  </si>
  <si>
    <t>D-12117</t>
  </si>
  <si>
    <t>D-12118</t>
  </si>
  <si>
    <t>D-12119</t>
  </si>
  <si>
    <t>D-12120</t>
  </si>
  <si>
    <t>D-12121</t>
  </si>
  <si>
    <t>D-12122</t>
  </si>
  <si>
    <t>D-12123</t>
  </si>
  <si>
    <t>D-12124</t>
  </si>
  <si>
    <t>D-12125</t>
  </si>
  <si>
    <t>D-12126</t>
  </si>
  <si>
    <t>D-12127</t>
  </si>
  <si>
    <t>D-12128</t>
  </si>
  <si>
    <r>
      <t xml:space="preserve">(34)HILDA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</si>
  <si>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D-12129</t>
  </si>
  <si>
    <t>D-12130</t>
  </si>
  <si>
    <r>
      <t xml:space="preserve">(157)CARNITAS DON TOÑO DE CLAVIJERO  </t>
    </r>
    <r>
      <rPr>
        <b/>
        <sz val="12"/>
        <color rgb="FFFF0000"/>
        <rFont val="Calibri"/>
        <family val="2"/>
        <scheme val="minor"/>
      </rPr>
      <t>CANCELADA</t>
    </r>
  </si>
  <si>
    <t>se sustituyo x la  12132</t>
  </si>
  <si>
    <t>D-12131</t>
  </si>
  <si>
    <t>D-12132</t>
  </si>
  <si>
    <t>D-12133</t>
  </si>
  <si>
    <t>D-12134</t>
  </si>
  <si>
    <t>D-12135</t>
  </si>
  <si>
    <t>se sustituyo x la  12160</t>
  </si>
  <si>
    <t>D-12136</t>
  </si>
  <si>
    <t>D-12137</t>
  </si>
  <si>
    <t>D-12138</t>
  </si>
  <si>
    <t>D-12139</t>
  </si>
  <si>
    <t>D-12140</t>
  </si>
  <si>
    <t>D-12141</t>
  </si>
  <si>
    <t>D-12142</t>
  </si>
  <si>
    <t>D-12143</t>
  </si>
  <si>
    <t>D-12144</t>
  </si>
  <si>
    <t>D-12145</t>
  </si>
  <si>
    <t>D-12146</t>
  </si>
  <si>
    <t>D-12147</t>
  </si>
  <si>
    <t>D-12148</t>
  </si>
  <si>
    <t>D-12149</t>
  </si>
  <si>
    <t>D-12150</t>
  </si>
  <si>
    <t>D-12151</t>
  </si>
  <si>
    <t>D-12152</t>
  </si>
  <si>
    <t>D-12153</t>
  </si>
  <si>
    <t>D-12154</t>
  </si>
  <si>
    <t>D-12155</t>
  </si>
  <si>
    <t>D-12156</t>
  </si>
  <si>
    <t>D-12157</t>
  </si>
  <si>
    <t>D-12158</t>
  </si>
  <si>
    <t>D-12159</t>
  </si>
  <si>
    <t>D-12160</t>
  </si>
  <si>
    <t>D-12161</t>
  </si>
  <si>
    <t>D-12162</t>
  </si>
  <si>
    <t>D-12163</t>
  </si>
  <si>
    <t>D-12164</t>
  </si>
  <si>
    <t>D-12165</t>
  </si>
  <si>
    <t>D-12166</t>
  </si>
  <si>
    <t>D-12167</t>
  </si>
  <si>
    <t>D-12168</t>
  </si>
  <si>
    <t>D-12169</t>
  </si>
  <si>
    <t>D-12170</t>
  </si>
  <si>
    <t>D-12171</t>
  </si>
  <si>
    <t>D-12172</t>
  </si>
  <si>
    <t>D-12173</t>
  </si>
  <si>
    <t>D-12174</t>
  </si>
  <si>
    <t>D-12175</t>
  </si>
  <si>
    <t>D-12176</t>
  </si>
  <si>
    <t>D-12177</t>
  </si>
  <si>
    <t>D-12178</t>
  </si>
  <si>
    <t>D-12179</t>
  </si>
  <si>
    <t>D-12180</t>
  </si>
  <si>
    <t>D-12181</t>
  </si>
  <si>
    <t>D-12182</t>
  </si>
  <si>
    <t>D-12183</t>
  </si>
  <si>
    <t>D-12184</t>
  </si>
  <si>
    <t>D-12185</t>
  </si>
  <si>
    <t>D-12186</t>
  </si>
  <si>
    <t>D-12187</t>
  </si>
  <si>
    <t>D-12188</t>
  </si>
  <si>
    <t>D-12189</t>
  </si>
  <si>
    <t>D-12190</t>
  </si>
  <si>
    <t>D-12191</t>
  </si>
  <si>
    <t>D-12192</t>
  </si>
  <si>
    <t>D-12193</t>
  </si>
  <si>
    <t>D-12194</t>
  </si>
  <si>
    <t>D-12195</t>
  </si>
  <si>
    <t>D-12196</t>
  </si>
  <si>
    <t>D-12197</t>
  </si>
  <si>
    <t>D-12198</t>
  </si>
  <si>
    <t>D-12199</t>
  </si>
  <si>
    <t>D-12200</t>
  </si>
  <si>
    <t>D-12201</t>
  </si>
  <si>
    <t>D-12202</t>
  </si>
  <si>
    <t>D-12203</t>
  </si>
  <si>
    <t>D-12204</t>
  </si>
  <si>
    <t>D-12205</t>
  </si>
  <si>
    <t>D-12206</t>
  </si>
  <si>
    <t>D-12207</t>
  </si>
  <si>
    <t>D-12208</t>
  </si>
  <si>
    <t>D-12209</t>
  </si>
  <si>
    <t>D-12210</t>
  </si>
  <si>
    <t>D-12211</t>
  </si>
  <si>
    <t>D-12212</t>
  </si>
  <si>
    <t>D-12213</t>
  </si>
  <si>
    <t>D-12214</t>
  </si>
  <si>
    <t>D-12215</t>
  </si>
  <si>
    <t>D-12216</t>
  </si>
  <si>
    <t>D-12217</t>
  </si>
  <si>
    <t>D-12218</t>
  </si>
  <si>
    <t>D-12219</t>
  </si>
  <si>
    <t>D-12220</t>
  </si>
  <si>
    <t>D-12221</t>
  </si>
  <si>
    <t>D-12222</t>
  </si>
  <si>
    <t>D-12223</t>
  </si>
  <si>
    <t>D-12224</t>
  </si>
  <si>
    <t>D-12225</t>
  </si>
  <si>
    <t>D-12226</t>
  </si>
  <si>
    <t>D-12227</t>
  </si>
  <si>
    <t>D-12228</t>
  </si>
  <si>
    <t>D-12229</t>
  </si>
  <si>
    <t>D-12230</t>
  </si>
  <si>
    <t>D-12231</t>
  </si>
  <si>
    <t>D-12232</t>
  </si>
  <si>
    <t>D-12233</t>
  </si>
  <si>
    <t>D-12234</t>
  </si>
  <si>
    <t>D-12235</t>
  </si>
  <si>
    <t>D-12236</t>
  </si>
  <si>
    <t>D-12237</t>
  </si>
  <si>
    <t>D-12238</t>
  </si>
  <si>
    <t>D-12239</t>
  </si>
  <si>
    <t>D-12240</t>
  </si>
  <si>
    <t>D-12241</t>
  </si>
  <si>
    <t>D-12242</t>
  </si>
  <si>
    <t>D-12243</t>
  </si>
  <si>
    <t>D-12244</t>
  </si>
  <si>
    <t>D-12245</t>
  </si>
  <si>
    <t>D-12246</t>
  </si>
  <si>
    <t>D-12247</t>
  </si>
  <si>
    <t>D-12248</t>
  </si>
  <si>
    <t>D-12249</t>
  </si>
  <si>
    <t>D-12250</t>
  </si>
  <si>
    <t>D-12251</t>
  </si>
  <si>
    <t>D-12252</t>
  </si>
  <si>
    <t>D-12253</t>
  </si>
  <si>
    <t>D-12254</t>
  </si>
  <si>
    <t>D-12255</t>
  </si>
  <si>
    <t>D-12256</t>
  </si>
  <si>
    <t>D-12257</t>
  </si>
  <si>
    <t>D-12258</t>
  </si>
  <si>
    <t>D-12259</t>
  </si>
  <si>
    <t>D-12260</t>
  </si>
  <si>
    <t>D-12261</t>
  </si>
  <si>
    <t>D-12262</t>
  </si>
  <si>
    <t>D-12263</t>
  </si>
  <si>
    <t>D-12264</t>
  </si>
  <si>
    <t>D-12265</t>
  </si>
  <si>
    <t>D-12266</t>
  </si>
  <si>
    <t>D-12267</t>
  </si>
  <si>
    <t>D-12268</t>
  </si>
  <si>
    <t>D-12269</t>
  </si>
  <si>
    <t>D-12270</t>
  </si>
  <si>
    <t>D-12271</t>
  </si>
  <si>
    <t>D-12272</t>
  </si>
  <si>
    <t>D-12273</t>
  </si>
  <si>
    <t>D-12274</t>
  </si>
  <si>
    <t>D-12275</t>
  </si>
  <si>
    <t>D-12276</t>
  </si>
  <si>
    <t>D-12277</t>
  </si>
  <si>
    <t>D-12278</t>
  </si>
  <si>
    <t>D-12279</t>
  </si>
  <si>
    <t>D-12280</t>
  </si>
  <si>
    <t>D-12281</t>
  </si>
  <si>
    <t>D-12282</t>
  </si>
  <si>
    <t>D-12283</t>
  </si>
  <si>
    <t>D-12284</t>
  </si>
  <si>
    <t>D-12285</t>
  </si>
  <si>
    <t>D-12286</t>
  </si>
  <si>
    <t>D-12287</t>
  </si>
  <si>
    <t>D-12288</t>
  </si>
  <si>
    <t>D-12289</t>
  </si>
  <si>
    <t>D-12290</t>
  </si>
  <si>
    <t>D-12291</t>
  </si>
  <si>
    <t>D-12292</t>
  </si>
  <si>
    <t>D-12293</t>
  </si>
  <si>
    <t>D-12294</t>
  </si>
  <si>
    <t>D-12295</t>
  </si>
  <si>
    <t>D-12296</t>
  </si>
  <si>
    <t>D-12297</t>
  </si>
  <si>
    <t>D-12298</t>
  </si>
  <si>
    <t>D-12299</t>
  </si>
  <si>
    <t>D-12300</t>
  </si>
  <si>
    <t>D-12301</t>
  </si>
  <si>
    <t>D-12302</t>
  </si>
  <si>
    <t>D-12303</t>
  </si>
  <si>
    <t>D-12304</t>
  </si>
  <si>
    <t>D-12305</t>
  </si>
  <si>
    <t>D-12306</t>
  </si>
  <si>
    <t>D-12307</t>
  </si>
  <si>
    <t>D-12308</t>
  </si>
  <si>
    <t>D-12309</t>
  </si>
  <si>
    <t>D-12310</t>
  </si>
  <si>
    <t>D-12311</t>
  </si>
  <si>
    <t>D-12312</t>
  </si>
  <si>
    <t>D-12313</t>
  </si>
  <si>
    <t>D-12314</t>
  </si>
  <si>
    <r>
      <t xml:space="preserve">(577)MARICELA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</si>
  <si>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D-12315</t>
  </si>
  <si>
    <t>D-12316</t>
  </si>
  <si>
    <t>D-12317</t>
  </si>
  <si>
    <t>D-12318</t>
  </si>
  <si>
    <t>D-12319</t>
  </si>
  <si>
    <t>D-12320</t>
  </si>
  <si>
    <t>D-12321</t>
  </si>
  <si>
    <t>D-12322</t>
  </si>
  <si>
    <t>30-Sept-22--1-OCT-22</t>
  </si>
  <si>
    <t>27-Sept-22--3-Oct-22</t>
  </si>
  <si>
    <t>1-Oct-22--4-Oct-22</t>
  </si>
  <si>
    <t>3-Oct-22--7-Oct-22</t>
  </si>
  <si>
    <t>29-Sept-22--30-Sept-22--1-Oct-22--3-Oct-22--5-Oct-22--7-Oct-22</t>
  </si>
  <si>
    <t>7-Oct-22--8-Oct-22</t>
  </si>
  <si>
    <t>3-Oct-22--10-Oct-22</t>
  </si>
  <si>
    <t>8-Oct-22---11-Oct-22</t>
  </si>
  <si>
    <t>29-Sept-22--11-Oct-22--12-Oct-22</t>
  </si>
  <si>
    <t>12-Oct-22---13-Oct-22</t>
  </si>
  <si>
    <t>13-Oct-22--14-Oct-22---</t>
  </si>
  <si>
    <t>14-Oct-22--17-Oct-22</t>
  </si>
  <si>
    <t>17-Oct-22--21-Oct-22</t>
  </si>
  <si>
    <t>13-Oct-22--17-Oct-22--22-Oct-22</t>
  </si>
  <si>
    <t>D-12323</t>
  </si>
  <si>
    <t>1-Oct-22--3-Oct-22</t>
  </si>
  <si>
    <t>D-12324</t>
  </si>
  <si>
    <t>D-12325</t>
  </si>
  <si>
    <t>D-12326</t>
  </si>
  <si>
    <t>D-12327</t>
  </si>
  <si>
    <t>D-12328</t>
  </si>
  <si>
    <t>D-12329</t>
  </si>
  <si>
    <t>D-12330</t>
  </si>
  <si>
    <t>D-12331</t>
  </si>
  <si>
    <t>D-12332</t>
  </si>
  <si>
    <t>D-12333</t>
  </si>
  <si>
    <t>D-12334</t>
  </si>
  <si>
    <t>D-12335</t>
  </si>
  <si>
    <t>D-12336</t>
  </si>
  <si>
    <t>D-12337</t>
  </si>
  <si>
    <t>D-12338</t>
  </si>
  <si>
    <t>D-12339</t>
  </si>
  <si>
    <t>3-Oct-22--4-Oct-22</t>
  </si>
  <si>
    <t>D-12340</t>
  </si>
  <si>
    <t>D-12341</t>
  </si>
  <si>
    <t>D-12342</t>
  </si>
  <si>
    <t>D-12343</t>
  </si>
  <si>
    <t>D-12344</t>
  </si>
  <si>
    <t>D-12345</t>
  </si>
  <si>
    <t>D-12346</t>
  </si>
  <si>
    <t>D-12347</t>
  </si>
  <si>
    <t>D-12348</t>
  </si>
  <si>
    <t>D-12349</t>
  </si>
  <si>
    <t>D-12350</t>
  </si>
  <si>
    <t>D-12351</t>
  </si>
  <si>
    <t>D-12352</t>
  </si>
  <si>
    <t>D-12353</t>
  </si>
  <si>
    <t>D-12354</t>
  </si>
  <si>
    <t>D-12355</t>
  </si>
  <si>
    <t>D-12356</t>
  </si>
  <si>
    <t>D-12357</t>
  </si>
  <si>
    <t>D-12358</t>
  </si>
  <si>
    <t>D-12359</t>
  </si>
  <si>
    <t>D-12360</t>
  </si>
  <si>
    <t>D-12361</t>
  </si>
  <si>
    <t>D-12362</t>
  </si>
  <si>
    <t>D-12363</t>
  </si>
  <si>
    <t>D-12364</t>
  </si>
  <si>
    <t>D-12365</t>
  </si>
  <si>
    <t>D-12366</t>
  </si>
  <si>
    <t>D-12367</t>
  </si>
  <si>
    <t>D-12368</t>
  </si>
  <si>
    <t>D-12369</t>
  </si>
  <si>
    <t>D-12370</t>
  </si>
  <si>
    <t>D-12371</t>
  </si>
  <si>
    <t>D-12372</t>
  </si>
  <si>
    <t>D-12373</t>
  </si>
  <si>
    <t>D-12374</t>
  </si>
  <si>
    <t>D-12375</t>
  </si>
  <si>
    <t>D-12376</t>
  </si>
  <si>
    <t>D-12377</t>
  </si>
  <si>
    <t>D-12378</t>
  </si>
  <si>
    <t>D-12379</t>
  </si>
  <si>
    <t>D-12380</t>
  </si>
  <si>
    <t>D-12381</t>
  </si>
  <si>
    <t>D-12382</t>
  </si>
  <si>
    <t>D-12383</t>
  </si>
  <si>
    <t>D-12384</t>
  </si>
  <si>
    <t>D-12385</t>
  </si>
  <si>
    <t>D-12386</t>
  </si>
  <si>
    <t>D-12387</t>
  </si>
  <si>
    <t>D-12388</t>
  </si>
  <si>
    <t>D-12389</t>
  </si>
  <si>
    <t>cambio x la 12397</t>
  </si>
  <si>
    <t>D-12390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</si>
  <si>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>CANCELADA</t>
    </r>
  </si>
  <si>
    <t>D-12391</t>
  </si>
  <si>
    <t>D-12392</t>
  </si>
  <si>
    <t>D-12393</t>
  </si>
  <si>
    <t>D-12394</t>
  </si>
  <si>
    <t>D-12395</t>
  </si>
  <si>
    <t>D-12396</t>
  </si>
  <si>
    <t>D-12397</t>
  </si>
  <si>
    <t>D-12398</t>
  </si>
  <si>
    <t>D-12399</t>
  </si>
  <si>
    <t>D-12400</t>
  </si>
  <si>
    <t>D-12401</t>
  </si>
  <si>
    <t>D-12402</t>
  </si>
  <si>
    <t>D-12403</t>
  </si>
  <si>
    <t>D-12404</t>
  </si>
  <si>
    <t>D-12405</t>
  </si>
  <si>
    <t>D-12406</t>
  </si>
  <si>
    <t>D-12407</t>
  </si>
  <si>
    <t>D-12408</t>
  </si>
  <si>
    <t>D-12409</t>
  </si>
  <si>
    <t>D-12410</t>
  </si>
  <si>
    <t>D-12411</t>
  </si>
  <si>
    <t>D-12412</t>
  </si>
  <si>
    <t>D-12413</t>
  </si>
  <si>
    <t>D-12414</t>
  </si>
  <si>
    <t>D-12415</t>
  </si>
  <si>
    <t>D-12416</t>
  </si>
  <si>
    <t>D-12417</t>
  </si>
  <si>
    <t>D-12418</t>
  </si>
  <si>
    <t>D-12419</t>
  </si>
  <si>
    <t>D-12420</t>
  </si>
  <si>
    <t>D-12421</t>
  </si>
  <si>
    <t>D-12422</t>
  </si>
  <si>
    <t>D-12423</t>
  </si>
  <si>
    <t>D-12424</t>
  </si>
  <si>
    <t>D-12425</t>
  </si>
  <si>
    <t>D-12426</t>
  </si>
  <si>
    <t>D-12427</t>
  </si>
  <si>
    <t>D-12428</t>
  </si>
  <si>
    <t>D-12429</t>
  </si>
  <si>
    <t>D-12430</t>
  </si>
  <si>
    <t>D-12431</t>
  </si>
  <si>
    <t>D-12432</t>
  </si>
  <si>
    <t>D-12433</t>
  </si>
  <si>
    <t>D-12434</t>
  </si>
  <si>
    <t>D-12435</t>
  </si>
  <si>
    <t>D-12436</t>
  </si>
  <si>
    <t>D-12437</t>
  </si>
  <si>
    <t>D-12438</t>
  </si>
  <si>
    <t>D-12439</t>
  </si>
  <si>
    <t>D-12440</t>
  </si>
  <si>
    <t>D-12441</t>
  </si>
  <si>
    <t>D-12442</t>
  </si>
  <si>
    <t>D-12443</t>
  </si>
  <si>
    <t>D-12444</t>
  </si>
  <si>
    <t>D-12445</t>
  </si>
  <si>
    <t>D-12446</t>
  </si>
  <si>
    <t>D-12447</t>
  </si>
  <si>
    <t>D-12448</t>
  </si>
  <si>
    <t>D-12449</t>
  </si>
  <si>
    <t>D-12450</t>
  </si>
  <si>
    <t>D-12451</t>
  </si>
  <si>
    <t>D-12452</t>
  </si>
  <si>
    <t>D-12453</t>
  </si>
  <si>
    <t>D-12454</t>
  </si>
  <si>
    <t>D-12455</t>
  </si>
  <si>
    <t>D-12456</t>
  </si>
  <si>
    <t>D-12457</t>
  </si>
  <si>
    <t>D-12458</t>
  </si>
  <si>
    <t>D-12459</t>
  </si>
  <si>
    <t>D-12460</t>
  </si>
  <si>
    <t>D-12461</t>
  </si>
  <si>
    <t>D-12462</t>
  </si>
  <si>
    <t>D-12463</t>
  </si>
  <si>
    <r>
      <t>(832)RUBEN PEREZ CHABACANO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</si>
  <si>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D-12464</t>
  </si>
  <si>
    <t>D-12465</t>
  </si>
  <si>
    <t>D-12466</t>
  </si>
  <si>
    <t>D-12467</t>
  </si>
  <si>
    <t>D-12468</t>
  </si>
  <si>
    <t>D-12469</t>
  </si>
  <si>
    <t>D-12470</t>
  </si>
  <si>
    <t>D-12471</t>
  </si>
  <si>
    <t>D-12472</t>
  </si>
  <si>
    <t>D-12473</t>
  </si>
  <si>
    <t>D-12474</t>
  </si>
  <si>
    <t>D-12475</t>
  </si>
  <si>
    <t>D-12476</t>
  </si>
  <si>
    <t>D-12477</t>
  </si>
  <si>
    <t>D-12478</t>
  </si>
  <si>
    <t>D-12479</t>
  </si>
  <si>
    <t>D-12480</t>
  </si>
  <si>
    <t>D-12481</t>
  </si>
  <si>
    <t>D-12482</t>
  </si>
  <si>
    <t>D-12483</t>
  </si>
  <si>
    <t>D-12484</t>
  </si>
  <si>
    <t>D-12485</t>
  </si>
  <si>
    <t>D-12486</t>
  </si>
  <si>
    <t>D-12487</t>
  </si>
  <si>
    <t>D-12488</t>
  </si>
  <si>
    <t>D-12489</t>
  </si>
  <si>
    <t>D-12490</t>
  </si>
  <si>
    <t>D-12491</t>
  </si>
  <si>
    <t>D-12492</t>
  </si>
  <si>
    <t>D-12493</t>
  </si>
  <si>
    <t>D-12494</t>
  </si>
  <si>
    <t>D-12495</t>
  </si>
  <si>
    <t>D-12496</t>
  </si>
  <si>
    <t>D-12497</t>
  </si>
  <si>
    <t>D-12498</t>
  </si>
  <si>
    <t>D-12499</t>
  </si>
  <si>
    <t>D-12500</t>
  </si>
  <si>
    <t>D-12501</t>
  </si>
  <si>
    <t>D-12502</t>
  </si>
  <si>
    <t>D-12503</t>
  </si>
  <si>
    <t>D-12504</t>
  </si>
  <si>
    <t>D-12505</t>
  </si>
  <si>
    <t>D-12506</t>
  </si>
  <si>
    <t>D-12507</t>
  </si>
  <si>
    <t>D-12508</t>
  </si>
  <si>
    <t>D-12509</t>
  </si>
  <si>
    <t>D-12510</t>
  </si>
  <si>
    <t>D-12511</t>
  </si>
  <si>
    <t>D-12512</t>
  </si>
  <si>
    <t>D-12513</t>
  </si>
  <si>
    <t>D-12514</t>
  </si>
  <si>
    <t>D-12515</t>
  </si>
  <si>
    <t>D-12516</t>
  </si>
  <si>
    <t>D-12517</t>
  </si>
  <si>
    <t>D-12518</t>
  </si>
  <si>
    <t>D-12519</t>
  </si>
  <si>
    <t>D-12520</t>
  </si>
  <si>
    <t>D-12521</t>
  </si>
  <si>
    <t>5-Oct-22--6-Oct-22</t>
  </si>
  <si>
    <t>D-12522</t>
  </si>
  <si>
    <t>D-12523</t>
  </si>
  <si>
    <t>D-12524</t>
  </si>
  <si>
    <t>D-12525</t>
  </si>
  <si>
    <t>D-12526</t>
  </si>
  <si>
    <t>D-12527</t>
  </si>
  <si>
    <t>D-12528</t>
  </si>
  <si>
    <t>D-12529</t>
  </si>
  <si>
    <t>D-12530</t>
  </si>
  <si>
    <t>D-12531</t>
  </si>
  <si>
    <t>D-12532</t>
  </si>
  <si>
    <t>D-12533</t>
  </si>
  <si>
    <t>D-12534</t>
  </si>
  <si>
    <t>D-12535</t>
  </si>
  <si>
    <t>D-12536</t>
  </si>
  <si>
    <t>4-Oct-22--5-Oct-22</t>
  </si>
  <si>
    <t>D-12537</t>
  </si>
  <si>
    <t>D-12538</t>
  </si>
  <si>
    <t>D-12539</t>
  </si>
  <si>
    <t>D-12540</t>
  </si>
  <si>
    <t>D-12541</t>
  </si>
  <si>
    <t>D-12542</t>
  </si>
  <si>
    <t>D-12543</t>
  </si>
  <si>
    <t>D-12544</t>
  </si>
  <si>
    <t>D-12545</t>
  </si>
  <si>
    <t>D-12546</t>
  </si>
  <si>
    <t>D-12547</t>
  </si>
  <si>
    <t>D-12548</t>
  </si>
  <si>
    <t>D-12549</t>
  </si>
  <si>
    <t>D-12550</t>
  </si>
  <si>
    <t>D-12551</t>
  </si>
  <si>
    <t>D-12552</t>
  </si>
  <si>
    <t>D-12553</t>
  </si>
  <si>
    <t>D-12554</t>
  </si>
  <si>
    <t>D-12555</t>
  </si>
  <si>
    <t>D-12556</t>
  </si>
  <si>
    <t>D-12557</t>
  </si>
  <si>
    <t>D-12558</t>
  </si>
  <si>
    <t>D-12559</t>
  </si>
  <si>
    <t>D-12560</t>
  </si>
  <si>
    <t>D-12561</t>
  </si>
  <si>
    <t>D-12562</t>
  </si>
  <si>
    <t>D-12563</t>
  </si>
  <si>
    <t>D-12564</t>
  </si>
  <si>
    <t>D-12565</t>
  </si>
  <si>
    <t>D-12566</t>
  </si>
  <si>
    <t>D-12567</t>
  </si>
  <si>
    <t>D-12568</t>
  </si>
  <si>
    <t>D-12569</t>
  </si>
  <si>
    <t>D-12570</t>
  </si>
  <si>
    <t>D-12571</t>
  </si>
  <si>
    <t>D-12572</t>
  </si>
  <si>
    <t>D-12573</t>
  </si>
  <si>
    <t>D-12574</t>
  </si>
  <si>
    <t>D-12575</t>
  </si>
  <si>
    <t>D-12576</t>
  </si>
  <si>
    <t>D-12577</t>
  </si>
  <si>
    <t>D-12578</t>
  </si>
  <si>
    <t>D-12579</t>
  </si>
  <si>
    <t>D-12580</t>
  </si>
  <si>
    <t>D-12581</t>
  </si>
  <si>
    <t>D-12582</t>
  </si>
  <si>
    <t>D-12583</t>
  </si>
  <si>
    <t>D-12584</t>
  </si>
  <si>
    <t>D-12585</t>
  </si>
  <si>
    <t>D-12586</t>
  </si>
  <si>
    <t>D-12587</t>
  </si>
  <si>
    <t>D-12588</t>
  </si>
  <si>
    <t>D-12589</t>
  </si>
  <si>
    <t>D-12590</t>
  </si>
  <si>
    <t>D-12591</t>
  </si>
  <si>
    <t>D-12592</t>
  </si>
  <si>
    <t>D-12593</t>
  </si>
  <si>
    <t>D-12594</t>
  </si>
  <si>
    <t>D-12595</t>
  </si>
  <si>
    <t>D-12596</t>
  </si>
  <si>
    <t>D-12597</t>
  </si>
  <si>
    <t>D-12598</t>
  </si>
  <si>
    <t>D-12599</t>
  </si>
  <si>
    <t>D-12600</t>
  </si>
  <si>
    <t>D-12601</t>
  </si>
  <si>
    <t>D-12602</t>
  </si>
  <si>
    <t>D-12603</t>
  </si>
  <si>
    <t>D-12604</t>
  </si>
  <si>
    <t>D-12605</t>
  </si>
  <si>
    <t>D-12606</t>
  </si>
  <si>
    <t>D-12607</t>
  </si>
  <si>
    <t>D-12608</t>
  </si>
  <si>
    <t>D-12609</t>
  </si>
  <si>
    <t>D-12610</t>
  </si>
  <si>
    <t>D-12611</t>
  </si>
  <si>
    <t>D-12612</t>
  </si>
  <si>
    <t>D-12613</t>
  </si>
  <si>
    <t>D-12614</t>
  </si>
  <si>
    <t>D-12615</t>
  </si>
  <si>
    <t>D-12616</t>
  </si>
  <si>
    <t>D-12617</t>
  </si>
  <si>
    <t>D-12618</t>
  </si>
  <si>
    <t>D-12619</t>
  </si>
  <si>
    <t>D-12620</t>
  </si>
  <si>
    <t>D-12621</t>
  </si>
  <si>
    <t>D-12622</t>
  </si>
  <si>
    <t>D-12623</t>
  </si>
  <si>
    <t>D-12624</t>
  </si>
  <si>
    <r>
      <t xml:space="preserve">(710)ERIK      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</si>
  <si>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D-12625</t>
  </si>
  <si>
    <t>D-12626</t>
  </si>
  <si>
    <t>D-12627</t>
  </si>
  <si>
    <t>D-12628</t>
  </si>
  <si>
    <t>D-12629</t>
  </si>
  <si>
    <r>
      <t>(649)VICTOR LOPEZ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</si>
  <si>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D-12630</t>
  </si>
  <si>
    <t>D-12631</t>
  </si>
  <si>
    <t>D-12632</t>
  </si>
  <si>
    <t>D-12633</t>
  </si>
  <si>
    <t>D-12634</t>
  </si>
  <si>
    <t>D-12635</t>
  </si>
  <si>
    <t>D-12636</t>
  </si>
  <si>
    <t>D-12637</t>
  </si>
  <si>
    <t>D-12638</t>
  </si>
  <si>
    <t>D-12639</t>
  </si>
  <si>
    <t>D-12640</t>
  </si>
  <si>
    <t>D-12641</t>
  </si>
  <si>
    <t>D-12642</t>
  </si>
  <si>
    <t>D-12643</t>
  </si>
  <si>
    <t>D-12644</t>
  </si>
  <si>
    <t>D-12645</t>
  </si>
  <si>
    <t>D-12646</t>
  </si>
  <si>
    <t>D-12647</t>
  </si>
  <si>
    <t>10-Oct-22--17-Oct-22</t>
  </si>
  <si>
    <t>D-12648</t>
  </si>
  <si>
    <t>D-12649</t>
  </si>
  <si>
    <t>D-12650</t>
  </si>
  <si>
    <t>D-12651</t>
  </si>
  <si>
    <t>D-12652</t>
  </si>
  <si>
    <t>D-12653</t>
  </si>
  <si>
    <t>D-12654</t>
  </si>
  <si>
    <t>D-12655</t>
  </si>
  <si>
    <t>D-12656</t>
  </si>
  <si>
    <t>D-12657</t>
  </si>
  <si>
    <t>D-12658</t>
  </si>
  <si>
    <t>D-12659</t>
  </si>
  <si>
    <t>D-12660</t>
  </si>
  <si>
    <t>D-12661</t>
  </si>
  <si>
    <t>D-12662</t>
  </si>
  <si>
    <t>D-12663</t>
  </si>
  <si>
    <t>D-12664</t>
  </si>
  <si>
    <t>D-12665</t>
  </si>
  <si>
    <t>D-12666</t>
  </si>
  <si>
    <t>D-12667</t>
  </si>
  <si>
    <t>D-12668</t>
  </si>
  <si>
    <t>D-12669</t>
  </si>
  <si>
    <t>D-12670</t>
  </si>
  <si>
    <t>D-12671</t>
  </si>
  <si>
    <t>D-12672</t>
  </si>
  <si>
    <t>D-12673</t>
  </si>
  <si>
    <t>D-12674</t>
  </si>
  <si>
    <t>D-12675</t>
  </si>
  <si>
    <t>D-12676</t>
  </si>
  <si>
    <t>D-12677</t>
  </si>
  <si>
    <t>D-12678</t>
  </si>
  <si>
    <t>D-12679</t>
  </si>
  <si>
    <t>D-12680</t>
  </si>
  <si>
    <t>D-12681</t>
  </si>
  <si>
    <t>D-12682</t>
  </si>
  <si>
    <t>D-12683</t>
  </si>
  <si>
    <t>D-12684</t>
  </si>
  <si>
    <t>D-12685</t>
  </si>
  <si>
    <t>D-12686</t>
  </si>
  <si>
    <t>D-12687</t>
  </si>
  <si>
    <t>D-12688</t>
  </si>
  <si>
    <t>D-12689</t>
  </si>
  <si>
    <t>D-12690</t>
  </si>
  <si>
    <t>D-12691</t>
  </si>
  <si>
    <t>D-12692</t>
  </si>
  <si>
    <t>D-12693</t>
  </si>
  <si>
    <t>D-12694</t>
  </si>
  <si>
    <t>D-12695</t>
  </si>
  <si>
    <t>D-12696</t>
  </si>
  <si>
    <t>se sustituyo x la 12697</t>
  </si>
  <si>
    <t>D-12697</t>
  </si>
  <si>
    <t>D-12698</t>
  </si>
  <si>
    <t>D-12699</t>
  </si>
  <si>
    <t>D-12700</t>
  </si>
  <si>
    <t>D-12701</t>
  </si>
  <si>
    <t>D-12702</t>
  </si>
  <si>
    <t>D-12703</t>
  </si>
  <si>
    <t>D-12704</t>
  </si>
  <si>
    <t>D-12705</t>
  </si>
  <si>
    <t>D-12706</t>
  </si>
  <si>
    <t>6-Oct-22--8-Oct-22</t>
  </si>
  <si>
    <t>D-12707</t>
  </si>
  <si>
    <t>D-12708</t>
  </si>
  <si>
    <t>D-12709</t>
  </si>
  <si>
    <t>D-12710</t>
  </si>
  <si>
    <t>D-12711</t>
  </si>
  <si>
    <t>D-12712</t>
  </si>
  <si>
    <t>D-12713</t>
  </si>
  <si>
    <t>D-12714</t>
  </si>
  <si>
    <t>D-12715</t>
  </si>
  <si>
    <t>D-12716</t>
  </si>
  <si>
    <t>D-12717</t>
  </si>
  <si>
    <t>D-12718</t>
  </si>
  <si>
    <t>D-12719</t>
  </si>
  <si>
    <t>D-12720</t>
  </si>
  <si>
    <t>D-12721</t>
  </si>
  <si>
    <t>D-12722</t>
  </si>
  <si>
    <t>D-12723</t>
  </si>
  <si>
    <t>D-12724</t>
  </si>
  <si>
    <t>D-12725</t>
  </si>
  <si>
    <t>D-12726</t>
  </si>
  <si>
    <t>D-12727</t>
  </si>
  <si>
    <t>D-12728</t>
  </si>
  <si>
    <t>D-12729</t>
  </si>
  <si>
    <t>D-12730</t>
  </si>
  <si>
    <t>D-12731</t>
  </si>
  <si>
    <t>D-12732</t>
  </si>
  <si>
    <t>D-12733</t>
  </si>
  <si>
    <t>D-12734</t>
  </si>
  <si>
    <t>D-12735</t>
  </si>
  <si>
    <t>D-12736</t>
  </si>
  <si>
    <t>D-12737</t>
  </si>
  <si>
    <t>D-12738</t>
  </si>
  <si>
    <t>D-12739</t>
  </si>
  <si>
    <t>D-12740</t>
  </si>
  <si>
    <r>
      <t xml:space="preserve">(47)NOE COYOTL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</si>
  <si>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12741</t>
  </si>
  <si>
    <t>D-12741</t>
  </si>
  <si>
    <t>D-12742</t>
  </si>
  <si>
    <t>D-12743</t>
  </si>
  <si>
    <r>
      <t xml:space="preserve">(725)ABASTO DE 4 CARNES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</si>
  <si>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12753</t>
  </si>
  <si>
    <t>D-12744</t>
  </si>
  <si>
    <t>D-12745</t>
  </si>
  <si>
    <t>D-12746</t>
  </si>
  <si>
    <t>D-12747</t>
  </si>
  <si>
    <t>D-12748</t>
  </si>
  <si>
    <t>D-12749</t>
  </si>
  <si>
    <t>D-12750</t>
  </si>
  <si>
    <t>D-12751</t>
  </si>
  <si>
    <t>D-12752</t>
  </si>
  <si>
    <t>D-12753</t>
  </si>
  <si>
    <t>D-12754</t>
  </si>
  <si>
    <t>D-12755</t>
  </si>
  <si>
    <t>D-12756</t>
  </si>
  <si>
    <t>D-12757</t>
  </si>
  <si>
    <t>D-12758</t>
  </si>
  <si>
    <t>D-12759</t>
  </si>
  <si>
    <t>D-12760</t>
  </si>
  <si>
    <t>D-12761</t>
  </si>
  <si>
    <t>D-12762</t>
  </si>
  <si>
    <t>D-12763</t>
  </si>
  <si>
    <t>6-Oct-22--7-Oct-22</t>
  </si>
  <si>
    <t>D-12764</t>
  </si>
  <si>
    <t>D-12765</t>
  </si>
  <si>
    <t>D-12766</t>
  </si>
  <si>
    <t>D-12767</t>
  </si>
  <si>
    <t>D-12768</t>
  </si>
  <si>
    <t>D-12769</t>
  </si>
  <si>
    <t>D-12770</t>
  </si>
  <si>
    <t>D-12771</t>
  </si>
  <si>
    <t>D-12772</t>
  </si>
  <si>
    <t>D-12773</t>
  </si>
  <si>
    <t>D-12774</t>
  </si>
  <si>
    <t>D-12775</t>
  </si>
  <si>
    <t>D-12776</t>
  </si>
  <si>
    <t>D-12777</t>
  </si>
  <si>
    <t>D-12778</t>
  </si>
  <si>
    <t>D-12779</t>
  </si>
  <si>
    <t>D-12780</t>
  </si>
  <si>
    <t>D-12781</t>
  </si>
  <si>
    <t>D-12782</t>
  </si>
  <si>
    <t>D-12783</t>
  </si>
  <si>
    <t>D-12784</t>
  </si>
  <si>
    <t>D-12785</t>
  </si>
  <si>
    <t>D-12786</t>
  </si>
  <si>
    <t>D-12787</t>
  </si>
  <si>
    <t>D-12788</t>
  </si>
  <si>
    <t>D-12789</t>
  </si>
  <si>
    <t>D-12790</t>
  </si>
  <si>
    <t>D-12791</t>
  </si>
  <si>
    <t>8-Oct-22--10-Oct-22</t>
  </si>
  <si>
    <t>D-12792</t>
  </si>
  <si>
    <t>D-12793</t>
  </si>
  <si>
    <t>D-12794</t>
  </si>
  <si>
    <t>D-12795</t>
  </si>
  <si>
    <t>D-12796</t>
  </si>
  <si>
    <t>D-12797</t>
  </si>
  <si>
    <t>D-12798</t>
  </si>
  <si>
    <r>
      <t xml:space="preserve">(221)JUANA PORTILLO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</si>
  <si>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D-12799</t>
  </si>
  <si>
    <t>D-12800</t>
  </si>
  <si>
    <t>D-12801</t>
  </si>
  <si>
    <t>D-12802</t>
  </si>
  <si>
    <t>D-12803</t>
  </si>
  <si>
    <t>D-12804</t>
  </si>
  <si>
    <t>D-12805</t>
  </si>
  <si>
    <t>D-12806</t>
  </si>
  <si>
    <t>D-12807</t>
  </si>
  <si>
    <t>D-12808</t>
  </si>
  <si>
    <t>D-12809</t>
  </si>
  <si>
    <t>D-12810</t>
  </si>
  <si>
    <t>D-12811</t>
  </si>
  <si>
    <t>D-12812</t>
  </si>
  <si>
    <t>D-12813</t>
  </si>
  <si>
    <t>D-12814</t>
  </si>
  <si>
    <t>D-12815</t>
  </si>
  <si>
    <t>D-12816</t>
  </si>
  <si>
    <t>D-12817</t>
  </si>
  <si>
    <t>D-12818</t>
  </si>
  <si>
    <t>D-12819</t>
  </si>
  <si>
    <t>D-12820</t>
  </si>
  <si>
    <t>D-12821</t>
  </si>
  <si>
    <t>D-12822</t>
  </si>
  <si>
    <t>D-12823</t>
  </si>
  <si>
    <t>D-12824</t>
  </si>
  <si>
    <t>D-12825</t>
  </si>
  <si>
    <t>D-12826</t>
  </si>
  <si>
    <t>D-12827</t>
  </si>
  <si>
    <t>D-12828</t>
  </si>
  <si>
    <t>D-12829</t>
  </si>
  <si>
    <t>D-12830</t>
  </si>
  <si>
    <t>D-12831</t>
  </si>
  <si>
    <t>D-12832</t>
  </si>
  <si>
    <t>D-12833</t>
  </si>
  <si>
    <t>D-12834</t>
  </si>
  <si>
    <t>D-12835</t>
  </si>
  <si>
    <t>D-12836</t>
  </si>
  <si>
    <t>D-12837</t>
  </si>
  <si>
    <t>D-12838</t>
  </si>
  <si>
    <t>D-12839</t>
  </si>
  <si>
    <t>D-12840</t>
  </si>
  <si>
    <t>D-12841</t>
  </si>
  <si>
    <t>D-12842</t>
  </si>
  <si>
    <t>D-12843</t>
  </si>
  <si>
    <t>D-12844</t>
  </si>
  <si>
    <t>D-12845</t>
  </si>
  <si>
    <t>D-12846</t>
  </si>
  <si>
    <t>D-12847</t>
  </si>
  <si>
    <t>D-12848</t>
  </si>
  <si>
    <t>D-12849</t>
  </si>
  <si>
    <t>D-12850</t>
  </si>
  <si>
    <t>D-12851</t>
  </si>
  <si>
    <t>D-12852</t>
  </si>
  <si>
    <t>D-12853</t>
  </si>
  <si>
    <t>D-12854</t>
  </si>
  <si>
    <t>D-12855</t>
  </si>
  <si>
    <t>D-12856</t>
  </si>
  <si>
    <t>D-12857</t>
  </si>
  <si>
    <t>D-12858</t>
  </si>
  <si>
    <t>D-12859</t>
  </si>
  <si>
    <t>D-12860</t>
  </si>
  <si>
    <t>D-12861</t>
  </si>
  <si>
    <t>D-12862</t>
  </si>
  <si>
    <t>D-12863</t>
  </si>
  <si>
    <t>D-12864</t>
  </si>
  <si>
    <t>D-12865</t>
  </si>
  <si>
    <t>D-12866</t>
  </si>
  <si>
    <t>D-12867</t>
  </si>
  <si>
    <t>D-12868</t>
  </si>
  <si>
    <t>D-12869</t>
  </si>
  <si>
    <t>D-12870</t>
  </si>
  <si>
    <t>D-12871</t>
  </si>
  <si>
    <t>D-12872</t>
  </si>
  <si>
    <t>D-12873</t>
  </si>
  <si>
    <t>D-12874</t>
  </si>
  <si>
    <t>D-12875</t>
  </si>
  <si>
    <t>D-12876</t>
  </si>
  <si>
    <t>D-12877</t>
  </si>
  <si>
    <t>D-12878</t>
  </si>
  <si>
    <t>D-12879</t>
  </si>
  <si>
    <t>D-12880</t>
  </si>
  <si>
    <t>D-12881</t>
  </si>
  <si>
    <t>D-12882</t>
  </si>
  <si>
    <t>D-12883</t>
  </si>
  <si>
    <t>D-12884</t>
  </si>
  <si>
    <r>
      <t xml:space="preserve">(218)PROSUBCA S.A DE C.V  </t>
    </r>
    <r>
      <rPr>
        <b/>
        <sz val="12"/>
        <color rgb="FFFF0000"/>
        <rFont val="Calibri"/>
        <family val="2"/>
        <scheme val="minor"/>
      </rPr>
      <t>CANCELADA</t>
    </r>
  </si>
  <si>
    <t>D-12885</t>
  </si>
  <si>
    <t>D-12886</t>
  </si>
  <si>
    <t>D-12887</t>
  </si>
  <si>
    <t>D-12888</t>
  </si>
  <si>
    <t>D-12889</t>
  </si>
  <si>
    <t>D-12890</t>
  </si>
  <si>
    <t>D-12891</t>
  </si>
  <si>
    <t>D-12892</t>
  </si>
  <si>
    <t>D-12893</t>
  </si>
  <si>
    <t>D-12894</t>
  </si>
  <si>
    <t>D-12895</t>
  </si>
  <si>
    <t>D-12896</t>
  </si>
  <si>
    <t>D-12897</t>
  </si>
  <si>
    <t>D-12898</t>
  </si>
  <si>
    <t>D-12899</t>
  </si>
  <si>
    <t>D-12900</t>
  </si>
  <si>
    <t>D-12901</t>
  </si>
  <si>
    <t>D-12902</t>
  </si>
  <si>
    <t>D-12903</t>
  </si>
  <si>
    <t>D-12904</t>
  </si>
  <si>
    <t>D-12905</t>
  </si>
  <si>
    <t>D-12906</t>
  </si>
  <si>
    <t>D-12907</t>
  </si>
  <si>
    <t>D-12908</t>
  </si>
  <si>
    <t>D-12909</t>
  </si>
  <si>
    <t>D-12910</t>
  </si>
  <si>
    <t>D-12911</t>
  </si>
  <si>
    <t>D-12912</t>
  </si>
  <si>
    <t>D-12913</t>
  </si>
  <si>
    <t>D-12914</t>
  </si>
  <si>
    <t>D-12915</t>
  </si>
  <si>
    <t>D-12916</t>
  </si>
  <si>
    <t>D-12917</t>
  </si>
  <si>
    <t>D-12918</t>
  </si>
  <si>
    <t>D-12919</t>
  </si>
  <si>
    <t>D-12920</t>
  </si>
  <si>
    <t>D-12921</t>
  </si>
  <si>
    <t>D-12922</t>
  </si>
  <si>
    <t>D-12923</t>
  </si>
  <si>
    <t>D-12924</t>
  </si>
  <si>
    <t>D-12925</t>
  </si>
  <si>
    <t>D-12926</t>
  </si>
  <si>
    <t>D-12927</t>
  </si>
  <si>
    <t>D-12928</t>
  </si>
  <si>
    <t>D-12929</t>
  </si>
  <si>
    <t>D-12930</t>
  </si>
  <si>
    <t>D-12931</t>
  </si>
  <si>
    <t>D-12932</t>
  </si>
  <si>
    <t>D-12933</t>
  </si>
  <si>
    <t>D-12934</t>
  </si>
  <si>
    <t>D-12935</t>
  </si>
  <si>
    <t>D-12936</t>
  </si>
  <si>
    <t>D-12937</t>
  </si>
  <si>
    <t>D-12938</t>
  </si>
  <si>
    <t>D-12939</t>
  </si>
  <si>
    <t>D-12940</t>
  </si>
  <si>
    <t>D-12941</t>
  </si>
  <si>
    <t>D-12942</t>
  </si>
  <si>
    <t>D-12943</t>
  </si>
  <si>
    <t>D-12944</t>
  </si>
  <si>
    <t>D-12945</t>
  </si>
  <si>
    <t>D-12946</t>
  </si>
  <si>
    <t>D-12947</t>
  </si>
  <si>
    <t>D-12948</t>
  </si>
  <si>
    <t>D-12949</t>
  </si>
  <si>
    <t>D-12950</t>
  </si>
  <si>
    <t>D-12951</t>
  </si>
  <si>
    <t>D-12952</t>
  </si>
  <si>
    <t>D-12953</t>
  </si>
  <si>
    <t>D-12954</t>
  </si>
  <si>
    <t>D-12955</t>
  </si>
  <si>
    <t>D-12956</t>
  </si>
  <si>
    <t>D-12957</t>
  </si>
  <si>
    <t>D-12958</t>
  </si>
  <si>
    <t>D-12959</t>
  </si>
  <si>
    <t>D-12960</t>
  </si>
  <si>
    <t>D-12961</t>
  </si>
  <si>
    <t>D-12962</t>
  </si>
  <si>
    <t>D-12963</t>
  </si>
  <si>
    <t>D-12964</t>
  </si>
  <si>
    <t>D-12965</t>
  </si>
  <si>
    <t>D-12966</t>
  </si>
  <si>
    <t>D-12967</t>
  </si>
  <si>
    <t>D-12968</t>
  </si>
  <si>
    <t>D-12969</t>
  </si>
  <si>
    <t>D-12970</t>
  </si>
  <si>
    <t>D-12971</t>
  </si>
  <si>
    <t>D-12972</t>
  </si>
  <si>
    <t>D-12973</t>
  </si>
  <si>
    <t>D-12974</t>
  </si>
  <si>
    <t>D-12975</t>
  </si>
  <si>
    <t>D-12976</t>
  </si>
  <si>
    <t>D-12977</t>
  </si>
  <si>
    <t>D-12978</t>
  </si>
  <si>
    <t>D-12979</t>
  </si>
  <si>
    <t>D-12980</t>
  </si>
  <si>
    <t>D-12981</t>
  </si>
  <si>
    <t>D-12982</t>
  </si>
  <si>
    <t>D-12983</t>
  </si>
  <si>
    <t>D-12984</t>
  </si>
  <si>
    <t>D-12985</t>
  </si>
  <si>
    <t>D-12986</t>
  </si>
  <si>
    <t>D-12987</t>
  </si>
  <si>
    <t>D-12988</t>
  </si>
  <si>
    <t>D-12989</t>
  </si>
  <si>
    <t>D-12990</t>
  </si>
  <si>
    <t>D-12991</t>
  </si>
  <si>
    <t>D-12992</t>
  </si>
  <si>
    <t>D-12993</t>
  </si>
  <si>
    <t>D-12994</t>
  </si>
  <si>
    <t>D-12995</t>
  </si>
  <si>
    <t>8-Oct-22--9-Dic-22</t>
  </si>
  <si>
    <t>D-12996</t>
  </si>
  <si>
    <t>D-12997</t>
  </si>
  <si>
    <t>D-12998</t>
  </si>
  <si>
    <t>D-12999</t>
  </si>
  <si>
    <t>D-13000</t>
  </si>
  <si>
    <t>D-13001</t>
  </si>
  <si>
    <t>D-13002</t>
  </si>
  <si>
    <t>D-13003</t>
  </si>
  <si>
    <t>D-13004</t>
  </si>
  <si>
    <t>D-13005</t>
  </si>
  <si>
    <t>D-13006</t>
  </si>
  <si>
    <t>D-13007</t>
  </si>
  <si>
    <t>D-13008</t>
  </si>
  <si>
    <t>D-13009</t>
  </si>
  <si>
    <t>D-13010</t>
  </si>
  <si>
    <t>D-13011</t>
  </si>
  <si>
    <t>D-13012</t>
  </si>
  <si>
    <t>D-13013</t>
  </si>
  <si>
    <t>D-13014</t>
  </si>
  <si>
    <t>D-13015</t>
  </si>
  <si>
    <t>D-13016</t>
  </si>
  <si>
    <t>D-13017</t>
  </si>
  <si>
    <t>D-13018</t>
  </si>
  <si>
    <t>D-13019</t>
  </si>
  <si>
    <t>D-13020</t>
  </si>
  <si>
    <t>D-13021</t>
  </si>
  <si>
    <t>D-13022</t>
  </si>
  <si>
    <t>D-13023</t>
  </si>
  <si>
    <t>D-13024</t>
  </si>
  <si>
    <t>D-13025</t>
  </si>
  <si>
    <t>D-13026</t>
  </si>
  <si>
    <t>D-13027</t>
  </si>
  <si>
    <t>D-13028</t>
  </si>
  <si>
    <t>D-13029</t>
  </si>
  <si>
    <t>D-13030</t>
  </si>
  <si>
    <t>D-13031</t>
  </si>
  <si>
    <t>D-13032</t>
  </si>
  <si>
    <t>D-13033</t>
  </si>
  <si>
    <t>D-13034</t>
  </si>
  <si>
    <t>D-13035</t>
  </si>
  <si>
    <t>D-13036</t>
  </si>
  <si>
    <t>D-13037</t>
  </si>
  <si>
    <t>D-13038</t>
  </si>
  <si>
    <t>D-13039</t>
  </si>
  <si>
    <t>D-13040</t>
  </si>
  <si>
    <t>D-13041</t>
  </si>
  <si>
    <t>D-13042</t>
  </si>
  <si>
    <t>D-13043</t>
  </si>
  <si>
    <t>D-13044</t>
  </si>
  <si>
    <t>D-13045</t>
  </si>
  <si>
    <t>D-13046</t>
  </si>
  <si>
    <t>D-13047</t>
  </si>
  <si>
    <t>D-13048</t>
  </si>
  <si>
    <t>D-13049</t>
  </si>
  <si>
    <t>D-13050</t>
  </si>
  <si>
    <t>D-13051</t>
  </si>
  <si>
    <t>D-13052</t>
  </si>
  <si>
    <t>D-13053</t>
  </si>
  <si>
    <t>D-13054</t>
  </si>
  <si>
    <t>D-13055</t>
  </si>
  <si>
    <t>D-13056</t>
  </si>
  <si>
    <t>D-13057</t>
  </si>
  <si>
    <t>D-13058</t>
  </si>
  <si>
    <t>D-13059</t>
  </si>
  <si>
    <t>D-13060</t>
  </si>
  <si>
    <t>D-13061</t>
  </si>
  <si>
    <t>D-13062</t>
  </si>
  <si>
    <t>D-13063</t>
  </si>
  <si>
    <t>D-13064</t>
  </si>
  <si>
    <t>D-13065</t>
  </si>
  <si>
    <t>D-13066</t>
  </si>
  <si>
    <t>D-13067</t>
  </si>
  <si>
    <t>D-13068</t>
  </si>
  <si>
    <t>D-13069</t>
  </si>
  <si>
    <t>(6)CESAR CON</t>
  </si>
  <si>
    <t>D-13070</t>
  </si>
  <si>
    <t>D-13071</t>
  </si>
  <si>
    <t>D-13072</t>
  </si>
  <si>
    <t>D-13073</t>
  </si>
  <si>
    <t>D-13074</t>
  </si>
  <si>
    <t>D-13075</t>
  </si>
  <si>
    <t>D-13076</t>
  </si>
  <si>
    <t>D-13077</t>
  </si>
  <si>
    <t>D-13078</t>
  </si>
  <si>
    <t>D-13079</t>
  </si>
  <si>
    <t>D-13080</t>
  </si>
  <si>
    <t>D-13081</t>
  </si>
  <si>
    <t>D-13082</t>
  </si>
  <si>
    <t>D-13083</t>
  </si>
  <si>
    <t>D-13084</t>
  </si>
  <si>
    <t>D-13085</t>
  </si>
  <si>
    <t>D-13086</t>
  </si>
  <si>
    <t>D-13087</t>
  </si>
  <si>
    <t>D-13088</t>
  </si>
  <si>
    <t>D-13089</t>
  </si>
  <si>
    <t>D-13090</t>
  </si>
  <si>
    <t>D-13091</t>
  </si>
  <si>
    <t>D-13092</t>
  </si>
  <si>
    <t>D-13093</t>
  </si>
  <si>
    <t>D-13094</t>
  </si>
  <si>
    <t>D-13095</t>
  </si>
  <si>
    <t>D-13096</t>
  </si>
  <si>
    <t>D-13097</t>
  </si>
  <si>
    <t>D-13098</t>
  </si>
  <si>
    <t>D-13099</t>
  </si>
  <si>
    <t>D-13100</t>
  </si>
  <si>
    <t>D-13101</t>
  </si>
  <si>
    <t>D-13102</t>
  </si>
  <si>
    <t>D-13103</t>
  </si>
  <si>
    <t>D-13104</t>
  </si>
  <si>
    <t>D-13105</t>
  </si>
  <si>
    <t>D-13106</t>
  </si>
  <si>
    <t>D-13107</t>
  </si>
  <si>
    <t>D-13108</t>
  </si>
  <si>
    <t>D-13109</t>
  </si>
  <si>
    <t>D-13110</t>
  </si>
  <si>
    <t>D-13111</t>
  </si>
  <si>
    <t>D-13112</t>
  </si>
  <si>
    <t>D-13113</t>
  </si>
  <si>
    <t>D-13114</t>
  </si>
  <si>
    <t>D-13115</t>
  </si>
  <si>
    <t>D-13116</t>
  </si>
  <si>
    <t>D-13117</t>
  </si>
  <si>
    <t>D-13118</t>
  </si>
  <si>
    <t>D-13119</t>
  </si>
  <si>
    <t>D-13120</t>
  </si>
  <si>
    <t>D-13121</t>
  </si>
  <si>
    <t>D-13122</t>
  </si>
  <si>
    <t>D-13123</t>
  </si>
  <si>
    <t>D-13124</t>
  </si>
  <si>
    <t>D-13125</t>
  </si>
  <si>
    <t>D-13126</t>
  </si>
  <si>
    <r>
      <t xml:space="preserve">(592)RENE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</si>
  <si>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D-13127</t>
  </si>
  <si>
    <t>9-Dic-22--10-Oct-22</t>
  </si>
  <si>
    <t>D-13128</t>
  </si>
  <si>
    <t>D-13129</t>
  </si>
  <si>
    <t>D-13130</t>
  </si>
  <si>
    <t>D-13131</t>
  </si>
  <si>
    <t>D-13132</t>
  </si>
  <si>
    <t>D-13133</t>
  </si>
  <si>
    <t>D-13134</t>
  </si>
  <si>
    <t>D-13135</t>
  </si>
  <si>
    <t>D-13136</t>
  </si>
  <si>
    <t>D-13137</t>
  </si>
  <si>
    <t>D-13138</t>
  </si>
  <si>
    <t>D-13139</t>
  </si>
  <si>
    <t>D-13140</t>
  </si>
  <si>
    <r>
      <t xml:space="preserve">(491)ANGEL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</si>
  <si>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D-13141</t>
  </si>
  <si>
    <t>D-13142</t>
  </si>
  <si>
    <t>D-13143</t>
  </si>
  <si>
    <t>D-13144</t>
  </si>
  <si>
    <t>D-13145</t>
  </si>
  <si>
    <t>D-13146</t>
  </si>
  <si>
    <t>D-13147</t>
  </si>
  <si>
    <t>D-13148</t>
  </si>
  <si>
    <t>D-13149</t>
  </si>
  <si>
    <t>10-Oct-22--11-Oct-22--12-Oct-22</t>
  </si>
  <si>
    <t>D-13150</t>
  </si>
  <si>
    <t>D-13151</t>
  </si>
  <si>
    <t>D-13152</t>
  </si>
  <si>
    <t>D-13153</t>
  </si>
  <si>
    <t>D-13154</t>
  </si>
  <si>
    <t>D-13155</t>
  </si>
  <si>
    <t>D-13156</t>
  </si>
  <si>
    <t>D-13157</t>
  </si>
  <si>
    <t>D-13158</t>
  </si>
  <si>
    <t>D-13159</t>
  </si>
  <si>
    <t>D-13160</t>
  </si>
  <si>
    <t>D-13161</t>
  </si>
  <si>
    <t>D-13162</t>
  </si>
  <si>
    <t>10-Oct-22--11-Oct-22--13-Oct-22</t>
  </si>
  <si>
    <t>D-13163</t>
  </si>
  <si>
    <t>D-13164</t>
  </si>
  <si>
    <t>D-13165</t>
  </si>
  <si>
    <t>D-13166</t>
  </si>
  <si>
    <t>D-13167</t>
  </si>
  <si>
    <t>D-13168</t>
  </si>
  <si>
    <t>D-13169</t>
  </si>
  <si>
    <t>D-13170</t>
  </si>
  <si>
    <t>D-13171</t>
  </si>
  <si>
    <t>D-13172</t>
  </si>
  <si>
    <t>D-13173</t>
  </si>
  <si>
    <t>D-13174</t>
  </si>
  <si>
    <t>se sustituyo x la 13175</t>
  </si>
  <si>
    <t>D-13175</t>
  </si>
  <si>
    <t>D-13176</t>
  </si>
  <si>
    <t>D-13177</t>
  </si>
  <si>
    <t>D-13178</t>
  </si>
  <si>
    <t>D-13179</t>
  </si>
  <si>
    <t>D-13180</t>
  </si>
  <si>
    <t>D-13181</t>
  </si>
  <si>
    <t>D-13182</t>
  </si>
  <si>
    <t>D-13183</t>
  </si>
  <si>
    <t>D-13184</t>
  </si>
  <si>
    <t>D-13185</t>
  </si>
  <si>
    <t>D-13186</t>
  </si>
  <si>
    <t>D-13187</t>
  </si>
  <si>
    <t>D-13188</t>
  </si>
  <si>
    <t>D-13189</t>
  </si>
  <si>
    <t>D-13190</t>
  </si>
  <si>
    <t>D-13191</t>
  </si>
  <si>
    <t>D-13192</t>
  </si>
  <si>
    <t>D-13193</t>
  </si>
  <si>
    <t>D-13194</t>
  </si>
  <si>
    <t>D-13195</t>
  </si>
  <si>
    <t>D-13196</t>
  </si>
  <si>
    <t>D-13197</t>
  </si>
  <si>
    <t>D-13198</t>
  </si>
  <si>
    <t>D-13199</t>
  </si>
  <si>
    <t>D-13200</t>
  </si>
  <si>
    <t>D-13201</t>
  </si>
  <si>
    <t>D-13202</t>
  </si>
  <si>
    <t>D-13203</t>
  </si>
  <si>
    <t>D-13204</t>
  </si>
  <si>
    <t>D-13205</t>
  </si>
  <si>
    <t>D-13206</t>
  </si>
  <si>
    <t>D-13207</t>
  </si>
  <si>
    <t>D-13208</t>
  </si>
  <si>
    <t>D-13209</t>
  </si>
  <si>
    <t>D-13210</t>
  </si>
  <si>
    <t>D-13211</t>
  </si>
  <si>
    <t>D-13212</t>
  </si>
  <si>
    <t>D-13213</t>
  </si>
  <si>
    <t>D-13214</t>
  </si>
  <si>
    <t>D-13215</t>
  </si>
  <si>
    <t>D-13216</t>
  </si>
  <si>
    <t>D-13217</t>
  </si>
  <si>
    <t>D-13218</t>
  </si>
  <si>
    <t>D-13219</t>
  </si>
  <si>
    <t>D-13220</t>
  </si>
  <si>
    <t>D-13221</t>
  </si>
  <si>
    <t>D-13222</t>
  </si>
  <si>
    <t>D-13223</t>
  </si>
  <si>
    <t>D-13224</t>
  </si>
  <si>
    <t>D-13225</t>
  </si>
  <si>
    <t>D-13226</t>
  </si>
  <si>
    <t>D-13227</t>
  </si>
  <si>
    <t>D-13228</t>
  </si>
  <si>
    <t>D-13229</t>
  </si>
  <si>
    <t>D-13230</t>
  </si>
  <si>
    <r>
      <t xml:space="preserve">(99)JAVIER ( LA FORTUNA)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</si>
  <si>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D-13231</t>
  </si>
  <si>
    <t>D-13232</t>
  </si>
  <si>
    <t>D-13233</t>
  </si>
  <si>
    <t>D-13234</t>
  </si>
  <si>
    <t>D-13235</t>
  </si>
  <si>
    <t>D-13236</t>
  </si>
  <si>
    <t>D-13237</t>
  </si>
  <si>
    <t>D-13238</t>
  </si>
  <si>
    <t>D-13239</t>
  </si>
  <si>
    <t>D-13240</t>
  </si>
  <si>
    <t>D-13241</t>
  </si>
  <si>
    <t>D-13242</t>
  </si>
  <si>
    <t>D-13243</t>
  </si>
  <si>
    <t>D-13244</t>
  </si>
  <si>
    <t>D-13245</t>
  </si>
  <si>
    <t>D-13246</t>
  </si>
  <si>
    <t>D-13247</t>
  </si>
  <si>
    <t>D-13248</t>
  </si>
  <si>
    <t>D-13249</t>
  </si>
  <si>
    <t>D-13250</t>
  </si>
  <si>
    <t>D-13251</t>
  </si>
  <si>
    <t>D-13252</t>
  </si>
  <si>
    <t>D-13253</t>
  </si>
  <si>
    <t>D-13254</t>
  </si>
  <si>
    <t>D-13255</t>
  </si>
  <si>
    <t>D-13256</t>
  </si>
  <si>
    <t>D-13257</t>
  </si>
  <si>
    <t>D-13258</t>
  </si>
  <si>
    <t>D-13259</t>
  </si>
  <si>
    <t>D-13260</t>
  </si>
  <si>
    <t>D-13261</t>
  </si>
  <si>
    <t>D-13262</t>
  </si>
  <si>
    <t>D-13263</t>
  </si>
  <si>
    <t>D-13264</t>
  </si>
  <si>
    <t>10-Oct-22--12-Oct-22</t>
  </si>
  <si>
    <t>D-13265</t>
  </si>
  <si>
    <t>D-13266</t>
  </si>
  <si>
    <t>D-13267</t>
  </si>
  <si>
    <t>D-13268</t>
  </si>
  <si>
    <t>D-13269</t>
  </si>
  <si>
    <t>D-13270</t>
  </si>
  <si>
    <t>D-13271</t>
  </si>
  <si>
    <t>D-13272</t>
  </si>
  <si>
    <t>D-13273</t>
  </si>
  <si>
    <t>D-13274</t>
  </si>
  <si>
    <t>D-13275</t>
  </si>
  <si>
    <t>D-13276</t>
  </si>
  <si>
    <t>D-13277</t>
  </si>
  <si>
    <t>D-13278</t>
  </si>
  <si>
    <t>D-13279</t>
  </si>
  <si>
    <t>D-13280</t>
  </si>
  <si>
    <t>D-13281</t>
  </si>
  <si>
    <t>D-13282</t>
  </si>
  <si>
    <t>D-13283</t>
  </si>
  <si>
    <t>D-13284</t>
  </si>
  <si>
    <t>D-13285</t>
  </si>
  <si>
    <t>D-13286</t>
  </si>
  <si>
    <t>D-13287</t>
  </si>
  <si>
    <t>D-13288</t>
  </si>
  <si>
    <t>D-13289</t>
  </si>
  <si>
    <t>D-13290</t>
  </si>
  <si>
    <t>D-13291</t>
  </si>
  <si>
    <t>D-13292</t>
  </si>
  <si>
    <t>D-13293</t>
  </si>
  <si>
    <t>D-13294</t>
  </si>
  <si>
    <t>D-13295</t>
  </si>
  <si>
    <t>D-13296</t>
  </si>
  <si>
    <t>D-13297</t>
  </si>
  <si>
    <t>D-13298</t>
  </si>
  <si>
    <t>D-13299</t>
  </si>
  <si>
    <t>D-13300</t>
  </si>
  <si>
    <t>D-13301</t>
  </si>
  <si>
    <t>D-13302</t>
  </si>
  <si>
    <t>D-13303</t>
  </si>
  <si>
    <t>D-13304</t>
  </si>
  <si>
    <t>D-13305</t>
  </si>
  <si>
    <t>D-13306</t>
  </si>
  <si>
    <t>D-13307</t>
  </si>
  <si>
    <t>D-13308</t>
  </si>
  <si>
    <t>D-13309</t>
  </si>
  <si>
    <t>D-13310</t>
  </si>
  <si>
    <t>D-13311</t>
  </si>
  <si>
    <t>D-13312</t>
  </si>
  <si>
    <t>D-13313</t>
  </si>
  <si>
    <t>D-13314</t>
  </si>
  <si>
    <t>D-13315</t>
  </si>
  <si>
    <t>D-13316</t>
  </si>
  <si>
    <t>D-13317</t>
  </si>
  <si>
    <t>D-13318</t>
  </si>
  <si>
    <t>D-13319</t>
  </si>
  <si>
    <t>D-13320</t>
  </si>
  <si>
    <t>D-13321</t>
  </si>
  <si>
    <t>D-13322</t>
  </si>
  <si>
    <t>D-13323</t>
  </si>
  <si>
    <t>D-13324</t>
  </si>
  <si>
    <t>D-13325</t>
  </si>
  <si>
    <t>D-13326</t>
  </si>
  <si>
    <t>D-13327</t>
  </si>
  <si>
    <t>D-13328</t>
  </si>
  <si>
    <t>12-Oct-22--13-Oct-22</t>
  </si>
  <si>
    <t>D-13329</t>
  </si>
  <si>
    <t>D-13330</t>
  </si>
  <si>
    <t>D-13331</t>
  </si>
  <si>
    <t>15-Oct-22--18-Oct-22--20-Oct-22--21-Oct-22--22-Oct-22--25-Oct-22--28-Oct-22--29-Oct-22</t>
  </si>
  <si>
    <t>D-13332</t>
  </si>
  <si>
    <t>D-13333</t>
  </si>
  <si>
    <t>D-13334</t>
  </si>
  <si>
    <t>D-13335</t>
  </si>
  <si>
    <t>10-Oct-22--11-Oct-22</t>
  </si>
  <si>
    <t>D-13336</t>
  </si>
  <si>
    <t>D-13337</t>
  </si>
  <si>
    <t>D-13338</t>
  </si>
  <si>
    <t>D-13339</t>
  </si>
  <si>
    <t>D-13340</t>
  </si>
  <si>
    <t>D-13341</t>
  </si>
  <si>
    <t>D-13342</t>
  </si>
  <si>
    <t>D-13343</t>
  </si>
  <si>
    <t>D-13344</t>
  </si>
  <si>
    <t>D-13345</t>
  </si>
  <si>
    <t>D-13346</t>
  </si>
  <si>
    <t>D-13347</t>
  </si>
  <si>
    <t>D-13348</t>
  </si>
  <si>
    <t>D-13349</t>
  </si>
  <si>
    <t>D-13350</t>
  </si>
  <si>
    <t>D-13351</t>
  </si>
  <si>
    <t>D-13352</t>
  </si>
  <si>
    <t>D-13353</t>
  </si>
  <si>
    <t>D-13354</t>
  </si>
  <si>
    <t>D-13355</t>
  </si>
  <si>
    <t>D-13356</t>
  </si>
  <si>
    <t>D-13357</t>
  </si>
  <si>
    <t>D-13358</t>
  </si>
  <si>
    <t>D-13359</t>
  </si>
  <si>
    <t>D-13360</t>
  </si>
  <si>
    <t>D-13361</t>
  </si>
  <si>
    <t>D-13362</t>
  </si>
  <si>
    <t>D-13363</t>
  </si>
  <si>
    <t>D-13364</t>
  </si>
  <si>
    <t>D-13365</t>
  </si>
  <si>
    <t>D-13366</t>
  </si>
  <si>
    <t>D-13367</t>
  </si>
  <si>
    <t>D-13368</t>
  </si>
  <si>
    <t>D-13369</t>
  </si>
  <si>
    <t>D-13370</t>
  </si>
  <si>
    <t>D-13371</t>
  </si>
  <si>
    <t>D-13372</t>
  </si>
  <si>
    <t>D-13373</t>
  </si>
  <si>
    <t>D-13374</t>
  </si>
  <si>
    <t>D-13375</t>
  </si>
  <si>
    <t>D-13376</t>
  </si>
  <si>
    <t>D-13377</t>
  </si>
  <si>
    <t>D-13378</t>
  </si>
  <si>
    <t>D-13379</t>
  </si>
  <si>
    <t>D-13380</t>
  </si>
  <si>
    <t>D-13381</t>
  </si>
  <si>
    <t>D-13382</t>
  </si>
  <si>
    <t>D-13383</t>
  </si>
  <si>
    <t>D-13384</t>
  </si>
  <si>
    <t>D-13385</t>
  </si>
  <si>
    <t>D-13386</t>
  </si>
  <si>
    <t>D-13387</t>
  </si>
  <si>
    <t>D-13388</t>
  </si>
  <si>
    <t>D-13389</t>
  </si>
  <si>
    <t>D-13390</t>
  </si>
  <si>
    <t>D-13391</t>
  </si>
  <si>
    <t>D-13392</t>
  </si>
  <si>
    <t>D-13393</t>
  </si>
  <si>
    <t>D-13394</t>
  </si>
  <si>
    <t>D-13395</t>
  </si>
  <si>
    <t>D-13396</t>
  </si>
  <si>
    <t>D-13397</t>
  </si>
  <si>
    <t>D-13398</t>
  </si>
  <si>
    <t>D-13399</t>
  </si>
  <si>
    <t>D-13400</t>
  </si>
  <si>
    <t>D-13401</t>
  </si>
  <si>
    <t>D-13402</t>
  </si>
  <si>
    <t>D-13403</t>
  </si>
  <si>
    <t>D-13404</t>
  </si>
  <si>
    <t>D-13405</t>
  </si>
  <si>
    <t>D-13406</t>
  </si>
  <si>
    <t>D-13407</t>
  </si>
  <si>
    <t>D-13408</t>
  </si>
  <si>
    <t>D-13409</t>
  </si>
  <si>
    <t>D-13410</t>
  </si>
  <si>
    <t>D-13411</t>
  </si>
  <si>
    <t>D-13412</t>
  </si>
  <si>
    <r>
      <t xml:space="preserve">(680)TARIMAS  </t>
    </r>
    <r>
      <rPr>
        <b/>
        <sz val="12"/>
        <color rgb="FFFF0000"/>
        <rFont val="Calibri"/>
        <family val="2"/>
        <scheme val="minor"/>
      </rPr>
      <t>CANCELADA</t>
    </r>
  </si>
  <si>
    <t>D-13413</t>
  </si>
  <si>
    <r>
      <t>(680)TARIMAS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</si>
  <si>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D-13414</t>
  </si>
  <si>
    <t>D-13415</t>
  </si>
  <si>
    <t>D-13416</t>
  </si>
  <si>
    <t>D-13417</t>
  </si>
  <si>
    <t>D-13418</t>
  </si>
  <si>
    <t>D-13419</t>
  </si>
  <si>
    <r>
      <t xml:space="preserve">(47)NOE COYOTL  </t>
    </r>
    <r>
      <rPr>
        <b/>
        <sz val="12"/>
        <color rgb="FFFF0000"/>
        <rFont val="Calibri"/>
        <family val="2"/>
        <scheme val="minor"/>
      </rPr>
      <t>CANCELADA</t>
    </r>
  </si>
  <si>
    <t>D-13420</t>
  </si>
  <si>
    <t>17-Oct-22--24-Oct-22</t>
  </si>
  <si>
    <t>D-13421</t>
  </si>
  <si>
    <t>D-13422</t>
  </si>
  <si>
    <t>D-13423</t>
  </si>
  <si>
    <t>D-13424</t>
  </si>
  <si>
    <t>12-Oct-22--14-Oct-22</t>
  </si>
  <si>
    <t>D-13425</t>
  </si>
  <si>
    <t>D-13426</t>
  </si>
  <si>
    <t>D-13427</t>
  </si>
  <si>
    <t>D-13428</t>
  </si>
  <si>
    <t>D-13429</t>
  </si>
  <si>
    <t>D-13430</t>
  </si>
  <si>
    <t>D-13431</t>
  </si>
  <si>
    <t>D-13432</t>
  </si>
  <si>
    <t>D-13433</t>
  </si>
  <si>
    <t>D-13434</t>
  </si>
  <si>
    <t>15-Oct-22--20-Oct-22</t>
  </si>
  <si>
    <t>D-13435</t>
  </si>
  <si>
    <t>D-13436</t>
  </si>
  <si>
    <t>D-13437</t>
  </si>
  <si>
    <t>D-13438</t>
  </si>
  <si>
    <t>D-13439</t>
  </si>
  <si>
    <t>D-13440</t>
  </si>
  <si>
    <t>14-Oct-22--15-Oct-22</t>
  </si>
  <si>
    <t>D-13441</t>
  </si>
  <si>
    <t>D-13442</t>
  </si>
  <si>
    <t>D-13443</t>
  </si>
  <si>
    <t>D-13444</t>
  </si>
  <si>
    <t>D-13445</t>
  </si>
  <si>
    <t>D-13446</t>
  </si>
  <si>
    <t>D-13447</t>
  </si>
  <si>
    <t>D-13448</t>
  </si>
  <si>
    <t>D-13449</t>
  </si>
  <si>
    <t>D-13450</t>
  </si>
  <si>
    <t>D-13451</t>
  </si>
  <si>
    <t>D-13452</t>
  </si>
  <si>
    <t>D-13453</t>
  </si>
  <si>
    <t>D-13454</t>
  </si>
  <si>
    <t>D-13455</t>
  </si>
  <si>
    <t>D-13456</t>
  </si>
  <si>
    <t>D-13457</t>
  </si>
  <si>
    <t>D-13458</t>
  </si>
  <si>
    <t>D-13459</t>
  </si>
  <si>
    <t>D-13460</t>
  </si>
  <si>
    <t>D-13461</t>
  </si>
  <si>
    <t>D-13462</t>
  </si>
  <si>
    <t>D-13463</t>
  </si>
  <si>
    <t>D-13464</t>
  </si>
  <si>
    <t>D-13465</t>
  </si>
  <si>
    <t>D-13466</t>
  </si>
  <si>
    <t>D-13467</t>
  </si>
  <si>
    <t>D-13468</t>
  </si>
  <si>
    <t>D-13469</t>
  </si>
  <si>
    <t>D-13470</t>
  </si>
  <si>
    <t>D-13471</t>
  </si>
  <si>
    <t>D-13472</t>
  </si>
  <si>
    <t>D-13473</t>
  </si>
  <si>
    <t>D-13474</t>
  </si>
  <si>
    <t>D-13475</t>
  </si>
  <si>
    <t>D-13476</t>
  </si>
  <si>
    <t>D-13477</t>
  </si>
  <si>
    <t>D-13478</t>
  </si>
  <si>
    <t>D-13479</t>
  </si>
  <si>
    <t>D-13480</t>
  </si>
  <si>
    <t>D-13481</t>
  </si>
  <si>
    <t>D-13482</t>
  </si>
  <si>
    <t>D-13483</t>
  </si>
  <si>
    <t>D-13484</t>
  </si>
  <si>
    <t>D-13485</t>
  </si>
  <si>
    <t>D-13486</t>
  </si>
  <si>
    <t>D-13487</t>
  </si>
  <si>
    <t>D-13488</t>
  </si>
  <si>
    <t>D-13489</t>
  </si>
  <si>
    <t>D-13490</t>
  </si>
  <si>
    <t>D-13491</t>
  </si>
  <si>
    <t>D-13492</t>
  </si>
  <si>
    <t>D-13493</t>
  </si>
  <si>
    <t>D-13494</t>
  </si>
  <si>
    <t>D-13495</t>
  </si>
  <si>
    <t>D-13496</t>
  </si>
  <si>
    <t>D-13497</t>
  </si>
  <si>
    <t>D-13498</t>
  </si>
  <si>
    <t>D-13499</t>
  </si>
  <si>
    <t>D-13500</t>
  </si>
  <si>
    <t>D-13501</t>
  </si>
  <si>
    <t>D-13502</t>
  </si>
  <si>
    <t>D-13503</t>
  </si>
  <si>
    <t>D-13504</t>
  </si>
  <si>
    <t>D-13505</t>
  </si>
  <si>
    <t>D-13506</t>
  </si>
  <si>
    <t>D-13507</t>
  </si>
  <si>
    <t>D-13508</t>
  </si>
  <si>
    <t>D-13509</t>
  </si>
  <si>
    <t>D-13510</t>
  </si>
  <si>
    <t>D-13511</t>
  </si>
  <si>
    <t>D-13512</t>
  </si>
  <si>
    <t>D-13513</t>
  </si>
  <si>
    <t>D-13514</t>
  </si>
  <si>
    <t>D-13515</t>
  </si>
  <si>
    <t>D-13516</t>
  </si>
  <si>
    <t>D-13517</t>
  </si>
  <si>
    <t>D-13518</t>
  </si>
  <si>
    <t>D-13519</t>
  </si>
  <si>
    <t>D-13520</t>
  </si>
  <si>
    <t>D-13521</t>
  </si>
  <si>
    <t>D-13522</t>
  </si>
  <si>
    <t>D-13523</t>
  </si>
  <si>
    <t>D-13524</t>
  </si>
  <si>
    <t>D-13525</t>
  </si>
  <si>
    <t>D-13526</t>
  </si>
  <si>
    <t>D-13527</t>
  </si>
  <si>
    <t>D-13528</t>
  </si>
  <si>
    <t>D-13529</t>
  </si>
  <si>
    <t>D-13530</t>
  </si>
  <si>
    <t>D-13531</t>
  </si>
  <si>
    <t>D-13532</t>
  </si>
  <si>
    <t>D-13533</t>
  </si>
  <si>
    <t>D-13534</t>
  </si>
  <si>
    <t>D-13535</t>
  </si>
  <si>
    <t>D-13536</t>
  </si>
  <si>
    <t>D-13537</t>
  </si>
  <si>
    <t>D-13538</t>
  </si>
  <si>
    <t>D-13539</t>
  </si>
  <si>
    <t>D-13540</t>
  </si>
  <si>
    <t>D-13541</t>
  </si>
  <si>
    <t>D-13542</t>
  </si>
  <si>
    <t>D-13543</t>
  </si>
  <si>
    <t>D-13544</t>
  </si>
  <si>
    <t>D-13545</t>
  </si>
  <si>
    <t>D-13546</t>
  </si>
  <si>
    <t>D-13547</t>
  </si>
  <si>
    <t>D-13548</t>
  </si>
  <si>
    <t>D-13549</t>
  </si>
  <si>
    <t>D-13550</t>
  </si>
  <si>
    <t>D-13551</t>
  </si>
  <si>
    <t>D-13552</t>
  </si>
  <si>
    <t>D-13553</t>
  </si>
  <si>
    <t>D-13554</t>
  </si>
  <si>
    <t>D-13555</t>
  </si>
  <si>
    <t>D-13556</t>
  </si>
  <si>
    <t>D-13557</t>
  </si>
  <si>
    <t>D-13558</t>
  </si>
  <si>
    <t>D-13559</t>
  </si>
  <si>
    <t>D-13560</t>
  </si>
  <si>
    <t>D-13561</t>
  </si>
  <si>
    <t>D-13562</t>
  </si>
  <si>
    <t>D-13563</t>
  </si>
  <si>
    <t>D-13564</t>
  </si>
  <si>
    <t>D-13565</t>
  </si>
  <si>
    <t>D-13566</t>
  </si>
  <si>
    <t>D-13567</t>
  </si>
  <si>
    <t>D-13568</t>
  </si>
  <si>
    <t>D-13569</t>
  </si>
  <si>
    <t>D-13570</t>
  </si>
  <si>
    <t>D-13571</t>
  </si>
  <si>
    <t>D-13572</t>
  </si>
  <si>
    <t>D-13573</t>
  </si>
  <si>
    <t>D-13574</t>
  </si>
  <si>
    <t>D-13575</t>
  </si>
  <si>
    <t>D-13576</t>
  </si>
  <si>
    <t>D-13577</t>
  </si>
  <si>
    <t>D-13578</t>
  </si>
  <si>
    <t>D-13579</t>
  </si>
  <si>
    <t>D-13580</t>
  </si>
  <si>
    <t>D-13581</t>
  </si>
  <si>
    <t>D-13582</t>
  </si>
  <si>
    <t>D-13583</t>
  </si>
  <si>
    <t>D-13584</t>
  </si>
  <si>
    <t>D-13585</t>
  </si>
  <si>
    <t>D-13586</t>
  </si>
  <si>
    <t>D-13587</t>
  </si>
  <si>
    <t>D-13588</t>
  </si>
  <si>
    <t>D-13589</t>
  </si>
  <si>
    <t>D-13590</t>
  </si>
  <si>
    <t>D-13591</t>
  </si>
  <si>
    <t>D-13592</t>
  </si>
  <si>
    <t>D-13593</t>
  </si>
  <si>
    <t>D-13594</t>
  </si>
  <si>
    <t>D-13595</t>
  </si>
  <si>
    <t>D-13596</t>
  </si>
  <si>
    <t>D-13597</t>
  </si>
  <si>
    <t>D-13598</t>
  </si>
  <si>
    <t>D-13599</t>
  </si>
  <si>
    <t>D-13600</t>
  </si>
  <si>
    <t>D-13601</t>
  </si>
  <si>
    <t>D-13602</t>
  </si>
  <si>
    <t>D-13603</t>
  </si>
  <si>
    <t>D-13604</t>
  </si>
  <si>
    <t>D-13605</t>
  </si>
  <si>
    <t>D-13606</t>
  </si>
  <si>
    <t>D-13607</t>
  </si>
  <si>
    <t>D-13608</t>
  </si>
  <si>
    <t>D-13609</t>
  </si>
  <si>
    <t>D-13610</t>
  </si>
  <si>
    <t>D-13611</t>
  </si>
  <si>
    <t>D-13612</t>
  </si>
  <si>
    <t>D-13613</t>
  </si>
  <si>
    <t>D-13614</t>
  </si>
  <si>
    <t>D-13615</t>
  </si>
  <si>
    <t>D-13616</t>
  </si>
  <si>
    <t>D-13617</t>
  </si>
  <si>
    <t>D-13618</t>
  </si>
  <si>
    <t>D-13619</t>
  </si>
  <si>
    <t>D-13620</t>
  </si>
  <si>
    <t>D-13621</t>
  </si>
  <si>
    <t>D-13622</t>
  </si>
  <si>
    <t>D-13623</t>
  </si>
  <si>
    <t>D-13624</t>
  </si>
  <si>
    <t>D-13625</t>
  </si>
  <si>
    <t>D-13626</t>
  </si>
  <si>
    <t>D-13627</t>
  </si>
  <si>
    <t>D-13628</t>
  </si>
  <si>
    <t>D-13629</t>
  </si>
  <si>
    <t>D-13630</t>
  </si>
  <si>
    <t>D-13631</t>
  </si>
  <si>
    <t>D-13632</t>
  </si>
  <si>
    <t>D-13633</t>
  </si>
  <si>
    <t>D-13634</t>
  </si>
  <si>
    <t>D-13635</t>
  </si>
  <si>
    <t>D-13636</t>
  </si>
  <si>
    <t>D-13637</t>
  </si>
  <si>
    <t>D-13638</t>
  </si>
  <si>
    <t>D-13639</t>
  </si>
  <si>
    <t>D-13640</t>
  </si>
  <si>
    <t>D-13641</t>
  </si>
  <si>
    <t>D-13642</t>
  </si>
  <si>
    <t>D-13643</t>
  </si>
  <si>
    <t>D-13644</t>
  </si>
  <si>
    <t>D-13645</t>
  </si>
  <si>
    <t>D-13646</t>
  </si>
  <si>
    <t>D-13647</t>
  </si>
  <si>
    <t>D-13648</t>
  </si>
  <si>
    <t>D-13649</t>
  </si>
  <si>
    <t>D-13650</t>
  </si>
  <si>
    <t>D-13651</t>
  </si>
  <si>
    <t>D-13652</t>
  </si>
  <si>
    <t>D-13653</t>
  </si>
  <si>
    <t>D-13654</t>
  </si>
  <si>
    <t>D-13655</t>
  </si>
  <si>
    <t>D-13656</t>
  </si>
  <si>
    <t>D-13657</t>
  </si>
  <si>
    <t>D-13658</t>
  </si>
  <si>
    <t>D-13659</t>
  </si>
  <si>
    <t>D-13660</t>
  </si>
  <si>
    <t>D-13661</t>
  </si>
  <si>
    <t>D-13662</t>
  </si>
  <si>
    <t>D-13663</t>
  </si>
  <si>
    <t>D-13664</t>
  </si>
  <si>
    <t>D-13665</t>
  </si>
  <si>
    <t>D-13666</t>
  </si>
  <si>
    <t>D-13667</t>
  </si>
  <si>
    <t>D-13668</t>
  </si>
  <si>
    <t>D-13669</t>
  </si>
  <si>
    <t>D-13670</t>
  </si>
  <si>
    <t>D-13671</t>
  </si>
  <si>
    <t>D-13672</t>
  </si>
  <si>
    <t>D-13673</t>
  </si>
  <si>
    <t>D-13674</t>
  </si>
  <si>
    <t>D-13675</t>
  </si>
  <si>
    <t>15-Oct-22--17-Oct-22</t>
  </si>
  <si>
    <t>D-13676</t>
  </si>
  <si>
    <t>D-13677</t>
  </si>
  <si>
    <t>D-13678</t>
  </si>
  <si>
    <t>D-13679</t>
  </si>
  <si>
    <t>D-13680</t>
  </si>
  <si>
    <t>D-13681</t>
  </si>
  <si>
    <t>D-13682</t>
  </si>
  <si>
    <t>D-13683</t>
  </si>
  <si>
    <t>D-13684</t>
  </si>
  <si>
    <t>D-13685</t>
  </si>
  <si>
    <t>D-13686</t>
  </si>
  <si>
    <t>D-13687</t>
  </si>
  <si>
    <t>D-13688</t>
  </si>
  <si>
    <t>D-13689</t>
  </si>
  <si>
    <t>D-13690</t>
  </si>
  <si>
    <t>D-13691</t>
  </si>
  <si>
    <t>D-13692</t>
  </si>
  <si>
    <t>D-13693</t>
  </si>
  <si>
    <t>D-13694</t>
  </si>
  <si>
    <t>D-13695</t>
  </si>
  <si>
    <t>D-13696</t>
  </si>
  <si>
    <t>D-13697</t>
  </si>
  <si>
    <t>D-13698</t>
  </si>
  <si>
    <t>D-13699</t>
  </si>
  <si>
    <t>D-13700</t>
  </si>
  <si>
    <t>D-13701</t>
  </si>
  <si>
    <t>D-13702</t>
  </si>
  <si>
    <t>D-13703</t>
  </si>
  <si>
    <t>D-13704</t>
  </si>
  <si>
    <t>D-13705</t>
  </si>
  <si>
    <t>se sustituya x la 13706</t>
  </si>
  <si>
    <t>D-13706</t>
  </si>
  <si>
    <t>D-13707</t>
  </si>
  <si>
    <t>D-13708</t>
  </si>
  <si>
    <t>D-13709</t>
  </si>
  <si>
    <r>
      <t xml:space="preserve">(644)BRAYAN RAMIREZ  </t>
    </r>
    <r>
      <rPr>
        <b/>
        <sz val="12"/>
        <color rgb="FFFF0000"/>
        <rFont val="Calibri"/>
        <family val="2"/>
        <scheme val="minor"/>
      </rPr>
      <t>CANCELADA</t>
    </r>
  </si>
  <si>
    <t>D-13710</t>
  </si>
  <si>
    <t>D-13711</t>
  </si>
  <si>
    <t>D-13712</t>
  </si>
  <si>
    <t>D-13713</t>
  </si>
  <si>
    <t>D-13714</t>
  </si>
  <si>
    <t>D-13715</t>
  </si>
  <si>
    <t>D-13716</t>
  </si>
  <si>
    <t>D-13717</t>
  </si>
  <si>
    <t>D-13718</t>
  </si>
  <si>
    <t>D-13719</t>
  </si>
  <si>
    <t>D-13720</t>
  </si>
  <si>
    <t>D-13721</t>
  </si>
  <si>
    <t>D-13722</t>
  </si>
  <si>
    <t>D-13723</t>
  </si>
  <si>
    <t>D-13724</t>
  </si>
  <si>
    <t>D-13725</t>
  </si>
  <si>
    <t>D-13726</t>
  </si>
  <si>
    <t>D-13727</t>
  </si>
  <si>
    <t>D-13728</t>
  </si>
  <si>
    <t>D-13729</t>
  </si>
  <si>
    <t>D-13730</t>
  </si>
  <si>
    <t>D-13731</t>
  </si>
  <si>
    <t>D-13732</t>
  </si>
  <si>
    <t>D-13733</t>
  </si>
  <si>
    <t>D-13734</t>
  </si>
  <si>
    <t>D-13735</t>
  </si>
  <si>
    <t>D-13736</t>
  </si>
  <si>
    <t>D-13737</t>
  </si>
  <si>
    <t>D-13738</t>
  </si>
  <si>
    <t>D-13739</t>
  </si>
  <si>
    <t>D-13740</t>
  </si>
  <si>
    <t>D-13741</t>
  </si>
  <si>
    <t>D-13742</t>
  </si>
  <si>
    <t>D-13743</t>
  </si>
  <si>
    <t>D-13744</t>
  </si>
  <si>
    <t>D-13745</t>
  </si>
  <si>
    <t>D-13746</t>
  </si>
  <si>
    <t>D-13747</t>
  </si>
  <si>
    <t>D-13748</t>
  </si>
  <si>
    <t>D-13749</t>
  </si>
  <si>
    <t>D-13750</t>
  </si>
  <si>
    <t>D-13751</t>
  </si>
  <si>
    <t>se sustituya x la 13765</t>
  </si>
  <si>
    <t>D-13752</t>
  </si>
  <si>
    <t>D-13753</t>
  </si>
  <si>
    <t>D-13754</t>
  </si>
  <si>
    <t>D-13755</t>
  </si>
  <si>
    <t>D-13756</t>
  </si>
  <si>
    <t>D-13757</t>
  </si>
  <si>
    <t>D-13758</t>
  </si>
  <si>
    <t>D-13759</t>
  </si>
  <si>
    <t>D-13760</t>
  </si>
  <si>
    <t>D-13761</t>
  </si>
  <si>
    <t>D-13762</t>
  </si>
  <si>
    <t>D-13763</t>
  </si>
  <si>
    <t>D-13764</t>
  </si>
  <si>
    <t>D-13765</t>
  </si>
  <si>
    <t>D-13766</t>
  </si>
  <si>
    <t>D-13767</t>
  </si>
  <si>
    <t>D-13768</t>
  </si>
  <si>
    <t>D-13769</t>
  </si>
  <si>
    <t>D-13770</t>
  </si>
  <si>
    <t>D-13771</t>
  </si>
  <si>
    <t>D-13772</t>
  </si>
  <si>
    <t>D-13773</t>
  </si>
  <si>
    <t>D-13774</t>
  </si>
  <si>
    <t>D-13775</t>
  </si>
  <si>
    <t>D-13776</t>
  </si>
  <si>
    <t>D-13777</t>
  </si>
  <si>
    <t>D-13778</t>
  </si>
  <si>
    <t>D-13779</t>
  </si>
  <si>
    <t>D-13780</t>
  </si>
  <si>
    <t>D-13781</t>
  </si>
  <si>
    <t>D-13782</t>
  </si>
  <si>
    <t>D-13783</t>
  </si>
  <si>
    <t>D-13784</t>
  </si>
  <si>
    <t>D-13785</t>
  </si>
  <si>
    <t>D-13786</t>
  </si>
  <si>
    <t>D-13787</t>
  </si>
  <si>
    <t>D-13788</t>
  </si>
  <si>
    <t>D-13789</t>
  </si>
  <si>
    <t>D-13790</t>
  </si>
  <si>
    <t>D-13791</t>
  </si>
  <si>
    <t>D-13792</t>
  </si>
  <si>
    <t>D-13793</t>
  </si>
  <si>
    <t>D-13794</t>
  </si>
  <si>
    <t>D-13795</t>
  </si>
  <si>
    <t>D-13796</t>
  </si>
  <si>
    <t>D-13797</t>
  </si>
  <si>
    <t>D-13798</t>
  </si>
  <si>
    <t>D-13799</t>
  </si>
  <si>
    <t>D-13800</t>
  </si>
  <si>
    <t>D-13801</t>
  </si>
  <si>
    <t>D-13802</t>
  </si>
  <si>
    <t>D-13803</t>
  </si>
  <si>
    <t>D-13804</t>
  </si>
  <si>
    <t>D-13805</t>
  </si>
  <si>
    <t>D-13806</t>
  </si>
  <si>
    <t>D-13807</t>
  </si>
  <si>
    <t>D-13808</t>
  </si>
  <si>
    <t>D-13809</t>
  </si>
  <si>
    <t>D-13810</t>
  </si>
  <si>
    <t>D-13811</t>
  </si>
  <si>
    <t>D-13812</t>
  </si>
  <si>
    <t>D-13813</t>
  </si>
  <si>
    <t>D-13814</t>
  </si>
  <si>
    <t>D-13815</t>
  </si>
  <si>
    <t>D-13816</t>
  </si>
  <si>
    <t>D-13817</t>
  </si>
  <si>
    <t>D-13818</t>
  </si>
  <si>
    <t>D-13819</t>
  </si>
  <si>
    <t>D-13820</t>
  </si>
  <si>
    <t>D-13821</t>
  </si>
  <si>
    <t>D-13822</t>
  </si>
  <si>
    <t>D-13823</t>
  </si>
  <si>
    <t>D-13824</t>
  </si>
  <si>
    <t>D-13825</t>
  </si>
  <si>
    <t>D-13826</t>
  </si>
  <si>
    <t>D-13827</t>
  </si>
  <si>
    <t>D-13828</t>
  </si>
  <si>
    <t>D-13829</t>
  </si>
  <si>
    <t>D-13830</t>
  </si>
  <si>
    <t>D-13831</t>
  </si>
  <si>
    <t>D-13832</t>
  </si>
  <si>
    <t>D-13833</t>
  </si>
  <si>
    <t>D-13834</t>
  </si>
  <si>
    <t>D-13835</t>
  </si>
  <si>
    <t>D-13836</t>
  </si>
  <si>
    <t>D-13837</t>
  </si>
  <si>
    <t>D-13838</t>
  </si>
  <si>
    <t>D-13839</t>
  </si>
  <si>
    <t>D-13840</t>
  </si>
  <si>
    <t>D-13841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</si>
  <si>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>CANCELADA</t>
    </r>
  </si>
  <si>
    <t>D-13842</t>
  </si>
  <si>
    <t>D-13843</t>
  </si>
  <si>
    <t>D-13844</t>
  </si>
  <si>
    <t>D-13845</t>
  </si>
  <si>
    <t>D-13846</t>
  </si>
  <si>
    <t>D-13847</t>
  </si>
  <si>
    <t>D-13848</t>
  </si>
  <si>
    <t>D-13849</t>
  </si>
  <si>
    <t>D-13850</t>
  </si>
  <si>
    <t>D-13851</t>
  </si>
  <si>
    <t>D-13852</t>
  </si>
  <si>
    <t>D-13853</t>
  </si>
  <si>
    <t>D-13854</t>
  </si>
  <si>
    <t>D-13855</t>
  </si>
  <si>
    <t>D-13856</t>
  </si>
  <si>
    <t>D-13857</t>
  </si>
  <si>
    <t>D-13858</t>
  </si>
  <si>
    <t>D-13859</t>
  </si>
  <si>
    <t>D-13860</t>
  </si>
  <si>
    <t>D-13861</t>
  </si>
  <si>
    <t>D-13862</t>
  </si>
  <si>
    <t>D-13863</t>
  </si>
  <si>
    <t>D-13864</t>
  </si>
  <si>
    <t>D-13865</t>
  </si>
  <si>
    <t>16-Oct-22--17-Oct-22</t>
  </si>
  <si>
    <t>D-13866</t>
  </si>
  <si>
    <t>D-13867</t>
  </si>
  <si>
    <t>D-13868</t>
  </si>
  <si>
    <t>15-Oct-22--16-Oct-22</t>
  </si>
  <si>
    <t>D-13869</t>
  </si>
  <si>
    <t>D-13870</t>
  </si>
  <si>
    <t>D-13871</t>
  </si>
  <si>
    <t>D-13872</t>
  </si>
  <si>
    <t>D-13873</t>
  </si>
  <si>
    <t>D-13874</t>
  </si>
  <si>
    <t>D-13875</t>
  </si>
  <si>
    <t>D-13876</t>
  </si>
  <si>
    <t>D-13877</t>
  </si>
  <si>
    <t>D-13878</t>
  </si>
  <si>
    <t>D-13879</t>
  </si>
  <si>
    <t>D-13880</t>
  </si>
  <si>
    <t>D-13881</t>
  </si>
  <si>
    <t>D-13882</t>
  </si>
  <si>
    <t>D-13883</t>
  </si>
  <si>
    <t>D-13884</t>
  </si>
  <si>
    <t>D-13885</t>
  </si>
  <si>
    <t>D-13886</t>
  </si>
  <si>
    <t>D-13887</t>
  </si>
  <si>
    <t>D-13888</t>
  </si>
  <si>
    <t>D-13889</t>
  </si>
  <si>
    <t>D-13890</t>
  </si>
  <si>
    <t>D-13891</t>
  </si>
  <si>
    <t>D-13892</t>
  </si>
  <si>
    <t>D-13893</t>
  </si>
  <si>
    <t>D-13894</t>
  </si>
  <si>
    <t>D-13895</t>
  </si>
  <si>
    <t>D-13896</t>
  </si>
  <si>
    <t>D-13897</t>
  </si>
  <si>
    <t>D-13898</t>
  </si>
  <si>
    <t>D-13899</t>
  </si>
  <si>
    <t>D-13900</t>
  </si>
  <si>
    <t>D-13901</t>
  </si>
  <si>
    <t>D-13902</t>
  </si>
  <si>
    <t>D-13903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</si>
  <si>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>CANCELADA</t>
    </r>
  </si>
  <si>
    <t>D-13904</t>
  </si>
  <si>
    <t>D-13905</t>
  </si>
  <si>
    <t>D-13906</t>
  </si>
  <si>
    <t>D-13907</t>
  </si>
  <si>
    <t>D-13908</t>
  </si>
  <si>
    <t>D-13909</t>
  </si>
  <si>
    <t>D-13910</t>
  </si>
  <si>
    <t>D-13911</t>
  </si>
  <si>
    <t>D-13912</t>
  </si>
  <si>
    <t>D-13913</t>
  </si>
  <si>
    <t>D-13914</t>
  </si>
  <si>
    <t>D-13915</t>
  </si>
  <si>
    <t>D-13916</t>
  </si>
  <si>
    <t>D-13917</t>
  </si>
  <si>
    <t>D-13918</t>
  </si>
  <si>
    <t>D-13919</t>
  </si>
  <si>
    <t>D-13920</t>
  </si>
  <si>
    <t>D-13921</t>
  </si>
  <si>
    <t>D-13922</t>
  </si>
  <si>
    <t>D-13923</t>
  </si>
  <si>
    <t>D-13924</t>
  </si>
  <si>
    <t>D-13925</t>
  </si>
  <si>
    <t>D-13926</t>
  </si>
  <si>
    <t>D-13927</t>
  </si>
  <si>
    <t>D-13928</t>
  </si>
  <si>
    <t>D-13929</t>
  </si>
  <si>
    <t>D-13930</t>
  </si>
  <si>
    <t>D-13931</t>
  </si>
  <si>
    <t>D-13932</t>
  </si>
  <si>
    <t>D-13933</t>
  </si>
  <si>
    <t>D-13934</t>
  </si>
  <si>
    <t>D-13935</t>
  </si>
  <si>
    <t>D-13936</t>
  </si>
  <si>
    <t>D-13937</t>
  </si>
  <si>
    <t>D-13938</t>
  </si>
  <si>
    <t>D-13939</t>
  </si>
  <si>
    <t>D-13940</t>
  </si>
  <si>
    <t>D-13941</t>
  </si>
  <si>
    <t>D-13942</t>
  </si>
  <si>
    <t>D-13943</t>
  </si>
  <si>
    <t>D-13944</t>
  </si>
  <si>
    <t>D-13945</t>
  </si>
  <si>
    <t>D-13946</t>
  </si>
  <si>
    <t>D-13947</t>
  </si>
  <si>
    <t>D-13948</t>
  </si>
  <si>
    <t>D-13949</t>
  </si>
  <si>
    <t>D-13950</t>
  </si>
  <si>
    <t>D-13951</t>
  </si>
  <si>
    <t>D-13952</t>
  </si>
  <si>
    <t>D-13953</t>
  </si>
  <si>
    <t>D-13954</t>
  </si>
  <si>
    <t>D-13955</t>
  </si>
  <si>
    <t>D-13956</t>
  </si>
  <si>
    <t>D-13957</t>
  </si>
  <si>
    <t>D-13958</t>
  </si>
  <si>
    <t>D-13959</t>
  </si>
  <si>
    <t>D-13960</t>
  </si>
  <si>
    <t>D-13961</t>
  </si>
  <si>
    <t>D-13962</t>
  </si>
  <si>
    <t>D-13963</t>
  </si>
  <si>
    <t>D-13964</t>
  </si>
  <si>
    <t>D-13965</t>
  </si>
  <si>
    <t>D-13966</t>
  </si>
  <si>
    <t>D-13967</t>
  </si>
  <si>
    <t>D-13968</t>
  </si>
  <si>
    <t>D-13969</t>
  </si>
  <si>
    <t>D-13970</t>
  </si>
  <si>
    <t>D-13971</t>
  </si>
  <si>
    <t>D-13972</t>
  </si>
  <si>
    <t>D-13973</t>
  </si>
  <si>
    <t>D-13974</t>
  </si>
  <si>
    <t>D-13975</t>
  </si>
  <si>
    <t>D-13976</t>
  </si>
  <si>
    <t>D-13977</t>
  </si>
  <si>
    <t>D-13978</t>
  </si>
  <si>
    <t>D-13979</t>
  </si>
  <si>
    <t>D-13980</t>
  </si>
  <si>
    <t>D-13981</t>
  </si>
  <si>
    <t>D-13982</t>
  </si>
  <si>
    <t>D-13983</t>
  </si>
  <si>
    <t>D-13984</t>
  </si>
  <si>
    <t>se sustituya x la 13986</t>
  </si>
  <si>
    <t>D-13985</t>
  </si>
  <si>
    <t>D-13986</t>
  </si>
  <si>
    <t>D-13987</t>
  </si>
  <si>
    <t>D-13988</t>
  </si>
  <si>
    <t>D-13989</t>
  </si>
  <si>
    <t>D-13990</t>
  </si>
  <si>
    <t>D-13991</t>
  </si>
  <si>
    <t>D-13992</t>
  </si>
  <si>
    <t>D-13993</t>
  </si>
  <si>
    <t>D-13994</t>
  </si>
  <si>
    <t>D-13995</t>
  </si>
  <si>
    <t>D-13996</t>
  </si>
  <si>
    <t>D-13997</t>
  </si>
  <si>
    <t>D-13998</t>
  </si>
  <si>
    <t>D-13999</t>
  </si>
  <si>
    <t>17-Oct-22--18-Oct-22</t>
  </si>
  <si>
    <t>D-14000</t>
  </si>
  <si>
    <t>D-14001</t>
  </si>
  <si>
    <t>D-14002</t>
  </si>
  <si>
    <t>D-14003</t>
  </si>
  <si>
    <t>D-14004</t>
  </si>
  <si>
    <t>D-14005</t>
  </si>
  <si>
    <t>D-14006</t>
  </si>
  <si>
    <t>D-14007</t>
  </si>
  <si>
    <r>
      <t>(816)ISRAEL HERNANDEZ MORENO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</si>
  <si>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D-14008</t>
  </si>
  <si>
    <t>D-14009</t>
  </si>
  <si>
    <t>D-14010</t>
  </si>
  <si>
    <t>D-14011</t>
  </si>
  <si>
    <t>D-14012</t>
  </si>
  <si>
    <t>D-14013</t>
  </si>
  <si>
    <t>D-14014</t>
  </si>
  <si>
    <t>D-14015</t>
  </si>
  <si>
    <t>D-14016</t>
  </si>
  <si>
    <t>D-14017</t>
  </si>
  <si>
    <t>D-14018</t>
  </si>
  <si>
    <t>D-14019</t>
  </si>
  <si>
    <t>D-14020</t>
  </si>
  <si>
    <t>D-14021</t>
  </si>
  <si>
    <t>D-14022</t>
  </si>
  <si>
    <t>D-14023</t>
  </si>
  <si>
    <t>D-14024</t>
  </si>
  <si>
    <t>D-14025</t>
  </si>
  <si>
    <t>D-14026</t>
  </si>
  <si>
    <t>D-14027</t>
  </si>
  <si>
    <t>D-14028</t>
  </si>
  <si>
    <t>D-14029</t>
  </si>
  <si>
    <t>D-14030</t>
  </si>
  <si>
    <t>D-14031</t>
  </si>
  <si>
    <t>D-14032</t>
  </si>
  <si>
    <t>D-14033</t>
  </si>
  <si>
    <t>D-14034</t>
  </si>
  <si>
    <t>D-14035</t>
  </si>
  <si>
    <t>D-14036</t>
  </si>
  <si>
    <t>D-14037</t>
  </si>
  <si>
    <t>D-14038</t>
  </si>
  <si>
    <t>D-14039</t>
  </si>
  <si>
    <t>D-14040</t>
  </si>
  <si>
    <t>D-14041</t>
  </si>
  <si>
    <t>D-14042</t>
  </si>
  <si>
    <t>D-14043</t>
  </si>
  <si>
    <t>D-14044</t>
  </si>
  <si>
    <t>D-14045</t>
  </si>
  <si>
    <t>D-14046</t>
  </si>
  <si>
    <t>D-14047</t>
  </si>
  <si>
    <t>D-14048</t>
  </si>
  <si>
    <t>D-14049</t>
  </si>
  <si>
    <r>
      <t xml:space="preserve">(790)POLLERIA TORRES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</si>
  <si>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D-14050</t>
  </si>
  <si>
    <t>17-Oct-22--20-Oct-22</t>
  </si>
  <si>
    <t>D-14051</t>
  </si>
  <si>
    <t>D-14052</t>
  </si>
  <si>
    <t>D-14053</t>
  </si>
  <si>
    <t>D-14054</t>
  </si>
  <si>
    <t>D-14055</t>
  </si>
  <si>
    <t>D-14056</t>
  </si>
  <si>
    <t>D-14057</t>
  </si>
  <si>
    <t>D-14058</t>
  </si>
  <si>
    <t>D-14059</t>
  </si>
  <si>
    <t>D-14060</t>
  </si>
  <si>
    <t>D-14061</t>
  </si>
  <si>
    <t>D-14062</t>
  </si>
  <si>
    <t>D-14063</t>
  </si>
  <si>
    <t>D-14064</t>
  </si>
  <si>
    <t>D-14065</t>
  </si>
  <si>
    <t>D-14066</t>
  </si>
  <si>
    <t>D-14067</t>
  </si>
  <si>
    <t>D-14068</t>
  </si>
  <si>
    <t>18-Oct-22--19-Oct-22</t>
  </si>
  <si>
    <t>D-14069</t>
  </si>
  <si>
    <t>D-14070</t>
  </si>
  <si>
    <t>D-14071</t>
  </si>
  <si>
    <t>D-14072</t>
  </si>
  <si>
    <t>D-14073</t>
  </si>
  <si>
    <t>D-14074</t>
  </si>
  <si>
    <t>D-14075</t>
  </si>
  <si>
    <t>D-14076</t>
  </si>
  <si>
    <t>D-14077</t>
  </si>
  <si>
    <t>D-14078</t>
  </si>
  <si>
    <t>D-14079</t>
  </si>
  <si>
    <t>D-14080</t>
  </si>
  <si>
    <t>D-14081</t>
  </si>
  <si>
    <t>D-14082</t>
  </si>
  <si>
    <t>D-14083</t>
  </si>
  <si>
    <t>D-14084</t>
  </si>
  <si>
    <t>D-14085</t>
  </si>
  <si>
    <t>D-14086</t>
  </si>
  <si>
    <t>D-14087</t>
  </si>
  <si>
    <t>D-14088</t>
  </si>
  <si>
    <t>D-14089</t>
  </si>
  <si>
    <t>D-14090</t>
  </si>
  <si>
    <t>D-14091</t>
  </si>
  <si>
    <t>D-14092</t>
  </si>
  <si>
    <t>D-14093</t>
  </si>
  <si>
    <t>D-14094</t>
  </si>
  <si>
    <t>D-14095</t>
  </si>
  <si>
    <t>D-14096</t>
  </si>
  <si>
    <t>D-14097</t>
  </si>
  <si>
    <t>D-14098</t>
  </si>
  <si>
    <t>D-14099</t>
  </si>
  <si>
    <t>D-14100</t>
  </si>
  <si>
    <t>D-14101</t>
  </si>
  <si>
    <t>D-14102</t>
  </si>
  <si>
    <t>D-14103</t>
  </si>
  <si>
    <t>D-14104</t>
  </si>
  <si>
    <t>D-14105</t>
  </si>
  <si>
    <t>D-14106</t>
  </si>
  <si>
    <t>D-14107</t>
  </si>
  <si>
    <t>D-14108</t>
  </si>
  <si>
    <t>D-14109</t>
  </si>
  <si>
    <t>D-14110</t>
  </si>
  <si>
    <t>D-14111</t>
  </si>
  <si>
    <t>D-14112</t>
  </si>
  <si>
    <t>D-14113</t>
  </si>
  <si>
    <t>D-14114</t>
  </si>
  <si>
    <t>D-14115</t>
  </si>
  <si>
    <t>D-14116</t>
  </si>
  <si>
    <t>D-14117</t>
  </si>
  <si>
    <t>D-14118</t>
  </si>
  <si>
    <t>D-14119</t>
  </si>
  <si>
    <t>D-14120</t>
  </si>
  <si>
    <t>D-14121</t>
  </si>
  <si>
    <t>D-14122</t>
  </si>
  <si>
    <t>D-14123</t>
  </si>
  <si>
    <t>D-14124</t>
  </si>
  <si>
    <t>D-14125</t>
  </si>
  <si>
    <t>D-14126</t>
  </si>
  <si>
    <t>D-14127</t>
  </si>
  <si>
    <t>D-14128</t>
  </si>
  <si>
    <t>D-14129</t>
  </si>
  <si>
    <t>D-14130</t>
  </si>
  <si>
    <t>D-14131</t>
  </si>
  <si>
    <t>D-14132</t>
  </si>
  <si>
    <t>D-14133</t>
  </si>
  <si>
    <t>D-14134</t>
  </si>
  <si>
    <t>D-14135</t>
  </si>
  <si>
    <t>D-14136</t>
  </si>
  <si>
    <t>D-14137</t>
  </si>
  <si>
    <t>D-14138</t>
  </si>
  <si>
    <t>D-14139</t>
  </si>
  <si>
    <t>D-14140</t>
  </si>
  <si>
    <t>D-14141</t>
  </si>
  <si>
    <t>D-14142</t>
  </si>
  <si>
    <t>D-14143</t>
  </si>
  <si>
    <t>D-14144</t>
  </si>
  <si>
    <t>D-14145</t>
  </si>
  <si>
    <t>D-14146</t>
  </si>
  <si>
    <t>D-14147</t>
  </si>
  <si>
    <t>D-14148</t>
  </si>
  <si>
    <t>D-14149</t>
  </si>
  <si>
    <t>D-14150</t>
  </si>
  <si>
    <t>D-14151</t>
  </si>
  <si>
    <t>D-14152</t>
  </si>
  <si>
    <t>D-14153</t>
  </si>
  <si>
    <t>D-14154</t>
  </si>
  <si>
    <t>D-14155</t>
  </si>
  <si>
    <t>D-14156</t>
  </si>
  <si>
    <t>D-14157</t>
  </si>
  <si>
    <t>D-14158</t>
  </si>
  <si>
    <t>D-14159</t>
  </si>
  <si>
    <t>D-14160</t>
  </si>
  <si>
    <t>D-14161</t>
  </si>
  <si>
    <t>D-14162</t>
  </si>
  <si>
    <t>D-14163</t>
  </si>
  <si>
    <t>D-14164</t>
  </si>
  <si>
    <t>D-14165</t>
  </si>
  <si>
    <t>D-14166</t>
  </si>
  <si>
    <t>D-14167</t>
  </si>
  <si>
    <t>D-14168</t>
  </si>
  <si>
    <t>D-14169</t>
  </si>
  <si>
    <t>D-14170</t>
  </si>
  <si>
    <t>D-14171</t>
  </si>
  <si>
    <t>D-14172</t>
  </si>
  <si>
    <t>D-14173</t>
  </si>
  <si>
    <t>D-14174</t>
  </si>
  <si>
    <t>D-14175</t>
  </si>
  <si>
    <t>D-14176</t>
  </si>
  <si>
    <t>D-14177</t>
  </si>
  <si>
    <t>D-14178</t>
  </si>
  <si>
    <t>D-14179</t>
  </si>
  <si>
    <t>D-14180</t>
  </si>
  <si>
    <t>D-14181</t>
  </si>
  <si>
    <t>D-14182</t>
  </si>
  <si>
    <t>D-14183</t>
  </si>
  <si>
    <t>D-14184</t>
  </si>
  <si>
    <t>D-14185</t>
  </si>
  <si>
    <t>D-14186</t>
  </si>
  <si>
    <t>D-14187</t>
  </si>
  <si>
    <t>19-Oct-22--20-Oct-22</t>
  </si>
  <si>
    <t>D-14188</t>
  </si>
  <si>
    <t>D-14189</t>
  </si>
  <si>
    <t>D-14190</t>
  </si>
  <si>
    <t>D-14191</t>
  </si>
  <si>
    <t>D-14192</t>
  </si>
  <si>
    <t>D-14193</t>
  </si>
  <si>
    <t>D-14194</t>
  </si>
  <si>
    <t>D-14195</t>
  </si>
  <si>
    <t>D-14196</t>
  </si>
  <si>
    <t>D-14197</t>
  </si>
  <si>
    <t>D-14198</t>
  </si>
  <si>
    <t>D-14199</t>
  </si>
  <si>
    <t>D-14200</t>
  </si>
  <si>
    <t>D-14201</t>
  </si>
  <si>
    <t>D-14202</t>
  </si>
  <si>
    <t>D-14203</t>
  </si>
  <si>
    <t>D-14204</t>
  </si>
  <si>
    <t>D-14205</t>
  </si>
  <si>
    <t>D-14206</t>
  </si>
  <si>
    <t>D-14207</t>
  </si>
  <si>
    <t>D-14208</t>
  </si>
  <si>
    <t>D-14209</t>
  </si>
  <si>
    <t>D-14210</t>
  </si>
  <si>
    <t>D-14211</t>
  </si>
  <si>
    <t>D-14212</t>
  </si>
  <si>
    <t>D-14213</t>
  </si>
  <si>
    <t>D-14214</t>
  </si>
  <si>
    <t>D-14215</t>
  </si>
  <si>
    <t>D-14216</t>
  </si>
  <si>
    <t>D-14217</t>
  </si>
  <si>
    <t>D-14218</t>
  </si>
  <si>
    <t>D-14219</t>
  </si>
  <si>
    <t>D-14220</t>
  </si>
  <si>
    <t>D-14221</t>
  </si>
  <si>
    <t>D-14222</t>
  </si>
  <si>
    <t>D-14223</t>
  </si>
  <si>
    <t>D-14224</t>
  </si>
  <si>
    <t>D-14225</t>
  </si>
  <si>
    <t>D-14226</t>
  </si>
  <si>
    <t>D-14227</t>
  </si>
  <si>
    <t>D-14228</t>
  </si>
  <si>
    <r>
      <t xml:space="preserve">(520)SERGIO JUQUILITA  </t>
    </r>
    <r>
      <rPr>
        <b/>
        <sz val="12"/>
        <color rgb="FFFF0000"/>
        <rFont val="Calibri"/>
        <family val="2"/>
        <scheme val="minor"/>
      </rPr>
      <t>CANCELADA</t>
    </r>
  </si>
  <si>
    <t>se sustituya x la 14229</t>
  </si>
  <si>
    <t>D-14229</t>
  </si>
  <si>
    <t>D-14230</t>
  </si>
  <si>
    <t>D-14231</t>
  </si>
  <si>
    <t>D-14232</t>
  </si>
  <si>
    <t>D-14233</t>
  </si>
  <si>
    <t>D-14234</t>
  </si>
  <si>
    <t>D-14235</t>
  </si>
  <si>
    <t>D-14236</t>
  </si>
  <si>
    <t>D-14237</t>
  </si>
  <si>
    <t>D-14238</t>
  </si>
  <si>
    <t>D-14239</t>
  </si>
  <si>
    <t>D-14240</t>
  </si>
  <si>
    <t>D-14241</t>
  </si>
  <si>
    <t>D-14242</t>
  </si>
  <si>
    <t>D-14243</t>
  </si>
  <si>
    <t>D-14244</t>
  </si>
  <si>
    <t>D-14245</t>
  </si>
  <si>
    <t>D-14246</t>
  </si>
  <si>
    <t>D-14247</t>
  </si>
  <si>
    <t>D-14248</t>
  </si>
  <si>
    <t>D-14249</t>
  </si>
  <si>
    <t>D-14250</t>
  </si>
  <si>
    <t>D-14251</t>
  </si>
  <si>
    <t>D-14252</t>
  </si>
  <si>
    <t>D-14253</t>
  </si>
  <si>
    <t>D-14254</t>
  </si>
  <si>
    <t>D-14255</t>
  </si>
  <si>
    <t>D-14256</t>
  </si>
  <si>
    <t>D-14257</t>
  </si>
  <si>
    <t>D-14258</t>
  </si>
  <si>
    <t>se sustituya x la 14262</t>
  </si>
  <si>
    <t>D-14259</t>
  </si>
  <si>
    <t>D-14260</t>
  </si>
  <si>
    <t>D-14261</t>
  </si>
  <si>
    <t>D-14262</t>
  </si>
  <si>
    <t>D-14263</t>
  </si>
  <si>
    <t>D-14264</t>
  </si>
  <si>
    <t>D-14265</t>
  </si>
  <si>
    <t>D-14266</t>
  </si>
  <si>
    <t>D-14267</t>
  </si>
  <si>
    <t>D-14268</t>
  </si>
  <si>
    <t>D-14269</t>
  </si>
  <si>
    <t>D-14270</t>
  </si>
  <si>
    <t>D-14271</t>
  </si>
  <si>
    <t>D-14272</t>
  </si>
  <si>
    <t>D-14273</t>
  </si>
  <si>
    <t>D-14274</t>
  </si>
  <si>
    <t>D-14275</t>
  </si>
  <si>
    <t>D-14276</t>
  </si>
  <si>
    <t>D-14277</t>
  </si>
  <si>
    <t>D-14278</t>
  </si>
  <si>
    <t>D-14279</t>
  </si>
  <si>
    <t>D-14280</t>
  </si>
  <si>
    <t>D-14281</t>
  </si>
  <si>
    <t>D-14282</t>
  </si>
  <si>
    <t>D-14283</t>
  </si>
  <si>
    <t>20-Oct-22--22-Oct-22</t>
  </si>
  <si>
    <t>D-14284</t>
  </si>
  <si>
    <t>D-14285</t>
  </si>
  <si>
    <t>D-14286</t>
  </si>
  <si>
    <t>D-14287</t>
  </si>
  <si>
    <t>D-14288</t>
  </si>
  <si>
    <t>D-14289</t>
  </si>
  <si>
    <t>D-14290</t>
  </si>
  <si>
    <t>D-14291</t>
  </si>
  <si>
    <t>D-14292</t>
  </si>
  <si>
    <t>D-14293</t>
  </si>
  <si>
    <t>D-14294</t>
  </si>
  <si>
    <t>D-14295</t>
  </si>
  <si>
    <t>D-14296</t>
  </si>
  <si>
    <t>D-14297</t>
  </si>
  <si>
    <t>D-14298</t>
  </si>
  <si>
    <t>D-14299</t>
  </si>
  <si>
    <t>D-14300</t>
  </si>
  <si>
    <t>D-14301</t>
  </si>
  <si>
    <t>20-Oct-22--21-Oct-22</t>
  </si>
  <si>
    <t>D-14302</t>
  </si>
  <si>
    <t>D-14303</t>
  </si>
  <si>
    <t>D-14304</t>
  </si>
  <si>
    <t>21-Oct-22--22-Oct-22</t>
  </si>
  <si>
    <t>D-14305</t>
  </si>
  <si>
    <t>D-14306</t>
  </si>
  <si>
    <t>D-14307</t>
  </si>
  <si>
    <t>D-14308</t>
  </si>
  <si>
    <t>D-14309</t>
  </si>
  <si>
    <t>D-14310</t>
  </si>
  <si>
    <t>D-14311</t>
  </si>
  <si>
    <t>D-14312</t>
  </si>
  <si>
    <t>D-14313</t>
  </si>
  <si>
    <t>D-14314</t>
  </si>
  <si>
    <t>D-14315</t>
  </si>
  <si>
    <t>D-14316</t>
  </si>
  <si>
    <t>D-14317</t>
  </si>
  <si>
    <t>D-14318</t>
  </si>
  <si>
    <t>D-14319</t>
  </si>
  <si>
    <t>D-14320</t>
  </si>
  <si>
    <t>D-14321</t>
  </si>
  <si>
    <t>D-14322</t>
  </si>
  <si>
    <t>D-14323</t>
  </si>
  <si>
    <t>D-14324</t>
  </si>
  <si>
    <t>D-14325</t>
  </si>
  <si>
    <t>D-14326</t>
  </si>
  <si>
    <t>D-14327</t>
  </si>
  <si>
    <t>D-14328</t>
  </si>
  <si>
    <t>D-14329</t>
  </si>
  <si>
    <t>D-14330</t>
  </si>
  <si>
    <t>D-14331</t>
  </si>
  <si>
    <t>D-14332</t>
  </si>
  <si>
    <t>D-14333</t>
  </si>
  <si>
    <t>D-14334</t>
  </si>
  <si>
    <t>D-14335</t>
  </si>
  <si>
    <t>D-14336</t>
  </si>
  <si>
    <t>D-14337</t>
  </si>
  <si>
    <t>D-14338</t>
  </si>
  <si>
    <t>D-14339</t>
  </si>
  <si>
    <t>D-14340</t>
  </si>
  <si>
    <t>D-14341</t>
  </si>
  <si>
    <t>D-14342</t>
  </si>
  <si>
    <t>D-14343</t>
  </si>
  <si>
    <t>D-14344</t>
  </si>
  <si>
    <t>D-14345</t>
  </si>
  <si>
    <t>D-14346</t>
  </si>
  <si>
    <t>D-14347</t>
  </si>
  <si>
    <t>D-14348</t>
  </si>
  <si>
    <t>D-14349</t>
  </si>
  <si>
    <t>21-Oct-22--24-Oct-22</t>
  </si>
  <si>
    <t>D-14350</t>
  </si>
  <si>
    <t>D-14351</t>
  </si>
  <si>
    <t>D-14352</t>
  </si>
  <si>
    <t>D-14353</t>
  </si>
  <si>
    <t>D-14354</t>
  </si>
  <si>
    <t>D-14355</t>
  </si>
  <si>
    <t>D-14356</t>
  </si>
  <si>
    <t>D-14357</t>
  </si>
  <si>
    <t>D-14358</t>
  </si>
  <si>
    <t>D-14359</t>
  </si>
  <si>
    <t>D-14360</t>
  </si>
  <si>
    <t>D-14361</t>
  </si>
  <si>
    <t>D-14362</t>
  </si>
  <si>
    <t>D-14363</t>
  </si>
  <si>
    <t>D-14364</t>
  </si>
  <si>
    <t>D-14365</t>
  </si>
  <si>
    <t>D-14366</t>
  </si>
  <si>
    <t>D-14367</t>
  </si>
  <si>
    <t>D-14368</t>
  </si>
  <si>
    <t>D-14369</t>
  </si>
  <si>
    <t>D-14370</t>
  </si>
  <si>
    <t>D-14371</t>
  </si>
  <si>
    <t>D-14372</t>
  </si>
  <si>
    <t>D-14373</t>
  </si>
  <si>
    <t>D-14374</t>
  </si>
  <si>
    <t>D-14375</t>
  </si>
  <si>
    <t>D-14376</t>
  </si>
  <si>
    <t>D-14377</t>
  </si>
  <si>
    <t>D-14378</t>
  </si>
  <si>
    <t>D-14379</t>
  </si>
  <si>
    <t>D-14380</t>
  </si>
  <si>
    <t>D-14381</t>
  </si>
  <si>
    <t>D-14382</t>
  </si>
  <si>
    <t>D-14383</t>
  </si>
  <si>
    <t>D-14384</t>
  </si>
  <si>
    <t>D-14385</t>
  </si>
  <si>
    <t>D-14386</t>
  </si>
  <si>
    <t>D-14387</t>
  </si>
  <si>
    <t>D-14388</t>
  </si>
  <si>
    <t>D-14389</t>
  </si>
  <si>
    <t>D-14390</t>
  </si>
  <si>
    <t>D-14391</t>
  </si>
  <si>
    <t>D-14392</t>
  </si>
  <si>
    <t>D-14393</t>
  </si>
  <si>
    <t>D-14394</t>
  </si>
  <si>
    <t>D-14395</t>
  </si>
  <si>
    <t>D-14396</t>
  </si>
  <si>
    <t>D-14397</t>
  </si>
  <si>
    <t>D-14398</t>
  </si>
  <si>
    <t>D-14399</t>
  </si>
  <si>
    <t>D-14400</t>
  </si>
  <si>
    <t>D-14401</t>
  </si>
  <si>
    <t>D-14402</t>
  </si>
  <si>
    <t>D-14403</t>
  </si>
  <si>
    <t>D-14404</t>
  </si>
  <si>
    <t>D-14405</t>
  </si>
  <si>
    <t>D-14406</t>
  </si>
  <si>
    <t>D-14407</t>
  </si>
  <si>
    <t>D-14408</t>
  </si>
  <si>
    <t>D-14409</t>
  </si>
  <si>
    <t>D-14410</t>
  </si>
  <si>
    <t>D-14411</t>
  </si>
  <si>
    <t>D-14412</t>
  </si>
  <si>
    <t>D-14413</t>
  </si>
  <si>
    <t>D-14414</t>
  </si>
  <si>
    <t>D-14415</t>
  </si>
  <si>
    <t>D-14416</t>
  </si>
  <si>
    <t>D-14417</t>
  </si>
  <si>
    <t>D-14418</t>
  </si>
  <si>
    <t>D-14419</t>
  </si>
  <si>
    <t>D-14420</t>
  </si>
  <si>
    <t>D-14421</t>
  </si>
  <si>
    <t>D-14422</t>
  </si>
  <si>
    <t>D-14423</t>
  </si>
  <si>
    <t>D-14424</t>
  </si>
  <si>
    <t>D-14425</t>
  </si>
  <si>
    <t>D-14426</t>
  </si>
  <si>
    <t>D-14427</t>
  </si>
  <si>
    <t>D-14428</t>
  </si>
  <si>
    <t>D-14429</t>
  </si>
  <si>
    <t>D-14430</t>
  </si>
  <si>
    <t>D-14431</t>
  </si>
  <si>
    <t>D-14432</t>
  </si>
  <si>
    <t>D-14433</t>
  </si>
  <si>
    <t>D-14434</t>
  </si>
  <si>
    <t>D-14435</t>
  </si>
  <si>
    <t>D-14436</t>
  </si>
  <si>
    <t>D-14437</t>
  </si>
  <si>
    <t>D-14438</t>
  </si>
  <si>
    <t>D-14439</t>
  </si>
  <si>
    <t>D-14440</t>
  </si>
  <si>
    <t>D-14441</t>
  </si>
  <si>
    <t>D-14442</t>
  </si>
  <si>
    <t>D-14443</t>
  </si>
  <si>
    <t>D-14444</t>
  </si>
  <si>
    <t>D-14445</t>
  </si>
  <si>
    <t>D-14446</t>
  </si>
  <si>
    <t>D-14447</t>
  </si>
  <si>
    <t>D-14448</t>
  </si>
  <si>
    <t>D-14449</t>
  </si>
  <si>
    <t>D-14450</t>
  </si>
  <si>
    <t>D-14451</t>
  </si>
  <si>
    <t>D-14452</t>
  </si>
  <si>
    <t>D-14453</t>
  </si>
  <si>
    <t>D-14454</t>
  </si>
  <si>
    <t>D-14455</t>
  </si>
  <si>
    <t>D-14456</t>
  </si>
  <si>
    <t>D-14457</t>
  </si>
  <si>
    <t>D-14458</t>
  </si>
  <si>
    <t>D-14459</t>
  </si>
  <si>
    <t>se sustituya x la 14460</t>
  </si>
  <si>
    <t>D-14460</t>
  </si>
  <si>
    <t>D-14461</t>
  </si>
  <si>
    <t>D-14462</t>
  </si>
  <si>
    <t>D-14463</t>
  </si>
  <si>
    <t>D-14464</t>
  </si>
  <si>
    <t>D-14465</t>
  </si>
  <si>
    <t>D-14466</t>
  </si>
  <si>
    <t>D-14467</t>
  </si>
  <si>
    <t>D-14468</t>
  </si>
  <si>
    <t>D-14469</t>
  </si>
  <si>
    <t>D-14470</t>
  </si>
  <si>
    <t>D-14471</t>
  </si>
  <si>
    <t>D-14472</t>
  </si>
  <si>
    <t>D-14473</t>
  </si>
  <si>
    <t>D-14474</t>
  </si>
  <si>
    <t>D-14475</t>
  </si>
  <si>
    <t>D-14476</t>
  </si>
  <si>
    <t>D-14477</t>
  </si>
  <si>
    <t>D-14478</t>
  </si>
  <si>
    <t>D-14479</t>
  </si>
  <si>
    <t>D-14480</t>
  </si>
  <si>
    <t>D-14481</t>
  </si>
  <si>
    <t>D-14482</t>
  </si>
  <si>
    <t>D-14483</t>
  </si>
  <si>
    <t>D-14484</t>
  </si>
  <si>
    <t>D-14485</t>
  </si>
  <si>
    <t>D-14486</t>
  </si>
  <si>
    <t>D-14487</t>
  </si>
  <si>
    <t>D-14488</t>
  </si>
  <si>
    <t>D-14489</t>
  </si>
  <si>
    <t>D-14490</t>
  </si>
  <si>
    <t>D-14491</t>
  </si>
  <si>
    <t>D-14492</t>
  </si>
  <si>
    <t>D-14493</t>
  </si>
  <si>
    <t>D-14494</t>
  </si>
  <si>
    <t>D-14495</t>
  </si>
  <si>
    <t>D-14496</t>
  </si>
  <si>
    <t>D-14497</t>
  </si>
  <si>
    <t>D-14498</t>
  </si>
  <si>
    <t>D-14499</t>
  </si>
  <si>
    <t>D-14500</t>
  </si>
  <si>
    <t>D-14501</t>
  </si>
  <si>
    <t>22-Oct-22--23-Oct-22</t>
  </si>
  <si>
    <t>D-14502</t>
  </si>
  <si>
    <t>D-14503</t>
  </si>
  <si>
    <t>D-14504</t>
  </si>
  <si>
    <t>D-14505</t>
  </si>
  <si>
    <t>D-14506</t>
  </si>
  <si>
    <t>D-14507</t>
  </si>
  <si>
    <t>D-14508</t>
  </si>
  <si>
    <t>D-14509</t>
  </si>
  <si>
    <t>D-14510</t>
  </si>
  <si>
    <t>D-14511</t>
  </si>
  <si>
    <t>D-14512</t>
  </si>
  <si>
    <t>se sustituya x la 14516</t>
  </si>
  <si>
    <t>D-14513</t>
  </si>
  <si>
    <t>D-14514</t>
  </si>
  <si>
    <t>D-14515</t>
  </si>
  <si>
    <t>D-14516</t>
  </si>
  <si>
    <t>D-14517</t>
  </si>
  <si>
    <t>D-14518</t>
  </si>
  <si>
    <t>D-14519</t>
  </si>
  <si>
    <t>D-14520</t>
  </si>
  <si>
    <t>D-14521</t>
  </si>
  <si>
    <t>D-14522</t>
  </si>
  <si>
    <t>D-14523</t>
  </si>
  <si>
    <t>D-14524</t>
  </si>
  <si>
    <t>D-14525</t>
  </si>
  <si>
    <t>D-14526</t>
  </si>
  <si>
    <t>D-14527</t>
  </si>
  <si>
    <t>D-14528</t>
  </si>
  <si>
    <t>D-14529</t>
  </si>
  <si>
    <t>D-14530</t>
  </si>
  <si>
    <t>D-14531</t>
  </si>
  <si>
    <t>D-14532</t>
  </si>
  <si>
    <t>D-14533</t>
  </si>
  <si>
    <t>D-14534</t>
  </si>
  <si>
    <t>D-14535</t>
  </si>
  <si>
    <t>D-14536</t>
  </si>
  <si>
    <t>D-14537</t>
  </si>
  <si>
    <t>D-14538</t>
  </si>
  <si>
    <t>D-14539</t>
  </si>
  <si>
    <t>D-14540</t>
  </si>
  <si>
    <t>D-14541</t>
  </si>
  <si>
    <t>24-Oct-22--28-Oct-22</t>
  </si>
  <si>
    <t>D-14542</t>
  </si>
  <si>
    <t>D-14543</t>
  </si>
  <si>
    <t>D-14544</t>
  </si>
  <si>
    <t>D-14545</t>
  </si>
  <si>
    <t>D-14546</t>
  </si>
  <si>
    <t>D-14547</t>
  </si>
  <si>
    <t>D-14548</t>
  </si>
  <si>
    <t>D-14549</t>
  </si>
  <si>
    <t>D-14550</t>
  </si>
  <si>
    <t>D-14551</t>
  </si>
  <si>
    <t>D-14552</t>
  </si>
  <si>
    <t>D-14553</t>
  </si>
  <si>
    <t>D-14554</t>
  </si>
  <si>
    <t>D-14555</t>
  </si>
  <si>
    <t>D-14556</t>
  </si>
  <si>
    <t>D-14557</t>
  </si>
  <si>
    <t>D-14558</t>
  </si>
  <si>
    <t>D-14559</t>
  </si>
  <si>
    <t>D-14560</t>
  </si>
  <si>
    <t>D-14561</t>
  </si>
  <si>
    <t>D-14562</t>
  </si>
  <si>
    <t>D-14563</t>
  </si>
  <si>
    <t>D-14564</t>
  </si>
  <si>
    <t>D-14565</t>
  </si>
  <si>
    <t>D-14566</t>
  </si>
  <si>
    <t>D-14567</t>
  </si>
  <si>
    <t>D-14568</t>
  </si>
  <si>
    <t>D-14569</t>
  </si>
  <si>
    <t>D-14570</t>
  </si>
  <si>
    <t>D-14571</t>
  </si>
  <si>
    <t>D-14572</t>
  </si>
  <si>
    <t>D-14573</t>
  </si>
  <si>
    <t>D-14574</t>
  </si>
  <si>
    <t>D-14575</t>
  </si>
  <si>
    <t>D-14576</t>
  </si>
  <si>
    <t>D-14577</t>
  </si>
  <si>
    <t>D-14578</t>
  </si>
  <si>
    <t>D-14579</t>
  </si>
  <si>
    <t>D-14580</t>
  </si>
  <si>
    <t>D-14581</t>
  </si>
  <si>
    <t>D-14582</t>
  </si>
  <si>
    <t>D-14583</t>
  </si>
  <si>
    <t>D-14584</t>
  </si>
  <si>
    <t>D-14585</t>
  </si>
  <si>
    <t>D-14586</t>
  </si>
  <si>
    <t>D-14587</t>
  </si>
  <si>
    <t>D-14588</t>
  </si>
  <si>
    <t>D-14589</t>
  </si>
  <si>
    <t>D-14590</t>
  </si>
  <si>
    <t>D-14591</t>
  </si>
  <si>
    <t>D-14592</t>
  </si>
  <si>
    <t>D-14593</t>
  </si>
  <si>
    <t>D-14594</t>
  </si>
  <si>
    <r>
      <t xml:space="preserve">(359)CATALINA IRMA DOMINGUEZ  </t>
    </r>
    <r>
      <rPr>
        <b/>
        <sz val="12"/>
        <color rgb="FFFF0000"/>
        <rFont val="Calibri"/>
        <family val="2"/>
        <scheme val="minor"/>
      </rPr>
      <t>CANCELADA</t>
    </r>
  </si>
  <si>
    <t>D-14595</t>
  </si>
  <si>
    <t>D-14596</t>
  </si>
  <si>
    <t>D-14597</t>
  </si>
  <si>
    <t>D-14598</t>
  </si>
  <si>
    <t>D-14599</t>
  </si>
  <si>
    <t>D-14600</t>
  </si>
  <si>
    <t>D-14601</t>
  </si>
  <si>
    <t>D-14602</t>
  </si>
  <si>
    <t>D-14603</t>
  </si>
  <si>
    <t>D-14604</t>
  </si>
  <si>
    <t>D-14605</t>
  </si>
  <si>
    <t>D-14606</t>
  </si>
  <si>
    <t>D-14607</t>
  </si>
  <si>
    <t>D-14608</t>
  </si>
  <si>
    <t>(740)DISTRIBUIDORA PEPE FILETE DE PUEBLA S.A DE C.V</t>
  </si>
  <si>
    <t>D-14609</t>
  </si>
  <si>
    <t>D-14610</t>
  </si>
  <si>
    <t>D-14611</t>
  </si>
  <si>
    <t>D-14612</t>
  </si>
  <si>
    <t>D-14613</t>
  </si>
  <si>
    <t>D-14614</t>
  </si>
  <si>
    <t>23-Oct-22--24-Oct-22--26-Oct-22</t>
  </si>
  <si>
    <t>D-14615</t>
  </si>
  <si>
    <t>D-14616</t>
  </si>
  <si>
    <t>D-14617</t>
  </si>
  <si>
    <t>D-14618</t>
  </si>
  <si>
    <t>D-14619</t>
  </si>
  <si>
    <t>D-14620</t>
  </si>
  <si>
    <t>24-Oct-22--25-Oct-22</t>
  </si>
  <si>
    <t>D-14621</t>
  </si>
  <si>
    <t>D-14622</t>
  </si>
  <si>
    <t>D-14623</t>
  </si>
  <si>
    <t>D-14624</t>
  </si>
  <si>
    <t>D-14625</t>
  </si>
  <si>
    <t>D-14626</t>
  </si>
  <si>
    <t>D-14627</t>
  </si>
  <si>
    <r>
      <t xml:space="preserve">(724)CARNICERIA DELI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</si>
  <si>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D-14628</t>
  </si>
  <si>
    <t>D-14629</t>
  </si>
  <si>
    <t>D-14630</t>
  </si>
  <si>
    <t>D-14631</t>
  </si>
  <si>
    <t>D-14632</t>
  </si>
  <si>
    <t>D-14633</t>
  </si>
  <si>
    <t>D-14634</t>
  </si>
  <si>
    <t>D-14635</t>
  </si>
  <si>
    <t>D-14636</t>
  </si>
  <si>
    <t>D-14637</t>
  </si>
  <si>
    <t>D-14638</t>
  </si>
  <si>
    <t>D-14639</t>
  </si>
  <si>
    <t>D-14640</t>
  </si>
  <si>
    <r>
      <t xml:space="preserve">(739)CARNICERIA RASTRO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</si>
  <si>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D-14641</t>
  </si>
  <si>
    <t>D-14642</t>
  </si>
  <si>
    <t>D-14643</t>
  </si>
  <si>
    <t>D-14644</t>
  </si>
  <si>
    <t>D-14645</t>
  </si>
  <si>
    <t>D-14646</t>
  </si>
  <si>
    <t>D-14647</t>
  </si>
  <si>
    <t xml:space="preserve">23-Oct-22--24-Oct-22  </t>
  </si>
  <si>
    <t>D-14648</t>
  </si>
  <si>
    <t>D-14649</t>
  </si>
  <si>
    <t>D-14650</t>
  </si>
  <si>
    <t>D-14651</t>
  </si>
  <si>
    <t>D-14652</t>
  </si>
  <si>
    <r>
      <t xml:space="preserve">(646)SANTIAGO HERRADURA </t>
    </r>
    <r>
      <rPr>
        <b/>
        <sz val="12"/>
        <color rgb="FFFF0000"/>
        <rFont val="Calibri"/>
        <family val="2"/>
        <scheme val="minor"/>
      </rPr>
      <t>CANCELADA</t>
    </r>
  </si>
  <si>
    <t>D-14653</t>
  </si>
  <si>
    <t>D-14654</t>
  </si>
  <si>
    <t>D-14655</t>
  </si>
  <si>
    <t>D-14656</t>
  </si>
  <si>
    <t>D-14657</t>
  </si>
  <si>
    <t>D-14658</t>
  </si>
  <si>
    <t>D-14659</t>
  </si>
  <si>
    <t>D-14660</t>
  </si>
  <si>
    <t>D-14661</t>
  </si>
  <si>
    <t>D-14662</t>
  </si>
  <si>
    <t>D-14663</t>
  </si>
  <si>
    <t>D-14664</t>
  </si>
  <si>
    <t>D-14665</t>
  </si>
  <si>
    <t>D-14666</t>
  </si>
  <si>
    <t>D-14667</t>
  </si>
  <si>
    <t>D-14668</t>
  </si>
  <si>
    <t>D-14669</t>
  </si>
  <si>
    <t>D-14670</t>
  </si>
  <si>
    <t>D-14671</t>
  </si>
  <si>
    <t>D-14672</t>
  </si>
  <si>
    <t>D-14673</t>
  </si>
  <si>
    <t>D-14674</t>
  </si>
  <si>
    <t>D-14675</t>
  </si>
  <si>
    <t>D-14676</t>
  </si>
  <si>
    <t>D-14677</t>
  </si>
  <si>
    <t>D-14678</t>
  </si>
  <si>
    <t>D-14679</t>
  </si>
  <si>
    <t>D-14680</t>
  </si>
  <si>
    <t>D-14681</t>
  </si>
  <si>
    <t>D-14682</t>
  </si>
  <si>
    <t>D-14683</t>
  </si>
  <si>
    <t>D-14684</t>
  </si>
  <si>
    <t>D-14685</t>
  </si>
  <si>
    <t>D-14686</t>
  </si>
  <si>
    <t>D-14687</t>
  </si>
  <si>
    <t>D-14688</t>
  </si>
  <si>
    <t>D-14689</t>
  </si>
  <si>
    <t>D-14690</t>
  </si>
  <si>
    <t>D-14691</t>
  </si>
  <si>
    <t>D-14692</t>
  </si>
  <si>
    <t>D-14693</t>
  </si>
  <si>
    <t>D-14694</t>
  </si>
  <si>
    <t>D-14695</t>
  </si>
  <si>
    <t>D-14696</t>
  </si>
  <si>
    <t>D-14697</t>
  </si>
  <si>
    <t>D-14698</t>
  </si>
  <si>
    <t>D-14699</t>
  </si>
  <si>
    <t>D-14700</t>
  </si>
  <si>
    <t>D-14701</t>
  </si>
  <si>
    <t>D-14702</t>
  </si>
  <si>
    <t>D-14703</t>
  </si>
  <si>
    <t>D-14704</t>
  </si>
  <si>
    <t>D-14705</t>
  </si>
  <si>
    <t>D-14706</t>
  </si>
  <si>
    <t>D-14707</t>
  </si>
  <si>
    <t>D-14708</t>
  </si>
  <si>
    <t>D-14709</t>
  </si>
  <si>
    <t>D-14710</t>
  </si>
  <si>
    <t>D-14711</t>
  </si>
  <si>
    <t>D-14712</t>
  </si>
  <si>
    <t>D-14713</t>
  </si>
  <si>
    <r>
      <t xml:space="preserve">(886)PASTORCITO 1 NUEVO  </t>
    </r>
    <r>
      <rPr>
        <b/>
        <sz val="12"/>
        <color rgb="FFFF0000"/>
        <rFont val="Calibri"/>
        <family val="2"/>
        <scheme val="minor"/>
      </rPr>
      <t>CANCELADA</t>
    </r>
  </si>
  <si>
    <t>D-14714</t>
  </si>
  <si>
    <t>D-14715</t>
  </si>
  <si>
    <t>D-14716</t>
  </si>
  <si>
    <t>D-14717</t>
  </si>
  <si>
    <t>D-14718</t>
  </si>
  <si>
    <t>D-14719</t>
  </si>
  <si>
    <t>D-14720</t>
  </si>
  <si>
    <t>D-14721</t>
  </si>
  <si>
    <t>D-14722</t>
  </si>
  <si>
    <t>D-14723</t>
  </si>
  <si>
    <t>D-14724</t>
  </si>
  <si>
    <t>D-14725</t>
  </si>
  <si>
    <t>D-14726</t>
  </si>
  <si>
    <t>D-14727</t>
  </si>
  <si>
    <t>D-14728</t>
  </si>
  <si>
    <t>D-14729</t>
  </si>
  <si>
    <t>D-14730</t>
  </si>
  <si>
    <t>D-14731</t>
  </si>
  <si>
    <t>D-14732</t>
  </si>
  <si>
    <t>D-14733</t>
  </si>
  <si>
    <t>D-14734</t>
  </si>
  <si>
    <t>D-14735</t>
  </si>
  <si>
    <t>D-14736</t>
  </si>
  <si>
    <t>D-14737</t>
  </si>
  <si>
    <t>D-14738</t>
  </si>
  <si>
    <t>D-14739</t>
  </si>
  <si>
    <t>D-14740</t>
  </si>
  <si>
    <t>D-14741</t>
  </si>
  <si>
    <t>D-14742</t>
  </si>
  <si>
    <t>D-14743</t>
  </si>
  <si>
    <t>D-14744</t>
  </si>
  <si>
    <t>D-14745</t>
  </si>
  <si>
    <t>D-14746</t>
  </si>
  <si>
    <t>D-14747</t>
  </si>
  <si>
    <t>22-Oct-22--31-Oct-11</t>
  </si>
  <si>
    <t>D-14748</t>
  </si>
  <si>
    <t>D-14749</t>
  </si>
  <si>
    <t>D-14750</t>
  </si>
  <si>
    <t>D-14751</t>
  </si>
  <si>
    <t>D-14752</t>
  </si>
  <si>
    <t>D-14753</t>
  </si>
  <si>
    <r>
      <t xml:space="preserve">(466)GERMAN CEBADA SALAMANCA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</si>
  <si>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D-14754</t>
  </si>
  <si>
    <t>D-14755</t>
  </si>
  <si>
    <t>D-14756</t>
  </si>
  <si>
    <t>D-14757</t>
  </si>
  <si>
    <t>D-14758</t>
  </si>
  <si>
    <t>D-14759</t>
  </si>
  <si>
    <t>D-14760</t>
  </si>
  <si>
    <t>D-14761</t>
  </si>
  <si>
    <t>D-14762</t>
  </si>
  <si>
    <t>D-14763</t>
  </si>
  <si>
    <t>D-14764</t>
  </si>
  <si>
    <t>D-14765</t>
  </si>
  <si>
    <t>D-14766</t>
  </si>
  <si>
    <t>D-14767</t>
  </si>
  <si>
    <t>D-14768</t>
  </si>
  <si>
    <t>D-14769</t>
  </si>
  <si>
    <t>D-14770</t>
  </si>
  <si>
    <t>D-14771</t>
  </si>
  <si>
    <t>D-14772</t>
  </si>
  <si>
    <t>D-14773</t>
  </si>
  <si>
    <t>D-14774</t>
  </si>
  <si>
    <t>D-14775</t>
  </si>
  <si>
    <t>D-14776</t>
  </si>
  <si>
    <t>D-14777</t>
  </si>
  <si>
    <r>
      <t xml:space="preserve">(153)JUAN APANGO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</si>
  <si>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sustituya x la 14778</t>
  </si>
  <si>
    <t>D-14778</t>
  </si>
  <si>
    <t>D-14779</t>
  </si>
  <si>
    <t>D-14780</t>
  </si>
  <si>
    <t>D-14781</t>
  </si>
  <si>
    <t>D-14782</t>
  </si>
  <si>
    <t>D-14783</t>
  </si>
  <si>
    <t>D-14784</t>
  </si>
  <si>
    <t>D-14785</t>
  </si>
  <si>
    <t>D-14786</t>
  </si>
  <si>
    <t>D-14787</t>
  </si>
  <si>
    <t>D-14788</t>
  </si>
  <si>
    <t>D-14789</t>
  </si>
  <si>
    <t>D-14790</t>
  </si>
  <si>
    <t>D-14791</t>
  </si>
  <si>
    <t>D-14792</t>
  </si>
  <si>
    <t>D-14793</t>
  </si>
  <si>
    <t>D-14794</t>
  </si>
  <si>
    <t>D-14795</t>
  </si>
  <si>
    <t>D-14796</t>
  </si>
  <si>
    <t>D-14797</t>
  </si>
  <si>
    <t>D-14798</t>
  </si>
  <si>
    <t>D-14799</t>
  </si>
  <si>
    <t>D-14800</t>
  </si>
  <si>
    <t>D-14801</t>
  </si>
  <si>
    <t>D-14802</t>
  </si>
  <si>
    <t>D-14803</t>
  </si>
  <si>
    <t>D-14804</t>
  </si>
  <si>
    <t>26-Oct-22--27-Oct-22</t>
  </si>
  <si>
    <t>D-14805</t>
  </si>
  <si>
    <t>D-14806</t>
  </si>
  <si>
    <t>D-14807</t>
  </si>
  <si>
    <t>D-14808</t>
  </si>
  <si>
    <t>D-14809</t>
  </si>
  <si>
    <t>D-14810</t>
  </si>
  <si>
    <t>D-14811</t>
  </si>
  <si>
    <t>D-14812</t>
  </si>
  <si>
    <t>D-14813</t>
  </si>
  <si>
    <t>D-14814</t>
  </si>
  <si>
    <t>25-Oct-22--26-Oct-22</t>
  </si>
  <si>
    <t>D-14815</t>
  </si>
  <si>
    <t>D-14816</t>
  </si>
  <si>
    <t>D-14817</t>
  </si>
  <si>
    <t>D-14818</t>
  </si>
  <si>
    <t>D-14819</t>
  </si>
  <si>
    <t>D-14820</t>
  </si>
  <si>
    <t>D-14821</t>
  </si>
  <si>
    <t>D-14822</t>
  </si>
  <si>
    <t>D-14823</t>
  </si>
  <si>
    <t>D-14824</t>
  </si>
  <si>
    <t>D-14825</t>
  </si>
  <si>
    <t>D-14826</t>
  </si>
  <si>
    <t>D-14827</t>
  </si>
  <si>
    <t>D-14828</t>
  </si>
  <si>
    <r>
      <t xml:space="preserve">(775)ANDRES AVILA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</si>
  <si>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D-14829</t>
  </si>
  <si>
    <t>D-14830</t>
  </si>
  <si>
    <t>D-14831</t>
  </si>
  <si>
    <t>D-14832</t>
  </si>
  <si>
    <t>D-14833</t>
  </si>
  <si>
    <t>D-14834</t>
  </si>
  <si>
    <t>D-14835</t>
  </si>
  <si>
    <t>D-14836</t>
  </si>
  <si>
    <t>D-14837</t>
  </si>
  <si>
    <t>D-14838</t>
  </si>
  <si>
    <t>D-14839</t>
  </si>
  <si>
    <t>D-14840</t>
  </si>
  <si>
    <t>D-14841</t>
  </si>
  <si>
    <t>D-14842</t>
  </si>
  <si>
    <t>D-14843</t>
  </si>
  <si>
    <t>D-14844</t>
  </si>
  <si>
    <t>D-14845</t>
  </si>
  <si>
    <t>D-14846</t>
  </si>
  <si>
    <t>D-14847</t>
  </si>
  <si>
    <t>D-14848</t>
  </si>
  <si>
    <t>D-14849</t>
  </si>
  <si>
    <t>D-14850</t>
  </si>
  <si>
    <t>D-14851</t>
  </si>
  <si>
    <t>D-14852</t>
  </si>
  <si>
    <t>D-14853</t>
  </si>
  <si>
    <t>D-14854</t>
  </si>
  <si>
    <t>D-14855</t>
  </si>
  <si>
    <t>D-14856</t>
  </si>
  <si>
    <t>D-14857</t>
  </si>
  <si>
    <t>D-14858</t>
  </si>
  <si>
    <t>D-14859</t>
  </si>
  <si>
    <t>D-14860</t>
  </si>
  <si>
    <t>D-14861</t>
  </si>
  <si>
    <t>D-14862</t>
  </si>
  <si>
    <t>D-14863</t>
  </si>
  <si>
    <t>D-14864</t>
  </si>
  <si>
    <t>D-14865</t>
  </si>
  <si>
    <t>D-14866</t>
  </si>
  <si>
    <t>D-14867</t>
  </si>
  <si>
    <t>D-14868</t>
  </si>
  <si>
    <t>D-14869</t>
  </si>
  <si>
    <t>D-14870</t>
  </si>
  <si>
    <t>D-14871</t>
  </si>
  <si>
    <t>D-14872</t>
  </si>
  <si>
    <t>D-14873</t>
  </si>
  <si>
    <t>D-14874</t>
  </si>
  <si>
    <t>D-14875</t>
  </si>
  <si>
    <t>D-14876</t>
  </si>
  <si>
    <t>D-14877</t>
  </si>
  <si>
    <t>D-14878</t>
  </si>
  <si>
    <t>D-14879</t>
  </si>
  <si>
    <t>D-14880</t>
  </si>
  <si>
    <t>D-14881</t>
  </si>
  <si>
    <t>D-14882</t>
  </si>
  <si>
    <t>D-14883</t>
  </si>
  <si>
    <t>D-14884</t>
  </si>
  <si>
    <t>D-14885</t>
  </si>
  <si>
    <t>D-14886</t>
  </si>
  <si>
    <t>D-14887</t>
  </si>
  <si>
    <t>D-14888</t>
  </si>
  <si>
    <t>D-14889</t>
  </si>
  <si>
    <t>D-14890</t>
  </si>
  <si>
    <t>D-14891</t>
  </si>
  <si>
    <t>D-14892</t>
  </si>
  <si>
    <r>
      <t xml:space="preserve">(257)ALFONSO RUIZ   </t>
    </r>
    <r>
      <rPr>
        <b/>
        <sz val="12"/>
        <color rgb="FFFF0000"/>
        <rFont val="Calibri"/>
        <family val="2"/>
        <scheme val="minor"/>
      </rPr>
      <t>CANCELADA</t>
    </r>
  </si>
  <si>
    <t>D-14893</t>
  </si>
  <si>
    <t>D-14894</t>
  </si>
  <si>
    <t>D-14895</t>
  </si>
  <si>
    <t>D-14896</t>
  </si>
  <si>
    <t>D-14897</t>
  </si>
  <si>
    <t>D-14898</t>
  </si>
  <si>
    <t>D-14899</t>
  </si>
  <si>
    <t>D-14900</t>
  </si>
  <si>
    <t>D-14901</t>
  </si>
  <si>
    <t>D-14902</t>
  </si>
  <si>
    <t>D-14903</t>
  </si>
  <si>
    <t>D-14904</t>
  </si>
  <si>
    <t>D-14905</t>
  </si>
  <si>
    <t>D-14906</t>
  </si>
  <si>
    <t>D-14907</t>
  </si>
  <si>
    <t>D-14908</t>
  </si>
  <si>
    <t>D-14909</t>
  </si>
  <si>
    <r>
      <t>(93)ALB&amp;CIA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</si>
  <si>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D-14910</t>
  </si>
  <si>
    <t>D-14911</t>
  </si>
  <si>
    <t>D-14912</t>
  </si>
  <si>
    <t>D-14913</t>
  </si>
  <si>
    <t>D-14914</t>
  </si>
  <si>
    <t>D-14915</t>
  </si>
  <si>
    <t>D-14916</t>
  </si>
  <si>
    <t>D-14917</t>
  </si>
  <si>
    <t>D-14918</t>
  </si>
  <si>
    <t>D-14919</t>
  </si>
  <si>
    <t>D-14920</t>
  </si>
  <si>
    <t>D-14921</t>
  </si>
  <si>
    <t>D-14922</t>
  </si>
  <si>
    <t>D-14923</t>
  </si>
  <si>
    <t>D-14924</t>
  </si>
  <si>
    <t>D-14925</t>
  </si>
  <si>
    <t>D-14926</t>
  </si>
  <si>
    <t>D-14927</t>
  </si>
  <si>
    <t>D-14928</t>
  </si>
  <si>
    <t>D-14929</t>
  </si>
  <si>
    <t>D-14930</t>
  </si>
  <si>
    <t>D-14931</t>
  </si>
  <si>
    <t>D-14932</t>
  </si>
  <si>
    <t>D-14933</t>
  </si>
  <si>
    <t>D-14934</t>
  </si>
  <si>
    <t>D-14935</t>
  </si>
  <si>
    <t>D-14936</t>
  </si>
  <si>
    <t>D-14937</t>
  </si>
  <si>
    <t>D-14938</t>
  </si>
  <si>
    <t>D-14939</t>
  </si>
  <si>
    <t>D-14940</t>
  </si>
  <si>
    <t>D-14941</t>
  </si>
  <si>
    <t>D-14942</t>
  </si>
  <si>
    <t>D-14943</t>
  </si>
  <si>
    <t>D-14944</t>
  </si>
  <si>
    <t>D-14945</t>
  </si>
  <si>
    <t>D-14946</t>
  </si>
  <si>
    <t>D-14947</t>
  </si>
  <si>
    <t>D-14948</t>
  </si>
  <si>
    <t>D-14949</t>
  </si>
  <si>
    <t>D-14950</t>
  </si>
  <si>
    <t>D-14951</t>
  </si>
  <si>
    <t>D-14952</t>
  </si>
  <si>
    <t>D-14953</t>
  </si>
  <si>
    <t>D-14954</t>
  </si>
  <si>
    <t>D-14955</t>
  </si>
  <si>
    <t>D-14956</t>
  </si>
  <si>
    <t>D-14957</t>
  </si>
  <si>
    <t>D-14958</t>
  </si>
  <si>
    <t>D-14959</t>
  </si>
  <si>
    <t>D-14960</t>
  </si>
  <si>
    <t>D-14961</t>
  </si>
  <si>
    <t>D-14962</t>
  </si>
  <si>
    <t>D-14963</t>
  </si>
  <si>
    <t>D-14964</t>
  </si>
  <si>
    <t>D-14965</t>
  </si>
  <si>
    <t>D-14966</t>
  </si>
  <si>
    <t>D-14967</t>
  </si>
  <si>
    <t>D-14968</t>
  </si>
  <si>
    <t>D-14969</t>
  </si>
  <si>
    <t>D-14970</t>
  </si>
  <si>
    <t>D-14971</t>
  </si>
  <si>
    <t>D-14972</t>
  </si>
  <si>
    <t>D-14973</t>
  </si>
  <si>
    <t>D-14974</t>
  </si>
  <si>
    <t>D-14975</t>
  </si>
  <si>
    <t>D-14976</t>
  </si>
  <si>
    <t>D-14977</t>
  </si>
  <si>
    <t>D-14978</t>
  </si>
  <si>
    <t>D-14979</t>
  </si>
  <si>
    <t>D-14980</t>
  </si>
  <si>
    <t>D-14981</t>
  </si>
  <si>
    <t>D-14982</t>
  </si>
  <si>
    <t>D-14983</t>
  </si>
  <si>
    <t>D-14984</t>
  </si>
  <si>
    <t>D-14985</t>
  </si>
  <si>
    <t>D-14986</t>
  </si>
  <si>
    <t>D-14987</t>
  </si>
  <si>
    <t>D-14988</t>
  </si>
  <si>
    <t>D-14989</t>
  </si>
  <si>
    <t>D-14990</t>
  </si>
  <si>
    <t>D-14991</t>
  </si>
  <si>
    <t>D-14992</t>
  </si>
  <si>
    <t>D-14993</t>
  </si>
  <si>
    <t>D-14994</t>
  </si>
  <si>
    <t>D-14995</t>
  </si>
  <si>
    <t>D-14996</t>
  </si>
  <si>
    <t>D-14997</t>
  </si>
  <si>
    <t>D-14998</t>
  </si>
  <si>
    <t>D-14999</t>
  </si>
  <si>
    <t>D-15000</t>
  </si>
  <si>
    <t>D-15001</t>
  </si>
  <si>
    <t>D-15002</t>
  </si>
  <si>
    <t>D-15003</t>
  </si>
  <si>
    <t>D-15004</t>
  </si>
  <si>
    <t>D-15005</t>
  </si>
  <si>
    <t>D-15006</t>
  </si>
  <si>
    <t>D-15007</t>
  </si>
  <si>
    <t>D-15008</t>
  </si>
  <si>
    <t>D-15009</t>
  </si>
  <si>
    <t>D-15010</t>
  </si>
  <si>
    <t>D-15011</t>
  </si>
  <si>
    <t>D-15012</t>
  </si>
  <si>
    <t>D-15013</t>
  </si>
  <si>
    <t>D-15014</t>
  </si>
  <si>
    <t>D-15015</t>
  </si>
  <si>
    <t>D-15016</t>
  </si>
  <si>
    <t>D-15017</t>
  </si>
  <si>
    <t>D-15018</t>
  </si>
  <si>
    <t>D-15019</t>
  </si>
  <si>
    <t>D-15020</t>
  </si>
  <si>
    <t>D-15021</t>
  </si>
  <si>
    <t>D-15022</t>
  </si>
  <si>
    <t>D-15023</t>
  </si>
  <si>
    <t>D-15024</t>
  </si>
  <si>
    <t>D-15025</t>
  </si>
  <si>
    <t>D-15026</t>
  </si>
  <si>
    <t>D-15027</t>
  </si>
  <si>
    <t>D-15028</t>
  </si>
  <si>
    <t>D-15029</t>
  </si>
  <si>
    <t>D-15030</t>
  </si>
  <si>
    <t>D-15031</t>
  </si>
  <si>
    <t>D-15032</t>
  </si>
  <si>
    <t>D-15033</t>
  </si>
  <si>
    <t>D-15034</t>
  </si>
  <si>
    <t>D-15035</t>
  </si>
  <si>
    <t>D-15036</t>
  </si>
  <si>
    <t>D-15037</t>
  </si>
  <si>
    <t>D-15038</t>
  </si>
  <si>
    <t>D-15039</t>
  </si>
  <si>
    <t>D-15040</t>
  </si>
  <si>
    <t>D-15041</t>
  </si>
  <si>
    <t>D-15042</t>
  </si>
  <si>
    <t>D-15043</t>
  </si>
  <si>
    <t>D-15044</t>
  </si>
  <si>
    <t>D-15045</t>
  </si>
  <si>
    <r>
      <t xml:space="preserve">(691)ISMAEL MARTINEZ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</si>
  <si>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D-15046</t>
  </si>
  <si>
    <t>D-15047</t>
  </si>
  <si>
    <t>D-15048</t>
  </si>
  <si>
    <t>D-15049</t>
  </si>
  <si>
    <t>D-15050</t>
  </si>
  <si>
    <t>D-15051</t>
  </si>
  <si>
    <t>D-15052</t>
  </si>
  <si>
    <t>D-15053</t>
  </si>
  <si>
    <r>
      <t xml:space="preserve">(81)JHONY  IXMATLAHUA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</si>
  <si>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D-15054</t>
  </si>
  <si>
    <r>
      <t xml:space="preserve">(81)JHONY  IXMATLAHUA  </t>
    </r>
    <r>
      <rPr>
        <b/>
        <sz val="12"/>
        <color rgb="FFFF0000"/>
        <rFont val="Calibri"/>
        <family val="2"/>
        <scheme val="minor"/>
      </rPr>
      <t>CANCELADA</t>
    </r>
  </si>
  <si>
    <t>D-15055</t>
  </si>
  <si>
    <t>D-15056</t>
  </si>
  <si>
    <t>D-15057</t>
  </si>
  <si>
    <t>D-15058</t>
  </si>
  <si>
    <t>D-15059</t>
  </si>
  <si>
    <t>D-15060</t>
  </si>
  <si>
    <t>D-15061</t>
  </si>
  <si>
    <t>D-15062</t>
  </si>
  <si>
    <t>D-15063</t>
  </si>
  <si>
    <t>D-15064</t>
  </si>
  <si>
    <t>D-15065</t>
  </si>
  <si>
    <t>D-15066</t>
  </si>
  <si>
    <t>D-15067</t>
  </si>
  <si>
    <t>D-15068</t>
  </si>
  <si>
    <t>D-15069</t>
  </si>
  <si>
    <t>D-15070</t>
  </si>
  <si>
    <t>D-15071</t>
  </si>
  <si>
    <t>D-15072</t>
  </si>
  <si>
    <t>D-15073</t>
  </si>
  <si>
    <t>D-15074</t>
  </si>
  <si>
    <t>D-15075</t>
  </si>
  <si>
    <t>D-15076</t>
  </si>
  <si>
    <t>D-15077</t>
  </si>
  <si>
    <t>D-15078</t>
  </si>
  <si>
    <t>D-15079</t>
  </si>
  <si>
    <t>D-15080</t>
  </si>
  <si>
    <t>D-15081</t>
  </si>
  <si>
    <t>D-15082</t>
  </si>
  <si>
    <t>D-15083</t>
  </si>
  <si>
    <t>D-15084</t>
  </si>
  <si>
    <t>D-15085</t>
  </si>
  <si>
    <t>D-15086</t>
  </si>
  <si>
    <t>D-15087</t>
  </si>
  <si>
    <t>D-15088</t>
  </si>
  <si>
    <t>D-15089</t>
  </si>
  <si>
    <t>D-15090</t>
  </si>
  <si>
    <t>D-15091</t>
  </si>
  <si>
    <t>D-15092</t>
  </si>
  <si>
    <t>D-15093</t>
  </si>
  <si>
    <t>D-15094</t>
  </si>
  <si>
    <t>D-15095</t>
  </si>
  <si>
    <t>D-15096</t>
  </si>
  <si>
    <t>D-15097</t>
  </si>
  <si>
    <t>D-15098</t>
  </si>
  <si>
    <t>D-15099</t>
  </si>
  <si>
    <t>D-15100</t>
  </si>
  <si>
    <t>D-15101</t>
  </si>
  <si>
    <t>D-15102</t>
  </si>
  <si>
    <t>D-15103</t>
  </si>
  <si>
    <t>D-15104</t>
  </si>
  <si>
    <t>D-15105</t>
  </si>
  <si>
    <t>D-15106</t>
  </si>
  <si>
    <t>D-15107</t>
  </si>
  <si>
    <t>D-15108</t>
  </si>
  <si>
    <t>D-15109</t>
  </si>
  <si>
    <t>D-15110</t>
  </si>
  <si>
    <t>D-15111</t>
  </si>
  <si>
    <t>D-15112</t>
  </si>
  <si>
    <t>D-15113</t>
  </si>
  <si>
    <t>D-15114</t>
  </si>
  <si>
    <r>
      <t xml:space="preserve">(306)JAVIER HERRERA   </t>
    </r>
    <r>
      <rPr>
        <b/>
        <sz val="12"/>
        <color rgb="FFFF0000"/>
        <rFont val="Calibri"/>
        <family val="2"/>
        <scheme val="minor"/>
      </rPr>
      <t>CANCELADA</t>
    </r>
  </si>
  <si>
    <t>D-15115</t>
  </si>
  <si>
    <t>D-15116</t>
  </si>
  <si>
    <t>D-15117</t>
  </si>
  <si>
    <t>D-15118</t>
  </si>
  <si>
    <t>D-15119</t>
  </si>
  <si>
    <t>D-15120</t>
  </si>
  <si>
    <t>D-15121</t>
  </si>
  <si>
    <t>D-15122</t>
  </si>
  <si>
    <t>D-15123</t>
  </si>
  <si>
    <t>D-15124</t>
  </si>
  <si>
    <t>D-15125</t>
  </si>
  <si>
    <t>D-15126</t>
  </si>
  <si>
    <t>D-15127</t>
  </si>
  <si>
    <t>D-15128</t>
  </si>
  <si>
    <t>D-15129</t>
  </si>
  <si>
    <t>D-15130</t>
  </si>
  <si>
    <t>D-15131</t>
  </si>
  <si>
    <t>D-15132</t>
  </si>
  <si>
    <t>D-15133</t>
  </si>
  <si>
    <t>D-15134</t>
  </si>
  <si>
    <t>D-15135</t>
  </si>
  <si>
    <t>D-15136</t>
  </si>
  <si>
    <t>D-15137</t>
  </si>
  <si>
    <t>D-15138</t>
  </si>
  <si>
    <t>D-15139</t>
  </si>
  <si>
    <t>28-Oct-22--29-Oct-22</t>
  </si>
  <si>
    <t>D-15140</t>
  </si>
  <si>
    <t>D-15141</t>
  </si>
  <si>
    <t>D-15142</t>
  </si>
  <si>
    <t>D-15143</t>
  </si>
  <si>
    <t>D-15144</t>
  </si>
  <si>
    <t>D-15145</t>
  </si>
  <si>
    <t>D-15146</t>
  </si>
  <si>
    <t>D-15147</t>
  </si>
  <si>
    <t>D-15148</t>
  </si>
  <si>
    <t>D-15149</t>
  </si>
  <si>
    <t>D-15150</t>
  </si>
  <si>
    <t>D-15151</t>
  </si>
  <si>
    <t>D-15152</t>
  </si>
  <si>
    <t>D-15153</t>
  </si>
  <si>
    <t>D-15154</t>
  </si>
  <si>
    <t>D-15155</t>
  </si>
  <si>
    <t>D-15156</t>
  </si>
  <si>
    <t>D-15157</t>
  </si>
  <si>
    <t>D-15158</t>
  </si>
  <si>
    <t>D-15159</t>
  </si>
  <si>
    <t>D-15160</t>
  </si>
  <si>
    <t>D-15161</t>
  </si>
  <si>
    <t>D-15162</t>
  </si>
  <si>
    <t>D-15163</t>
  </si>
  <si>
    <t>D-15164</t>
  </si>
  <si>
    <t>D-15165</t>
  </si>
  <si>
    <t>D-15166</t>
  </si>
  <si>
    <t>D-15167</t>
  </si>
  <si>
    <t>D-15168</t>
  </si>
  <si>
    <t>D-15169</t>
  </si>
  <si>
    <t>D-15170</t>
  </si>
  <si>
    <t>D-15171</t>
  </si>
  <si>
    <t>D-15172</t>
  </si>
  <si>
    <t>D-15173</t>
  </si>
  <si>
    <t>D-15174</t>
  </si>
  <si>
    <t>D-15175</t>
  </si>
  <si>
    <t>D-15176</t>
  </si>
  <si>
    <t>D-15177</t>
  </si>
  <si>
    <t>D-15178</t>
  </si>
  <si>
    <t>D-15179</t>
  </si>
  <si>
    <t>D-15180</t>
  </si>
  <si>
    <t>D-15181</t>
  </si>
  <si>
    <t>D-15182</t>
  </si>
  <si>
    <t>D-15183</t>
  </si>
  <si>
    <t>D-15184</t>
  </si>
  <si>
    <t>D-15185</t>
  </si>
  <si>
    <t>D-15186</t>
  </si>
  <si>
    <t>D-15187</t>
  </si>
  <si>
    <t>D-15188</t>
  </si>
  <si>
    <t>D-15189</t>
  </si>
  <si>
    <t>D-15190</t>
  </si>
  <si>
    <t>D-15191</t>
  </si>
  <si>
    <t>D-15192</t>
  </si>
  <si>
    <t>D-15193</t>
  </si>
  <si>
    <t>D-15194</t>
  </si>
  <si>
    <t>D-15195</t>
  </si>
  <si>
    <t>D-15196</t>
  </si>
  <si>
    <t>D-15197</t>
  </si>
  <si>
    <t>D-15198</t>
  </si>
  <si>
    <t>D-15199</t>
  </si>
  <si>
    <t>D-15200</t>
  </si>
  <si>
    <t>D-15201</t>
  </si>
  <si>
    <t>D-15202</t>
  </si>
  <si>
    <t>D-15203</t>
  </si>
  <si>
    <t>D-15204</t>
  </si>
  <si>
    <t>D-15205</t>
  </si>
  <si>
    <t>D-15206</t>
  </si>
  <si>
    <t>D-15207</t>
  </si>
  <si>
    <t>D-15208</t>
  </si>
  <si>
    <t>D-15209</t>
  </si>
  <si>
    <t>D-15210</t>
  </si>
  <si>
    <t>D-15211</t>
  </si>
  <si>
    <t>D-15212</t>
  </si>
  <si>
    <t>D-15213</t>
  </si>
  <si>
    <t>D-15214</t>
  </si>
  <si>
    <t>D-15215</t>
  </si>
  <si>
    <t>D-15216</t>
  </si>
  <si>
    <t>D-15217</t>
  </si>
  <si>
    <t>D-15218</t>
  </si>
  <si>
    <t>D-15219</t>
  </si>
  <si>
    <t>D-15220</t>
  </si>
  <si>
    <t>D-15221</t>
  </si>
  <si>
    <t>D-15222</t>
  </si>
  <si>
    <t>D-15223</t>
  </si>
  <si>
    <t>D-15224</t>
  </si>
  <si>
    <t>D-15225</t>
  </si>
  <si>
    <t>D-15226</t>
  </si>
  <si>
    <t>D-15227</t>
  </si>
  <si>
    <t>D-15228</t>
  </si>
  <si>
    <t>D-15229</t>
  </si>
  <si>
    <t>D-15230</t>
  </si>
  <si>
    <t>D-15231</t>
  </si>
  <si>
    <t>D-15232</t>
  </si>
  <si>
    <t>D-15233</t>
  </si>
  <si>
    <t>D-15234</t>
  </si>
  <si>
    <t>D-15235</t>
  </si>
  <si>
    <t>D-15236</t>
  </si>
  <si>
    <t>D-15237</t>
  </si>
  <si>
    <t>D-15238</t>
  </si>
  <si>
    <t>D-15239</t>
  </si>
  <si>
    <t>D-15240</t>
  </si>
  <si>
    <t>D-15241</t>
  </si>
  <si>
    <t>D-15242</t>
  </si>
  <si>
    <t>D-15243</t>
  </si>
  <si>
    <t>D-15244</t>
  </si>
  <si>
    <t>D-15245</t>
  </si>
  <si>
    <t>D-15246</t>
  </si>
  <si>
    <t>D-15247</t>
  </si>
  <si>
    <t>D-15248</t>
  </si>
  <si>
    <t>D-15249</t>
  </si>
  <si>
    <t>D-15250</t>
  </si>
  <si>
    <t>29-Oct-22--30-Oct-22</t>
  </si>
  <si>
    <t>D-15251</t>
  </si>
  <si>
    <t>D-15252</t>
  </si>
  <si>
    <t>D-15253</t>
  </si>
  <si>
    <t>D-15254</t>
  </si>
  <si>
    <t>D-15255</t>
  </si>
  <si>
    <t>D-15256</t>
  </si>
  <si>
    <t>D-15257</t>
  </si>
  <si>
    <t>D-15258</t>
  </si>
  <si>
    <t>D-15259</t>
  </si>
  <si>
    <t>D-15260</t>
  </si>
  <si>
    <t>D-15261</t>
  </si>
  <si>
    <t>D-15262</t>
  </si>
  <si>
    <t>D-15263</t>
  </si>
  <si>
    <t>D-15264</t>
  </si>
  <si>
    <t>29-1022</t>
  </si>
  <si>
    <t>D-15265</t>
  </si>
  <si>
    <t>29-Oct-22--31-Oct-22</t>
  </si>
  <si>
    <t>D-15266</t>
  </si>
  <si>
    <t>D-15267</t>
  </si>
  <si>
    <t>D-15268</t>
  </si>
  <si>
    <t>D-15269</t>
  </si>
  <si>
    <t>D-15270</t>
  </si>
  <si>
    <t>D-15271</t>
  </si>
  <si>
    <t>D-15272</t>
  </si>
  <si>
    <t>D-15273</t>
  </si>
  <si>
    <t>D-15274</t>
  </si>
  <si>
    <t>D-15275</t>
  </si>
  <si>
    <t>D-15276</t>
  </si>
  <si>
    <t>D-15277</t>
  </si>
  <si>
    <t>D-15278</t>
  </si>
  <si>
    <t>D-15279</t>
  </si>
  <si>
    <t>D-15280</t>
  </si>
  <si>
    <t>D-15281</t>
  </si>
  <si>
    <t>D-15282</t>
  </si>
  <si>
    <t>D-15283</t>
  </si>
  <si>
    <t>D-15284</t>
  </si>
  <si>
    <t>D-15285</t>
  </si>
  <si>
    <t>D-15286</t>
  </si>
  <si>
    <t>D-15287</t>
  </si>
  <si>
    <t>D-15288</t>
  </si>
  <si>
    <t>D-15289</t>
  </si>
  <si>
    <t>D-15290</t>
  </si>
  <si>
    <t>D-15291</t>
  </si>
  <si>
    <t>D-15292</t>
  </si>
  <si>
    <t>D-15293</t>
  </si>
  <si>
    <t>D-15294</t>
  </si>
  <si>
    <t>D-15295</t>
  </si>
  <si>
    <t>D-15296</t>
  </si>
  <si>
    <t>D-15297</t>
  </si>
  <si>
    <t>D-15298</t>
  </si>
  <si>
    <t>D-15299</t>
  </si>
  <si>
    <t>D-15300</t>
  </si>
  <si>
    <t>D-15301</t>
  </si>
  <si>
    <t>D-15302</t>
  </si>
  <si>
    <t>D-15303</t>
  </si>
  <si>
    <t>D-15304</t>
  </si>
  <si>
    <t>D-15305</t>
  </si>
  <si>
    <t>D-15306</t>
  </si>
  <si>
    <t>D-15307</t>
  </si>
  <si>
    <t>D-15308</t>
  </si>
  <si>
    <t>D-15309</t>
  </si>
  <si>
    <t>D-15310</t>
  </si>
  <si>
    <t>D-15311</t>
  </si>
  <si>
    <t>D-15312</t>
  </si>
  <si>
    <t>D-15313</t>
  </si>
  <si>
    <t>D-15314</t>
  </si>
  <si>
    <t>D-15315</t>
  </si>
  <si>
    <t>D-15316</t>
  </si>
  <si>
    <t>D-15317</t>
  </si>
  <si>
    <t>D-15318</t>
  </si>
  <si>
    <t>D-15319</t>
  </si>
  <si>
    <t>D-15320</t>
  </si>
  <si>
    <t>D-15321</t>
  </si>
  <si>
    <t>D-15322</t>
  </si>
  <si>
    <t>D-15323</t>
  </si>
  <si>
    <t>D-15324</t>
  </si>
  <si>
    <t>D-15325</t>
  </si>
  <si>
    <t>D-15326</t>
  </si>
  <si>
    <t>D-15327</t>
  </si>
  <si>
    <t>D-15328</t>
  </si>
  <si>
    <t>D-15329</t>
  </si>
  <si>
    <t>D-15330</t>
  </si>
  <si>
    <t>D-15331</t>
  </si>
  <si>
    <t>D-15332</t>
  </si>
  <si>
    <t>D-15333</t>
  </si>
  <si>
    <t>D-15334</t>
  </si>
  <si>
    <t>D-15335</t>
  </si>
  <si>
    <t>D-15336</t>
  </si>
  <si>
    <t>D-15337</t>
  </si>
  <si>
    <t>D-15338</t>
  </si>
  <si>
    <t>D-15339</t>
  </si>
  <si>
    <t>D-15340</t>
  </si>
  <si>
    <t>D-15341</t>
  </si>
  <si>
    <t>D-15342</t>
  </si>
  <si>
    <t>D-15343</t>
  </si>
  <si>
    <t>D-15344</t>
  </si>
  <si>
    <t>D-15345</t>
  </si>
  <si>
    <t>D-15346</t>
  </si>
  <si>
    <t>D-15347</t>
  </si>
  <si>
    <t>D-15348</t>
  </si>
  <si>
    <t>D-15349</t>
  </si>
  <si>
    <t>D-15350</t>
  </si>
  <si>
    <t>D-15351</t>
  </si>
  <si>
    <t>D-15352</t>
  </si>
  <si>
    <t>D-15353</t>
  </si>
  <si>
    <t>D-15354</t>
  </si>
  <si>
    <t>D-15355</t>
  </si>
  <si>
    <t>D-15356</t>
  </si>
  <si>
    <t>D-15357</t>
  </si>
  <si>
    <t>D-15358</t>
  </si>
  <si>
    <t>D-15359</t>
  </si>
  <si>
    <t>D-15360</t>
  </si>
  <si>
    <t>D-15361</t>
  </si>
  <si>
    <t>D-15362</t>
  </si>
  <si>
    <t>D-15363</t>
  </si>
  <si>
    <t>D-15364</t>
  </si>
  <si>
    <t>D-15365</t>
  </si>
  <si>
    <t>D-15366</t>
  </si>
  <si>
    <t>D-15367</t>
  </si>
  <si>
    <t>30-Oct-22--31-Oct-22</t>
  </si>
  <si>
    <t>D-15368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</si>
  <si>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</si>
  <si>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D-15369</t>
  </si>
  <si>
    <t>D-15370</t>
  </si>
  <si>
    <t>D-15371</t>
  </si>
  <si>
    <t>D-15372</t>
  </si>
  <si>
    <t>D-15373</t>
  </si>
  <si>
    <t>D-15374</t>
  </si>
  <si>
    <t>D-15375</t>
  </si>
  <si>
    <t>D-15376</t>
  </si>
  <si>
    <t>D-15377</t>
  </si>
  <si>
    <t>D-15378</t>
  </si>
  <si>
    <t>D-15379</t>
  </si>
  <si>
    <t>D-15380</t>
  </si>
  <si>
    <t>D-15381</t>
  </si>
  <si>
    <t>D-15382</t>
  </si>
  <si>
    <t>D-15383</t>
  </si>
  <si>
    <t>D-15384</t>
  </si>
  <si>
    <t>D-15385</t>
  </si>
  <si>
    <t>D-15386</t>
  </si>
  <si>
    <t>D-15387</t>
  </si>
  <si>
    <t>D-15388</t>
  </si>
  <si>
    <t>D-15389</t>
  </si>
  <si>
    <t>D-15390</t>
  </si>
  <si>
    <t>D-15391</t>
  </si>
  <si>
    <t>D-15392</t>
  </si>
  <si>
    <t>D-15393</t>
  </si>
  <si>
    <t>D-15394</t>
  </si>
  <si>
    <t>D-15395</t>
  </si>
  <si>
    <t>D-15396</t>
  </si>
  <si>
    <t>D-15397</t>
  </si>
  <si>
    <t>D-15398</t>
  </si>
  <si>
    <t>D-15399</t>
  </si>
  <si>
    <t>D-15400</t>
  </si>
  <si>
    <t>D-15401</t>
  </si>
  <si>
    <t>D-15402</t>
  </si>
  <si>
    <t>D-15403</t>
  </si>
  <si>
    <t>D-15404</t>
  </si>
  <si>
    <t>D-15405</t>
  </si>
  <si>
    <t>D-15406</t>
  </si>
  <si>
    <t>D-15407</t>
  </si>
  <si>
    <t>D-15408</t>
  </si>
  <si>
    <t>D-15409</t>
  </si>
  <si>
    <t>D-15410</t>
  </si>
  <si>
    <t>D-15411</t>
  </si>
  <si>
    <t>D-15412</t>
  </si>
  <si>
    <t>D-15413</t>
  </si>
  <si>
    <t>D-15414</t>
  </si>
  <si>
    <t>D-15415</t>
  </si>
  <si>
    <t>D-15416</t>
  </si>
  <si>
    <t>D-15417</t>
  </si>
  <si>
    <t>D-15418</t>
  </si>
  <si>
    <t>D-15419</t>
  </si>
  <si>
    <t>D-15420</t>
  </si>
  <si>
    <t>D-15421</t>
  </si>
  <si>
    <t>D-15422</t>
  </si>
  <si>
    <t>D-15423</t>
  </si>
  <si>
    <t>D-15424</t>
  </si>
  <si>
    <t>D-15425</t>
  </si>
  <si>
    <t>D-15426</t>
  </si>
  <si>
    <t>D-15427</t>
  </si>
  <si>
    <t>D-15428</t>
  </si>
  <si>
    <t>D-15429</t>
  </si>
  <si>
    <t>D-15430</t>
  </si>
  <si>
    <t>D-15431</t>
  </si>
  <si>
    <t>D-15432</t>
  </si>
  <si>
    <t>D-15433</t>
  </si>
  <si>
    <t>D-15434</t>
  </si>
  <si>
    <t>D-15435</t>
  </si>
  <si>
    <t>D-15436</t>
  </si>
  <si>
    <t>D-15437</t>
  </si>
  <si>
    <t>D-15438</t>
  </si>
  <si>
    <t>D-15439</t>
  </si>
  <si>
    <t>D-15440</t>
  </si>
  <si>
    <t>D-15441</t>
  </si>
  <si>
    <t>D-15442</t>
  </si>
  <si>
    <t>D-15443</t>
  </si>
  <si>
    <t>D-15444</t>
  </si>
  <si>
    <t>D-15445</t>
  </si>
  <si>
    <t>D-15446</t>
  </si>
  <si>
    <t>D-15447</t>
  </si>
  <si>
    <t>D-15448</t>
  </si>
  <si>
    <t>D-15449</t>
  </si>
  <si>
    <t>D-15450</t>
  </si>
  <si>
    <t>D-15451</t>
  </si>
  <si>
    <t>D-15452</t>
  </si>
  <si>
    <t>D-15453</t>
  </si>
  <si>
    <t>D-15454</t>
  </si>
  <si>
    <t>D-15455</t>
  </si>
  <si>
    <t>D-15456</t>
  </si>
  <si>
    <t>D-15457</t>
  </si>
  <si>
    <t>D-15458</t>
  </si>
  <si>
    <t>D-15459</t>
  </si>
  <si>
    <t>D-15460</t>
  </si>
  <si>
    <t>D-15461</t>
  </si>
  <si>
    <t>D-15462</t>
  </si>
  <si>
    <t>D-15463</t>
  </si>
  <si>
    <t>D-15464</t>
  </si>
  <si>
    <t>D-15465</t>
  </si>
  <si>
    <t>D-15466</t>
  </si>
  <si>
    <t>D-15467</t>
  </si>
  <si>
    <t>D-15468</t>
  </si>
  <si>
    <t>D-15469</t>
  </si>
  <si>
    <t>D-15470</t>
  </si>
  <si>
    <t>D-15471</t>
  </si>
  <si>
    <t>D-15472</t>
  </si>
  <si>
    <t>D-15473</t>
  </si>
  <si>
    <t>D-15474</t>
  </si>
  <si>
    <t>D-15475</t>
  </si>
  <si>
    <t>D-15476</t>
  </si>
  <si>
    <t>D-15477</t>
  </si>
  <si>
    <t>D-15478</t>
  </si>
  <si>
    <t>D-15479</t>
  </si>
  <si>
    <t>D-15480</t>
  </si>
  <si>
    <t>D-15481</t>
  </si>
  <si>
    <t>D-15482</t>
  </si>
  <si>
    <t>D-15483</t>
  </si>
  <si>
    <t>D-15484</t>
  </si>
  <si>
    <t>D-15485</t>
  </si>
  <si>
    <t>D-15486</t>
  </si>
  <si>
    <t>D-15487</t>
  </si>
  <si>
    <t>D-15488</t>
  </si>
  <si>
    <t>D-15489</t>
  </si>
  <si>
    <t>D-15490</t>
  </si>
  <si>
    <t>D-15491</t>
  </si>
  <si>
    <t>D-15492</t>
  </si>
  <si>
    <t>D-15493</t>
  </si>
  <si>
    <t>D-15494</t>
  </si>
  <si>
    <t>D-15495</t>
  </si>
  <si>
    <t>D-15496</t>
  </si>
  <si>
    <t>D-15497</t>
  </si>
  <si>
    <t>D-15498</t>
  </si>
  <si>
    <t>D-15499</t>
  </si>
  <si>
    <t>D-15500</t>
  </si>
  <si>
    <t>D-15501</t>
  </si>
  <si>
    <t>D-15502</t>
  </si>
  <si>
    <t>D-15503</t>
  </si>
  <si>
    <t>D-15504</t>
  </si>
  <si>
    <t>D-15505</t>
  </si>
  <si>
    <t>D-15506</t>
  </si>
  <si>
    <t>D-15507</t>
  </si>
  <si>
    <t>D-15508</t>
  </si>
  <si>
    <t>D-15509</t>
  </si>
  <si>
    <t>D-15510</t>
  </si>
  <si>
    <t>D-15511</t>
  </si>
  <si>
    <t>D-15512</t>
  </si>
  <si>
    <t>D-15513</t>
  </si>
  <si>
    <t>D-15514</t>
  </si>
  <si>
    <t>D-15515</t>
  </si>
  <si>
    <t>D-15516</t>
  </si>
  <si>
    <t>D-15517</t>
  </si>
  <si>
    <t>D-15518</t>
  </si>
  <si>
    <t>D-15519</t>
  </si>
  <si>
    <t>D-15520</t>
  </si>
  <si>
    <t>D-15521</t>
  </si>
  <si>
    <t>D-15522</t>
  </si>
  <si>
    <t>D-15523</t>
  </si>
  <si>
    <t>D-15524</t>
  </si>
  <si>
    <t>D-15525</t>
  </si>
  <si>
    <t>D-15526</t>
  </si>
  <si>
    <t>D-15527</t>
  </si>
  <si>
    <t>D-15528</t>
  </si>
  <si>
    <t>D-15529</t>
  </si>
  <si>
    <t>D-15530</t>
  </si>
  <si>
    <t>D-15531</t>
  </si>
  <si>
    <t>D-15532</t>
  </si>
  <si>
    <t>D-15533</t>
  </si>
  <si>
    <t>D-15534</t>
  </si>
  <si>
    <t>D-15535</t>
  </si>
  <si>
    <t>D-15536</t>
  </si>
  <si>
    <t>D-15537</t>
  </si>
  <si>
    <t>D-15538</t>
  </si>
  <si>
    <t>D-15539</t>
  </si>
  <si>
    <t>D-15540</t>
  </si>
  <si>
    <t>D-15541</t>
  </si>
  <si>
    <t>D-15542</t>
  </si>
  <si>
    <t>D-15543</t>
  </si>
  <si>
    <t>D-15544</t>
  </si>
  <si>
    <t>D-15545</t>
  </si>
  <si>
    <t>D-15546</t>
  </si>
  <si>
    <t>D-15547</t>
  </si>
  <si>
    <t>D-15548</t>
  </si>
  <si>
    <t>D-15549</t>
  </si>
  <si>
    <t>D-15550</t>
  </si>
  <si>
    <t>D-15551</t>
  </si>
  <si>
    <t>D-15552</t>
  </si>
  <si>
    <t>D-15553</t>
  </si>
  <si>
    <t>D-15554</t>
  </si>
  <si>
    <t>D-15555</t>
  </si>
  <si>
    <t>D-15556</t>
  </si>
  <si>
    <t>D-15557</t>
  </si>
  <si>
    <t>D-15558</t>
  </si>
  <si>
    <t>D-15559</t>
  </si>
  <si>
    <t>D-15560</t>
  </si>
  <si>
    <t>D-15561</t>
  </si>
  <si>
    <t>D-15562</t>
  </si>
  <si>
    <t>D-15563</t>
  </si>
  <si>
    <t>D-15564</t>
  </si>
  <si>
    <t>D-15565</t>
  </si>
  <si>
    <t>D-15566</t>
  </si>
  <si>
    <t>D-15567</t>
  </si>
  <si>
    <t>D-15568</t>
  </si>
  <si>
    <t>D-15569</t>
  </si>
  <si>
    <r>
      <t xml:space="preserve">(713)LIBRADO DE JESUS  </t>
    </r>
    <r>
      <rPr>
        <b/>
        <sz val="11"/>
        <color rgb="FFFF0000"/>
        <rFont val="Calibri"/>
        <family val="2"/>
        <scheme val="minor"/>
      </rPr>
      <t>CANCELADA</t>
    </r>
  </si>
  <si>
    <t>D-15570</t>
  </si>
  <si>
    <t>D-15571</t>
  </si>
  <si>
    <t>D-15572</t>
  </si>
  <si>
    <t>D-15573</t>
  </si>
  <si>
    <t>D-15574</t>
  </si>
  <si>
    <t>D-15575</t>
  </si>
  <si>
    <t>D-15576</t>
  </si>
  <si>
    <t>D-15577</t>
  </si>
  <si>
    <t>D-15578</t>
  </si>
  <si>
    <t>D-15579</t>
  </si>
  <si>
    <t>D-15580</t>
  </si>
  <si>
    <t>D-15581</t>
  </si>
  <si>
    <t>D-15582</t>
  </si>
  <si>
    <t>D-15583</t>
  </si>
  <si>
    <t>D-15584</t>
  </si>
  <si>
    <t>D-15585</t>
  </si>
  <si>
    <t>D-15586</t>
  </si>
  <si>
    <t>D-15587</t>
  </si>
  <si>
    <t>D-15588</t>
  </si>
  <si>
    <t>D-15589</t>
  </si>
  <si>
    <t>D-15590</t>
  </si>
  <si>
    <t>D-15591</t>
  </si>
  <si>
    <t>D-15592</t>
  </si>
  <si>
    <t>D-15593</t>
  </si>
  <si>
    <t>D-15594</t>
  </si>
  <si>
    <t>D-15595</t>
  </si>
  <si>
    <t>D-15596</t>
  </si>
  <si>
    <t>D-15597</t>
  </si>
  <si>
    <t>D-15598</t>
  </si>
  <si>
    <t>D-15599</t>
  </si>
  <si>
    <t>D-15600</t>
  </si>
  <si>
    <t>D-15601</t>
  </si>
  <si>
    <t>D-15602</t>
  </si>
  <si>
    <t>D-15603</t>
  </si>
  <si>
    <t>D-15604</t>
  </si>
  <si>
    <t>D-15605</t>
  </si>
  <si>
    <t>D-15606</t>
  </si>
  <si>
    <t>D-15607</t>
  </si>
  <si>
    <t>D-15608</t>
  </si>
  <si>
    <t>D-15609</t>
  </si>
  <si>
    <t>D-15610</t>
  </si>
  <si>
    <t>D-15611</t>
  </si>
  <si>
    <t>D-15612</t>
  </si>
  <si>
    <t>D-15613</t>
  </si>
  <si>
    <t>D-15614</t>
  </si>
  <si>
    <t>D-15615</t>
  </si>
  <si>
    <r>
      <t xml:space="preserve">(678)MAURO LOPEZ XIMELLO  </t>
    </r>
    <r>
      <rPr>
        <b/>
        <sz val="11"/>
        <color rgb="FFFF0000"/>
        <rFont val="Calibri"/>
        <family val="2"/>
        <scheme val="minor"/>
      </rPr>
      <t>CANCELADA</t>
    </r>
  </si>
  <si>
    <t>D-15616</t>
  </si>
  <si>
    <t>D-15617</t>
  </si>
  <si>
    <t>D-15618</t>
  </si>
  <si>
    <t>D-15619</t>
  </si>
  <si>
    <t>D-15620</t>
  </si>
  <si>
    <t>D-15621</t>
  </si>
  <si>
    <t>D-15622</t>
  </si>
  <si>
    <t>D-15623</t>
  </si>
  <si>
    <t>D-15624</t>
  </si>
  <si>
    <t>D-15625</t>
  </si>
  <si>
    <t>D-15626</t>
  </si>
  <si>
    <t>D-15627</t>
  </si>
  <si>
    <t>D-15628</t>
  </si>
  <si>
    <t>D-15629</t>
  </si>
  <si>
    <t>D-15630</t>
  </si>
  <si>
    <t>D-15631</t>
  </si>
  <si>
    <t>D-15632</t>
  </si>
  <si>
    <t>D-15633</t>
  </si>
  <si>
    <t>D-15634</t>
  </si>
  <si>
    <t>D-15635</t>
  </si>
  <si>
    <t>D-15636</t>
  </si>
  <si>
    <t>D-15637</t>
  </si>
  <si>
    <t>D-15638</t>
  </si>
  <si>
    <t>D-15639</t>
  </si>
  <si>
    <t>D-15640</t>
  </si>
  <si>
    <t>D-15641</t>
  </si>
  <si>
    <r>
      <t xml:space="preserve">(264)CRUZ SANCHEZ FIERRO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</si>
  <si>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D-15642</t>
  </si>
  <si>
    <t>D-15643</t>
  </si>
  <si>
    <t>D-15644</t>
  </si>
  <si>
    <t>D-15645</t>
  </si>
  <si>
    <t>D-15646</t>
  </si>
  <si>
    <t>D-15647</t>
  </si>
  <si>
    <t>D-15648</t>
  </si>
  <si>
    <t>D-15649</t>
  </si>
  <si>
    <t>D-15650</t>
  </si>
  <si>
    <t>D-15651</t>
  </si>
  <si>
    <t>D-15652</t>
  </si>
  <si>
    <t>D-15653</t>
  </si>
  <si>
    <t>D-15654</t>
  </si>
  <si>
    <t>D-15655</t>
  </si>
  <si>
    <t>D-15656</t>
  </si>
  <si>
    <t>D-15657</t>
  </si>
  <si>
    <t>D-15658</t>
  </si>
  <si>
    <t>D-15659</t>
  </si>
  <si>
    <t>D-15660</t>
  </si>
  <si>
    <t>D-15661</t>
  </si>
  <si>
    <t>D-15662</t>
  </si>
  <si>
    <t>D-15663</t>
  </si>
  <si>
    <t>D-15664</t>
  </si>
  <si>
    <t xml:space="preserve">T O T A L </t>
  </si>
  <si>
    <t>28-Oct-22---31-Oct-22--01-Nov-22</t>
  </si>
  <si>
    <t>31-Oct-22--1-Nov-22</t>
  </si>
  <si>
    <t>21-Oct-22--26-Oct-22--3-Nov-22</t>
  </si>
  <si>
    <t>1-Nov-22--3-Nov-22</t>
  </si>
  <si>
    <t>30-Oct-22--4-Nov-22</t>
  </si>
  <si>
    <t>1-Nov-22--4-Nov-22</t>
  </si>
  <si>
    <t>3-Nov-22--4-Nov-22</t>
  </si>
  <si>
    <t>1-Nov-22--5-Nov-22</t>
  </si>
  <si>
    <t>11-Nov-22--16-Nov-22</t>
  </si>
  <si>
    <t>9-Sept-22--7-Oct-22--18-Nov-22</t>
  </si>
  <si>
    <t>16-Nov-22--18-Nov-22</t>
  </si>
  <si>
    <t>18-Nov-22--19-Nov-22</t>
  </si>
  <si>
    <t>19-Nov-22--25-Nov-22</t>
  </si>
  <si>
    <t>26-Sept-22--28-Nov-22</t>
  </si>
  <si>
    <t>SALDO</t>
  </si>
  <si>
    <t>25-Nov-22--29-Nov-22</t>
  </si>
  <si>
    <t>29-Nov-22---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</si>
</sst>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8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double">
        <color indexed="64"/>
      </bottom>
      <diagonal/>
    </border>
    <border>
      <left style="thin">
        <color theme="4" tint="0.39997558519241921"/>
      </left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thin">
        <color theme="4" tint="0.3999755851924192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07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5" fontId="8" fillId="5" borderId="2" xfId="0" applyNumberFormat="1" applyFont="1" applyFill="1" applyBorder="1" applyAlignment="1">
      <alignment horizontal="center" wrapText="1"/>
    </xf>
    <xf numFmtId="15" fontId="8" fillId="0" borderId="1" xfId="0" applyNumberFormat="1" applyFont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15" fontId="8" fillId="0" borderId="2" xfId="0" applyNumberFormat="1" applyFont="1" applyBorder="1" applyAlignment="1">
      <alignment horizontal="center" wrapText="1"/>
    </xf>
    <xf numFmtId="15" fontId="8" fillId="5" borderId="2" xfId="0" applyNumberFormat="1" applyFont="1" applyFill="1" applyBorder="1" applyAlignment="1">
      <alignment horizontal="center"/>
    </xf>
    <xf numFmtId="44" fontId="9" fillId="5" borderId="2" xfId="1" applyFont="1" applyFill="1" applyBorder="1"/>
    <xf numFmtId="49" fontId="8" fillId="0" borderId="2" xfId="0" applyNumberFormat="1" applyFont="1" applyBorder="1"/>
    <xf numFmtId="44" fontId="8" fillId="0" borderId="2" xfId="1" applyFont="1" applyBorder="1"/>
    <xf numFmtId="15" fontId="8" fillId="0" borderId="2" xfId="0" applyNumberFormat="1" applyFont="1" applyBorder="1" applyAlignment="1">
      <alignment horizontal="center"/>
    </xf>
    <xf numFmtId="44" fontId="9" fillId="0" borderId="2" xfId="1" applyFont="1" applyBorder="1"/>
    <xf numFmtId="15" fontId="10" fillId="5" borderId="2" xfId="0" applyNumberFormat="1" applyFont="1" applyFill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49" fontId="9" fillId="0" borderId="2" xfId="0" applyNumberFormat="1" applyFont="1" applyBorder="1"/>
    <xf numFmtId="49" fontId="8" fillId="0" borderId="2" xfId="0" applyNumberFormat="1" applyFont="1" applyBorder="1" applyAlignment="1">
      <alignment wrapText="1"/>
    </xf>
    <xf numFmtId="49" fontId="9" fillId="5" borderId="2" xfId="0" applyNumberFormat="1" applyFont="1" applyFill="1" applyBorder="1"/>
    <xf numFmtId="44" fontId="8" fillId="0" borderId="2" xfId="1" applyFont="1" applyFill="1" applyBorder="1" applyAlignment="1"/>
    <xf numFmtId="15" fontId="26" fillId="5" borderId="20" xfId="0" applyNumberFormat="1" applyFont="1" applyFill="1" applyBorder="1" applyAlignment="1">
      <alignment horizontal="center"/>
    </xf>
    <xf numFmtId="49" fontId="26" fillId="5" borderId="0" xfId="0" applyNumberFormat="1" applyFont="1" applyFill="1" applyBorder="1" applyAlignment="1">
      <alignment horizontal="center"/>
    </xf>
    <xf numFmtId="49" fontId="26" fillId="5" borderId="0" xfId="0" applyNumberFormat="1" applyFont="1" applyFill="1" applyBorder="1"/>
    <xf numFmtId="44" fontId="26" fillId="5" borderId="0" xfId="1" applyFont="1" applyFill="1" applyBorder="1"/>
    <xf numFmtId="15" fontId="26" fillId="5" borderId="0" xfId="0" applyNumberFormat="1" applyFont="1" applyFill="1" applyBorder="1" applyAlignment="1">
      <alignment horizontal="center"/>
    </xf>
    <xf numFmtId="44" fontId="27" fillId="5" borderId="0" xfId="1" applyFont="1" applyFill="1" applyBorder="1"/>
    <xf numFmtId="15" fontId="26" fillId="5" borderId="19" xfId="0" applyNumberFormat="1" applyFont="1" applyFill="1" applyBorder="1" applyAlignment="1">
      <alignment horizontal="center"/>
    </xf>
    <xf numFmtId="49" fontId="26" fillId="5" borderId="5" xfId="0" applyNumberFormat="1" applyFont="1" applyFill="1" applyBorder="1" applyAlignment="1">
      <alignment horizontal="center"/>
    </xf>
    <xf numFmtId="49" fontId="26" fillId="5" borderId="5" xfId="0" applyNumberFormat="1" applyFont="1" applyFill="1" applyBorder="1"/>
    <xf numFmtId="44" fontId="26" fillId="5" borderId="5" xfId="1" applyFont="1" applyFill="1" applyBorder="1"/>
    <xf numFmtId="15" fontId="26" fillId="5" borderId="5" xfId="0" applyNumberFormat="1" applyFont="1" applyFill="1" applyBorder="1" applyAlignment="1">
      <alignment horizontal="center"/>
    </xf>
    <xf numFmtId="44" fontId="27" fillId="5" borderId="5" xfId="1" applyFont="1" applyFill="1" applyBorder="1"/>
    <xf numFmtId="15" fontId="2" fillId="5" borderId="2" xfId="0" applyNumberFormat="1" applyFont="1" applyFill="1" applyBorder="1" applyAlignment="1">
      <alignment horizontal="center" wrapText="1"/>
    </xf>
    <xf numFmtId="44" fontId="8" fillId="5" borderId="2" xfId="1" applyNumberFormat="1" applyFont="1" applyFill="1" applyBorder="1"/>
    <xf numFmtId="44" fontId="9" fillId="5" borderId="2" xfId="1" applyNumberFormat="1" applyFont="1" applyFill="1" applyBorder="1"/>
    <xf numFmtId="44" fontId="8" fillId="0" borderId="2" xfId="1" applyNumberFormat="1" applyFont="1" applyBorder="1"/>
    <xf numFmtId="44" fontId="9" fillId="0" borderId="2" xfId="1" applyNumberFormat="1" applyFont="1" applyBorder="1"/>
    <xf numFmtId="44" fontId="15" fillId="0" borderId="0" xfId="1" applyFont="1" applyAlignment="1">
      <alignment horizontal="center"/>
    </xf>
    <xf numFmtId="49" fontId="8" fillId="5" borderId="2" xfId="0" applyNumberFormat="1" applyFont="1" applyFill="1" applyBorder="1" applyAlignment="1">
      <alignment wrapText="1"/>
    </xf>
    <xf numFmtId="15" fontId="8" fillId="5" borderId="3" xfId="0" applyNumberFormat="1" applyFont="1" applyFill="1" applyBorder="1" applyAlignment="1">
      <alignment horizontal="center"/>
    </xf>
    <xf numFmtId="49" fontId="8" fillId="5" borderId="4" xfId="0" applyNumberFormat="1" applyFont="1" applyFill="1" applyBorder="1" applyAlignment="1">
      <alignment horizontal="center"/>
    </xf>
    <xf numFmtId="49" fontId="8" fillId="5" borderId="4" xfId="0" applyNumberFormat="1" applyFont="1" applyFill="1" applyBorder="1"/>
    <xf numFmtId="44" fontId="8" fillId="5" borderId="0" xfId="1" applyNumberFormat="1" applyFont="1" applyFill="1" applyBorder="1"/>
    <xf numFmtId="15" fontId="8" fillId="5" borderId="0" xfId="0" applyNumberFormat="1" applyFont="1" applyFill="1" applyBorder="1" applyAlignment="1">
      <alignment horizontal="center"/>
    </xf>
    <xf numFmtId="44" fontId="9" fillId="5" borderId="0" xfId="1" applyNumberFormat="1" applyFont="1" applyFill="1" applyBorder="1"/>
    <xf numFmtId="44" fontId="8" fillId="5" borderId="5" xfId="1" applyNumberFormat="1" applyFont="1" applyFill="1" applyBorder="1"/>
    <xf numFmtId="15" fontId="8" fillId="5" borderId="5" xfId="0" applyNumberFormat="1" applyFont="1" applyFill="1" applyBorder="1" applyAlignment="1">
      <alignment horizontal="center"/>
    </xf>
    <xf numFmtId="44" fontId="9" fillId="5" borderId="5" xfId="1" applyNumberFormat="1" applyFont="1" applyFill="1" applyBorder="1"/>
    <xf numFmtId="0" fontId="8" fillId="0" borderId="0" xfId="0" applyFont="1" applyFill="1"/>
    <xf numFmtId="44" fontId="8" fillId="0" borderId="0" xfId="1" applyFont="1" applyFill="1"/>
    <xf numFmtId="15" fontId="8" fillId="0" borderId="0" xfId="0" applyNumberFormat="1" applyFont="1" applyFill="1"/>
    <xf numFmtId="49" fontId="8" fillId="0" borderId="2" xfId="0" applyNumberFormat="1" applyFont="1" applyFill="1" applyBorder="1"/>
    <xf numFmtId="44" fontId="8" fillId="0" borderId="2" xfId="1" applyFont="1" applyFill="1" applyBorder="1"/>
    <xf numFmtId="15" fontId="8" fillId="0" borderId="2" xfId="0" applyNumberFormat="1" applyFont="1" applyFill="1" applyBorder="1"/>
    <xf numFmtId="44" fontId="9" fillId="0" borderId="2" xfId="1" applyFont="1" applyFill="1" applyBorder="1"/>
    <xf numFmtId="15" fontId="8" fillId="0" borderId="2" xfId="0" applyNumberFormat="1" applyFont="1" applyFill="1" applyBorder="1" applyAlignment="1">
      <alignment wrapText="1"/>
    </xf>
    <xf numFmtId="15" fontId="10" fillId="0" borderId="2" xfId="0" applyNumberFormat="1" applyFont="1" applyFill="1" applyBorder="1"/>
    <xf numFmtId="49" fontId="9" fillId="0" borderId="2" xfId="0" applyNumberFormat="1" applyFont="1" applyFill="1" applyBorder="1"/>
    <xf numFmtId="15" fontId="2" fillId="0" borderId="2" xfId="0" applyNumberFormat="1" applyFont="1" applyFill="1" applyBorder="1" applyAlignment="1">
      <alignment wrapText="1"/>
    </xf>
    <xf numFmtId="15" fontId="29" fillId="0" borderId="3" xfId="0" applyNumberFormat="1" applyFont="1" applyFill="1" applyBorder="1" applyAlignment="1">
      <alignment horizontal="center"/>
    </xf>
    <xf numFmtId="49" fontId="29" fillId="0" borderId="4" xfId="0" applyNumberFormat="1" applyFont="1" applyFill="1" applyBorder="1" applyAlignment="1">
      <alignment horizontal="center"/>
    </xf>
    <xf numFmtId="49" fontId="29" fillId="0" borderId="4" xfId="0" applyNumberFormat="1" applyFont="1" applyFill="1" applyBorder="1"/>
    <xf numFmtId="15" fontId="8" fillId="0" borderId="3" xfId="0" applyNumberFormat="1" applyFont="1" applyFill="1" applyBorder="1" applyAlignment="1">
      <alignment horizontal="center"/>
    </xf>
    <xf numFmtId="49" fontId="8" fillId="0" borderId="4" xfId="0" applyNumberFormat="1" applyFont="1" applyFill="1" applyBorder="1" applyAlignment="1">
      <alignment horizontal="center"/>
    </xf>
    <xf numFmtId="49" fontId="8" fillId="0" borderId="4" xfId="0" applyNumberFormat="1" applyFont="1" applyFill="1" applyBorder="1"/>
    <xf numFmtId="44" fontId="7" fillId="3" borderId="0" xfId="0" applyNumberFormat="1" applyFont="1" applyFill="1" applyBorder="1" applyAlignment="1">
      <alignment vertical="center"/>
    </xf>
    <xf numFmtId="15" fontId="7" fillId="3" borderId="0" xfId="0" applyNumberFormat="1" applyFont="1" applyFill="1" applyBorder="1" applyAlignment="1">
      <alignment vertical="center"/>
    </xf>
    <xf numFmtId="44" fontId="29" fillId="0" borderId="5" xfId="1" applyFont="1" applyFill="1" applyBorder="1"/>
    <xf numFmtId="15" fontId="29" fillId="0" borderId="5" xfId="0" applyNumberFormat="1" applyFont="1" applyFill="1" applyBorder="1"/>
    <xf numFmtId="15" fontId="30" fillId="0" borderId="2" xfId="0" applyNumberFormat="1" applyFont="1" applyFill="1" applyBorder="1" applyAlignment="1">
      <alignment wrapText="1"/>
    </xf>
    <xf numFmtId="15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44" fontId="8" fillId="0" borderId="0" xfId="1" applyFont="1" applyAlignment="1">
      <alignment horizontal="center" vertical="center"/>
    </xf>
    <xf numFmtId="44" fontId="15" fillId="0" borderId="0" xfId="1" applyFont="1" applyAlignment="1">
      <alignment horizontal="center" vertical="center"/>
    </xf>
    <xf numFmtId="15" fontId="2" fillId="5" borderId="1" xfId="0" applyNumberFormat="1" applyFont="1" applyFill="1" applyBorder="1" applyAlignment="1">
      <alignment horizontal="center"/>
    </xf>
    <xf numFmtId="49" fontId="2" fillId="5" borderId="2" xfId="0" applyNumberFormat="1" applyFont="1" applyFill="1" applyBorder="1" applyAlignment="1">
      <alignment horizontal="center"/>
    </xf>
    <xf numFmtId="49" fontId="2" fillId="5" borderId="2" xfId="1" applyNumberFormat="1" applyFont="1" applyFill="1" applyBorder="1"/>
    <xf numFmtId="44" fontId="2" fillId="5" borderId="2" xfId="1" applyFont="1" applyFill="1" applyBorder="1"/>
    <xf numFmtId="44" fontId="3" fillId="5" borderId="2" xfId="1" applyFont="1" applyFill="1" applyBorder="1"/>
    <xf numFmtId="49" fontId="2" fillId="5" borderId="2" xfId="0" applyNumberFormat="1" applyFont="1" applyFill="1" applyBorder="1"/>
    <xf numFmtId="15" fontId="2" fillId="0" borderId="1" xfId="0" applyNumberFormat="1" applyFon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49" fontId="2" fillId="0" borderId="2" xfId="1" applyNumberFormat="1" applyFont="1" applyBorder="1"/>
    <xf numFmtId="44" fontId="2" fillId="0" borderId="2" xfId="1" applyFont="1" applyBorder="1"/>
    <xf numFmtId="49" fontId="2" fillId="0" borderId="2" xfId="0" applyNumberFormat="1" applyFont="1" applyBorder="1"/>
    <xf numFmtId="44" fontId="7" fillId="0" borderId="0" xfId="1" applyFont="1"/>
    <xf numFmtId="44" fontId="12" fillId="0" borderId="0" xfId="1" applyFont="1"/>
    <xf numFmtId="15" fontId="8" fillId="5" borderId="2" xfId="0" applyNumberFormat="1" applyFont="1" applyFill="1" applyBorder="1" applyAlignment="1"/>
    <xf numFmtId="15" fontId="8" fillId="0" borderId="2" xfId="0" applyNumberFormat="1" applyFont="1" applyBorder="1" applyAlignment="1"/>
    <xf numFmtId="15" fontId="10" fillId="5" borderId="2" xfId="0" applyNumberFormat="1" applyFont="1" applyFill="1" applyBorder="1" applyAlignment="1"/>
    <xf numFmtId="15" fontId="10" fillId="0" borderId="2" xfId="0" applyNumberFormat="1" applyFont="1" applyBorder="1" applyAlignment="1"/>
    <xf numFmtId="15" fontId="2" fillId="5" borderId="2" xfId="1" applyNumberFormat="1" applyFont="1" applyFill="1" applyBorder="1" applyAlignment="1"/>
    <xf numFmtId="15" fontId="2" fillId="0" borderId="2" xfId="1" applyNumberFormat="1" applyFont="1" applyBorder="1" applyAlignment="1"/>
    <xf numFmtId="15" fontId="4" fillId="5" borderId="2" xfId="1" applyNumberFormat="1" applyFont="1" applyFill="1" applyBorder="1" applyAlignment="1"/>
    <xf numFmtId="15" fontId="7" fillId="0" borderId="0" xfId="0" applyNumberFormat="1" applyFont="1" applyAlignment="1"/>
    <xf numFmtId="15" fontId="8" fillId="0" borderId="0" xfId="0" applyNumberFormat="1" applyFont="1" applyAlignment="1"/>
    <xf numFmtId="15" fontId="2" fillId="5" borderId="2" xfId="1" applyNumberFormat="1" applyFont="1" applyFill="1" applyBorder="1" applyAlignment="1">
      <alignment wrapText="1"/>
    </xf>
    <xf numFmtId="15" fontId="2" fillId="0" borderId="2" xfId="1" applyNumberFormat="1" applyFont="1" applyBorder="1" applyAlignment="1">
      <alignment wrapText="1"/>
    </xf>
    <xf numFmtId="44" fontId="2" fillId="0" borderId="25" xfId="1" applyFont="1" applyBorder="1"/>
    <xf numFmtId="15" fontId="2" fillId="0" borderId="25" xfId="1" applyNumberFormat="1" applyFont="1" applyBorder="1" applyAlignment="1"/>
    <xf numFmtId="44" fontId="3" fillId="0" borderId="25" xfId="1" applyFont="1" applyFill="1" applyBorder="1"/>
    <xf numFmtId="15" fontId="8" fillId="0" borderId="2" xfId="0" applyNumberFormat="1" applyFont="1" applyBorder="1" applyAlignment="1">
      <alignment wrapText="1"/>
    </xf>
    <xf numFmtId="15" fontId="8" fillId="3" borderId="2" xfId="0" applyNumberFormat="1" applyFont="1" applyFill="1" applyBorder="1" applyAlignment="1">
      <alignment wrapText="1"/>
    </xf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15" fontId="2" fillId="0" borderId="15" xfId="0" applyNumberFormat="1" applyFont="1" applyFill="1" applyBorder="1" applyAlignment="1">
      <alignment horizont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  <xf numFmtId="164" fontId="28" fillId="3" borderId="7" xfId="1" applyNumberFormat="1" applyFont="1" applyFill="1" applyBorder="1" applyAlignment="1">
      <alignment horizontal="center" vertical="center"/>
    </xf>
    <xf numFmtId="164" fontId="28" fillId="3" borderId="8" xfId="1" applyNumberFormat="1" applyFont="1" applyFill="1" applyBorder="1" applyAlignment="1">
      <alignment horizontal="center" vertical="center"/>
    </xf>
    <xf numFmtId="164" fontId="28" fillId="3" borderId="9" xfId="1" applyNumberFormat="1" applyFont="1" applyFill="1" applyBorder="1" applyAlignment="1">
      <alignment horizontal="center" vertical="center"/>
    </xf>
    <xf numFmtId="164" fontId="28" fillId="3" borderId="10" xfId="1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/>
    </xf>
    <xf numFmtId="44" fontId="8" fillId="0" borderId="18" xfId="1" applyFont="1" applyBorder="1" applyAlignment="1">
      <alignment horizontal="center" vertical="center"/>
    </xf>
    <xf numFmtId="164" fontId="28" fillId="3" borderId="7" xfId="0" applyNumberFormat="1" applyFont="1" applyFill="1" applyBorder="1" applyAlignment="1">
      <alignment horizontal="center" vertical="center"/>
    </xf>
    <xf numFmtId="164" fontId="28" fillId="3" borderId="8" xfId="0" applyNumberFormat="1" applyFont="1" applyFill="1" applyBorder="1" applyAlignment="1">
      <alignment horizontal="center" vertical="center"/>
    </xf>
    <xf numFmtId="164" fontId="28" fillId="3" borderId="9" xfId="0" applyNumberFormat="1" applyFont="1" applyFill="1" applyBorder="1" applyAlignment="1">
      <alignment horizontal="center" vertical="center"/>
    </xf>
    <xf numFmtId="164" fontId="28" fillId="3" borderId="10" xfId="0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 wrapText="1"/>
    </xf>
    <xf numFmtId="44" fontId="8" fillId="0" borderId="18" xfId="1" applyFont="1" applyBorder="1" applyAlignment="1">
      <alignment horizontal="center" vertical="center" wrapText="1"/>
    </xf>
    <xf numFmtId="7" fontId="11" fillId="4" borderId="8" xfId="1" applyNumberFormat="1" applyFont="1" applyFill="1" applyBorder="1" applyAlignment="1">
      <alignment horizontal="center" vertical="center"/>
    </xf>
    <xf numFmtId="7" fontId="11" fillId="4" borderId="10" xfId="1" applyNumberFormat="1" applyFont="1" applyFill="1" applyBorder="1" applyAlignment="1">
      <alignment horizontal="center" vertical="center"/>
    </xf>
    <xf numFmtId="15" fontId="28" fillId="4" borderId="26" xfId="0" applyNumberFormat="1" applyFont="1" applyFill="1" applyBorder="1" applyAlignment="1">
      <alignment horizontal="center" vertical="center"/>
    </xf>
    <xf numFmtId="15" fontId="28" fillId="4" borderId="27" xfId="0" applyNumberFormat="1" applyFont="1" applyFill="1" applyBorder="1" applyAlignment="1">
      <alignment horizontal="center" vertical="center"/>
    </xf>
    <xf numFmtId="164" fontId="16" fillId="3" borderId="21" xfId="0" applyNumberFormat="1" applyFont="1" applyFill="1" applyBorder="1" applyAlignment="1">
      <alignment horizontal="center" vertical="center" wrapText="1"/>
    </xf>
    <xf numFmtId="164" fontId="16" fillId="3" borderId="22" xfId="0" applyNumberFormat="1" applyFont="1" applyFill="1" applyBorder="1" applyAlignment="1">
      <alignment horizontal="center" vertical="center" wrapText="1"/>
    </xf>
    <xf numFmtId="164" fontId="16" fillId="3" borderId="23" xfId="0" applyNumberFormat="1" applyFont="1" applyFill="1" applyBorder="1" applyAlignment="1">
      <alignment horizontal="center" vertical="center" wrapText="1"/>
    </xf>
    <xf numFmtId="164" fontId="16" fillId="3" borderId="24" xfId="0" applyNumberFormat="1" applyFont="1" applyFill="1" applyBorder="1" applyAlignment="1">
      <alignment horizontal="center" vertical="center" wrapText="1"/>
    </xf>
    <xf numFmtId="44" fontId="8" fillId="0" borderId="7" xfId="1" applyFont="1" applyBorder="1" applyAlignment="1">
      <alignment horizontal="right" vertical="center"/>
    </xf>
    <xf numFmtId="44" fontId="8" fillId="0" borderId="9" xfId="1" applyFont="1" applyBorder="1" applyAlignment="1">
      <alignment horizontal="right" vertical="center"/>
    </xf>
  </cellXfs>
  <cellStyles count="2">
    <cellStyle name="Moneda" xfId="1" builtinId="4"/>
    <cellStyle name="Normal" xfId="0" builtinId="0"/>
  </cellStyles>
  <dxfs count="151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alignment horizont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66FFFF"/>
      <color rgb="FF00FF00"/>
      <color rgb="FF33CC33"/>
      <color rgb="FF990033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3232</xdr:row>
      <xdr:rowOff>19050</xdr:rowOff>
    </xdr:from>
    <xdr:to>
      <xdr:col>6</xdr:col>
      <xdr:colOff>952498</xdr:colOff>
      <xdr:row>3235</xdr:row>
      <xdr:rowOff>152822</xdr:rowOff>
    </xdr:to>
    <xdr:sp macro="" textlink="">
      <xdr:nvSpPr>
        <xdr:cNvPr id="2" name="Cerrar llave 1"/>
        <xdr:cNvSpPr/>
      </xdr:nvSpPr>
      <xdr:spPr>
        <a:xfrm rot="5400000">
          <a:off x="7272125" y="663249774"/>
          <a:ext cx="733847" cy="403859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263386</xdr:colOff>
      <xdr:row>3221</xdr:row>
      <xdr:rowOff>140805</xdr:rowOff>
    </xdr:from>
    <xdr:to>
      <xdr:col>6</xdr:col>
      <xdr:colOff>736177</xdr:colOff>
      <xdr:row>3225</xdr:row>
      <xdr:rowOff>137164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4560" y="654740218"/>
          <a:ext cx="4059160" cy="79977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704022</xdr:colOff>
      <xdr:row>3408</xdr:row>
      <xdr:rowOff>447261</xdr:rowOff>
    </xdr:from>
    <xdr:to>
      <xdr:col>6</xdr:col>
      <xdr:colOff>1069138</xdr:colOff>
      <xdr:row>3414</xdr:row>
      <xdr:rowOff>24847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7826" y="691804891"/>
          <a:ext cx="4059160" cy="103532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1285875</xdr:colOff>
      <xdr:row>3344</xdr:row>
      <xdr:rowOff>38100</xdr:rowOff>
    </xdr:from>
    <xdr:to>
      <xdr:col>6</xdr:col>
      <xdr:colOff>939516</xdr:colOff>
      <xdr:row>3348</xdr:row>
      <xdr:rowOff>36645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24625" y="671903025"/>
          <a:ext cx="4054191" cy="79864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150" dataDxfId="149">
  <autoFilter ref="A1:H3239"/>
  <tableColumns count="8">
    <tableColumn id="1" name="Fecha" dataDxfId="148"/>
    <tableColumn id="2" name="Folio-Serie" dataDxfId="147"/>
    <tableColumn id="4" name="Nombre-Cliente" dataDxfId="146"/>
    <tableColumn id="6" name="Importe" dataDxfId="145" dataCellStyle="Moneda"/>
    <tableColumn id="7" name="Fecha-Pago" dataDxfId="144"/>
    <tableColumn id="8" name="Pagado" dataDxfId="143" dataCellStyle="Moneda"/>
    <tableColumn id="9" name="Saldo" dataDxfId="142" dataCellStyle="Moneda">
      <calculatedColumnFormula>Tabla1[[#This Row],[Importe]]-Tabla1[[#This Row],[Pagado]]</calculatedColumnFormula>
    </tableColumn>
    <tableColumn id="10" name="Estado" dataDxfId="14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140" dataDxfId="139">
  <autoFilter ref="A1:I3171"/>
  <tableColumns count="9">
    <tableColumn id="1" name="Fecha" dataDxfId="138" totalsRowDxfId="137"/>
    <tableColumn id="2" name="Folio-Serie" dataDxfId="136" totalsRowDxfId="135"/>
    <tableColumn id="4" name="Nombre-Cliente" dataDxfId="134" totalsRowDxfId="133"/>
    <tableColumn id="6" name="Importe" totalsRowFunction="sum" dataDxfId="132" totalsRowDxfId="131" dataCellStyle="Moneda"/>
    <tableColumn id="7" name="Fecha-Pago" dataDxfId="130" totalsRowDxfId="129"/>
    <tableColumn id="8" name="Pagado" totalsRowFunction="sum" dataDxfId="128" totalsRowDxfId="127" dataCellStyle="Moneda"/>
    <tableColumn id="9" name="Saldo" totalsRowFunction="sum" dataDxfId="126" totalsRowDxfId="125" dataCellStyle="Moneda">
      <calculatedColumnFormula>Tabla13[[#This Row],[Importe]]-Tabla13[[#This Row],[Pagado]]</calculatedColumnFormula>
    </tableColumn>
    <tableColumn id="10" name="Estado" dataDxfId="124" totalsRowDxfId="123"/>
    <tableColumn id="3" name="Columna1" dataDxfId="122" totalsRowDxfId="12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120" dataDxfId="119">
  <autoFilter ref="A1:H3444"/>
  <tableColumns count="8">
    <tableColumn id="1" name="Fecha" dataDxfId="118"/>
    <tableColumn id="2" name="Folio-Serie" dataDxfId="117"/>
    <tableColumn id="4" name="Nombre-Cliente" dataDxfId="116"/>
    <tableColumn id="6" name="Importe" dataDxfId="115" dataCellStyle="Moneda"/>
    <tableColumn id="7" name="Fecha-Pago" dataDxfId="114"/>
    <tableColumn id="8" name="Pagado" dataDxfId="113" dataCellStyle="Moneda"/>
    <tableColumn id="9" name="Saldo" dataDxfId="112" dataCellStyle="Moneda">
      <calculatedColumnFormula>Tabla14[[#This Row],[Importe]]-Tabla14[[#This Row],[Pagado]]</calculatedColumnFormula>
    </tableColumn>
    <tableColumn id="10" name="Estado" dataDxfId="11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110" dataDxfId="109" totalsRowDxfId="108">
  <autoFilter ref="A1:H3373"/>
  <tableColumns count="8">
    <tableColumn id="1" name="Fecha" dataDxfId="107" totalsRowDxfId="106"/>
    <tableColumn id="2" name="Folio-Serie" dataDxfId="105" totalsRowDxfId="104"/>
    <tableColumn id="4" name="Nombre-Cliente" dataDxfId="103" totalsRowDxfId="102"/>
    <tableColumn id="6" name="Importe" totalsRowFunction="sum" dataDxfId="101" totalsRowDxfId="100" dataCellStyle="Moneda"/>
    <tableColumn id="7" name="Fecha-Pago" dataDxfId="99" totalsRowDxfId="98"/>
    <tableColumn id="8" name="Pagado" totalsRowFunction="sum" dataDxfId="97" totalsRowDxfId="96" dataCellStyle="Moneda"/>
    <tableColumn id="9" name="Saldo" totalsRowFunction="sum" dataDxfId="95" totalsRowDxfId="94" dataCellStyle="Moneda">
      <calculatedColumnFormula>Tabla15[[#This Row],[Importe]]-Tabla15[[#This Row],[Pagado]]</calculatedColumnFormula>
    </tableColumn>
    <tableColumn id="10" name="Estado" dataDxfId="93" totalsRowDxfId="9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91" dataDxfId="90">
  <autoFilter ref="A1:H3555"/>
  <tableColumns count="8">
    <tableColumn id="1" name="Fecha" dataDxfId="89" totalsRowDxfId="88"/>
    <tableColumn id="2" name="Folio-Serie" dataDxfId="87" totalsRowDxfId="86"/>
    <tableColumn id="4" name="Nombre-Cliente" dataDxfId="85" totalsRowDxfId="84"/>
    <tableColumn id="6" name="Importe" totalsRowFunction="sum" dataDxfId="83" totalsRowDxfId="82" dataCellStyle="Moneda"/>
    <tableColumn id="7" name="Fecha-Pago" dataDxfId="81" totalsRowDxfId="80"/>
    <tableColumn id="8" name="Pagado" totalsRowFunction="sum" dataDxfId="79" totalsRowDxfId="78" dataCellStyle="Moneda"/>
    <tableColumn id="9" name="Saldo" totalsRowFunction="sum" dataDxfId="77" totalsRowDxfId="76" dataCellStyle="Moneda">
      <calculatedColumnFormula>Tabla16[[#This Row],[Importe]]-Tabla16[[#This Row],[Pagado]]</calculatedColumnFormula>
    </tableColumn>
    <tableColumn id="10" name="Estado" dataDxfId="75" totalsRowDxfId="7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73" dataDxfId="72">
  <autoFilter ref="A1:H3337"/>
  <tableColumns count="8">
    <tableColumn id="1" name="Fecha" dataDxfId="71" totalsRowDxfId="70"/>
    <tableColumn id="2" name="Folio-Serie" dataDxfId="69" totalsRowDxfId="68"/>
    <tableColumn id="4" name="Nombre-Cliente" dataDxfId="67" totalsRowDxfId="66"/>
    <tableColumn id="6" name="Importe" totalsRowFunction="sum" dataDxfId="65" totalsRowDxfId="64" dataCellStyle="Moneda"/>
    <tableColumn id="7" name="Fecha-Pago" dataDxfId="63" totalsRowDxfId="62" dataCellStyle="Moneda"/>
    <tableColumn id="8" name="Pagado" totalsRowFunction="sum" dataDxfId="61" totalsRowDxfId="60" dataCellStyle="Moneda"/>
    <tableColumn id="9" name="Saldo" totalsRowFunction="sum" dataDxfId="59" totalsRowDxfId="58" dataCellStyle="Moneda"/>
    <tableColumn id="10" name="Estado" dataDxfId="57" totalsRowDxfId="56" dataCellStyle="Moned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H3232" totalsRowShown="0" headerRowDxfId="55" dataDxfId="54">
  <autoFilter ref="A1:H3232"/>
  <tableColumns count="8">
    <tableColumn id="1" name="Fecha" dataDxfId="53"/>
    <tableColumn id="2" name="Folio-Serie" dataDxfId="52"/>
    <tableColumn id="4" name="Nombre-Cliente" dataDxfId="51"/>
    <tableColumn id="6" name="Importe" dataDxfId="50" dataCellStyle="Moneda"/>
    <tableColumn id="7" name="Fecha-Pago" dataDxfId="49"/>
    <tableColumn id="8" name="Pagado" dataDxfId="48" dataCellStyle="Moneda"/>
    <tableColumn id="9" name="Saldo" dataDxfId="47" dataCellStyle="Moneda">
      <calculatedColumnFormula>Tabla18[[#This Row],[Importe]]-Tabla18[[#This Row],[Pagado]]</calculatedColumnFormula>
    </tableColumn>
    <tableColumn id="10" name="Estado" dataDxfId="4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a19" displayName="Tabla19" ref="A1:H3222" totalsRowCount="1" headerRowDxfId="45" dataDxfId="44">
  <autoFilter ref="A1:H3221"/>
  <tableColumns count="8">
    <tableColumn id="1" name="Fecha" dataDxfId="43" totalsRowDxfId="42"/>
    <tableColumn id="2" name="Folio-Serie" dataDxfId="41" totalsRowDxfId="40"/>
    <tableColumn id="4" name="Nombre-Cliente" dataDxfId="39" totalsRowDxfId="38"/>
    <tableColumn id="6" name="Importe" totalsRowFunction="sum" dataDxfId="37" totalsRowDxfId="36" dataCellStyle="Moneda"/>
    <tableColumn id="7" name="Fecha-Pago" dataDxfId="35" totalsRowDxfId="34"/>
    <tableColumn id="8" name="Pagado" totalsRowFunction="sum" dataDxfId="33" totalsRowDxfId="32" dataCellStyle="Moneda"/>
    <tableColumn id="9" name="Saldo" totalsRowFunction="sum" dataDxfId="31" totalsRowDxfId="30" dataCellStyle="Moneda">
      <calculatedColumnFormula>Tabla19[[#This Row],[Importe]]-Tabla19[[#This Row],[Pagado]]</calculatedColumnFormula>
    </tableColumn>
    <tableColumn id="10" name="Estado" dataDxfId="29" totalsRowDxfId="2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a110" displayName="Tabla110" ref="A1:H3409" totalsRowCount="1" headerRowDxfId="27" dataDxfId="26">
  <autoFilter ref="A1:H3408"/>
  <tableColumns count="8">
    <tableColumn id="1" name="Fecha" dataDxfId="25" totalsRowDxfId="24"/>
    <tableColumn id="2" name="Folio-Serie" dataDxfId="23" totalsRowDxfId="22"/>
    <tableColumn id="4" name="Nombre-Cliente" dataDxfId="21" totalsRowDxfId="20"/>
    <tableColumn id="6" name="Importe" totalsRowFunction="sum" dataDxfId="19" totalsRowDxfId="18" dataCellStyle="Moneda"/>
    <tableColumn id="7" name="Fecha-Pago" dataDxfId="17" totalsRowDxfId="16"/>
    <tableColumn id="8" name="Pagado" totalsRowFunction="sum" dataDxfId="15" totalsRowDxfId="14" dataCellStyle="Moneda"/>
    <tableColumn id="9" name="Saldo" totalsRowFunction="sum" dataDxfId="13" totalsRowDxfId="12" dataCellStyle="Moneda">
      <calculatedColumnFormula>Tabla110[[#This Row],[Importe]]-Tabla110[[#This Row],[Pagado]]</calculatedColumnFormula>
    </tableColumn>
    <tableColumn id="10" name="Estado" dataDxfId="11" totalsRowDxfId="10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la111" displayName="Tabla111" ref="A1:H3217" totalsRowShown="0" headerRowDxfId="9" dataDxfId="8">
  <autoFilter ref="A1:H3217"/>
  <tableColumns count="8">
    <tableColumn id="1" name="Fecha" dataDxfId="7"/>
    <tableColumn id="2" name="Folio-Serie" dataDxfId="6"/>
    <tableColumn id="4" name="Nombre-Cliente" dataDxfId="5"/>
    <tableColumn id="6" name="Importe" dataDxfId="4" dataCellStyle="Moneda"/>
    <tableColumn id="7" name="Fecha-Pago" dataDxfId="3"/>
    <tableColumn id="8" name="Pagado" dataDxfId="2" dataCellStyle="Moneda"/>
    <tableColumn id="9" name="Saldo" dataDxfId="1" dataCellStyle="Moneda">
      <calculatedColumnFormula>Tabla111[[#This Row],[Importe]]-Tabla111[[#This Row],[Pagado]]</calculatedColumnFormula>
    </tableColumn>
    <tableColumn id="10" name="Estad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7"/>
  <sheetViews>
    <sheetView zoomScale="130" zoomScaleNormal="130" workbookViewId="0">
      <pane xSplit="2" ySplit="1" topLeftCell="D3237" activePane="bottomRight" state="frozen"/>
      <selection pane="topRight" activeCell="C1" sqref="C1"/>
      <selection pane="bottomLeft" activeCell="A2" sqref="A2"/>
      <selection pane="bottomRight" activeCell="D3249" sqref="D3249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90.7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24631</v>
      </c>
      <c r="F1392" s="10">
        <f>1000+5000+1500+1000+2000+500+2500+5000+600+500+9940.2</f>
        <v>29540.2</v>
      </c>
      <c r="G1392" s="12">
        <f>Tabla1[[#This Row],[Importe]]-Tabla1[[#This Row],[Pagado]]</f>
        <v>2000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28521304.060000032</v>
      </c>
      <c r="G3239" s="30">
        <f>SUBTOTAL(109,G2:G3238)</f>
        <v>2000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246">
        <f>D3239-F3239</f>
        <v>2000</v>
      </c>
      <c r="F3245" s="247"/>
    </row>
    <row r="3246" spans="1:8" ht="15.75" thickBot="1" x14ac:dyDescent="0.3">
      <c r="E3246" s="248"/>
      <c r="F3246" s="249"/>
    </row>
    <row r="3247" spans="1:8" x14ac:dyDescent="0.25">
      <c r="E3247" s="250" t="s">
        <v>28010</v>
      </c>
      <c r="F3247" s="250"/>
    </row>
  </sheetData>
  <mergeCells count="2">
    <mergeCell ref="E3245:F3246"/>
    <mergeCell ref="E3247:F3247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257" t="s">
        <v>10570</v>
      </c>
      <c r="Q1118" s="255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258"/>
      <c r="Q1119" s="256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251">
        <f>Tabla13[[#Totals],[Importe]]-Tabla13[[#Totals],[Pagado]]</f>
        <v>0</v>
      </c>
      <c r="F3177" s="252"/>
    </row>
    <row r="3178" spans="1:9" ht="16.5" thickBot="1" x14ac:dyDescent="0.3">
      <c r="E3178" s="253"/>
      <c r="F3178" s="254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259">
        <f>D3446-F3446</f>
        <v>0</v>
      </c>
      <c r="F3452" s="260"/>
      <c r="G3452" s="265"/>
    </row>
    <row r="3453" spans="1:8" x14ac:dyDescent="0.25">
      <c r="E3453" s="261"/>
      <c r="F3453" s="262"/>
      <c r="G3453" s="265"/>
    </row>
    <row r="3454" spans="1:8" ht="16.5" thickBot="1" x14ac:dyDescent="0.3">
      <c r="E3454" s="263"/>
      <c r="F3454" s="264"/>
      <c r="G3454" s="265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17784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266">
        <f>Tabla15[[#Totals],[Importe]]-Tabla15[[#Totals],[Pagado]]</f>
        <v>0</v>
      </c>
      <c r="F3381" s="267"/>
    </row>
    <row r="3382" spans="1:6" ht="16.5" thickBot="1" x14ac:dyDescent="0.3">
      <c r="E3382" s="268"/>
      <c r="F3382" s="269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5"/>
  <sheetViews>
    <sheetView zoomScale="115" zoomScaleNormal="115" workbookViewId="0">
      <pane xSplit="2" ySplit="1" topLeftCell="D3552" activePane="bottomRight" state="frozen"/>
      <selection pane="topRight" activeCell="C1" sqref="C1"/>
      <selection pane="bottomLeft" activeCell="A2" sqref="A2"/>
      <selection pane="bottomRight" activeCell="F3566" sqref="F3566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47.2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24625</v>
      </c>
      <c r="F2456" s="34">
        <f>2700+500+989.9</f>
        <v>4189.8999999999996</v>
      </c>
      <c r="G2456" s="36">
        <f>Tabla16[[#This Row],[Importe]]-Tabla16[[#This Row],[Pagado]]</f>
        <v>0</v>
      </c>
      <c r="H2456" s="38" t="s">
        <v>10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35622176.49999997</v>
      </c>
      <c r="G3556" s="113">
        <f>SUBTOTAL(109,Tabla16[Saldo])</f>
        <v>56000</v>
      </c>
      <c r="H3556" s="107"/>
    </row>
    <row r="3561" spans="1:8" ht="16.5" thickBot="1" x14ac:dyDescent="0.3"/>
    <row r="3562" spans="1:8" x14ac:dyDescent="0.25">
      <c r="E3562" s="270">
        <f>Tabla16[[#Totals],[Importe]]-Tabla16[[#Totals],[Pagado]]</f>
        <v>55999.999999992549</v>
      </c>
      <c r="F3562" s="271"/>
      <c r="G3562" s="272"/>
    </row>
    <row r="3563" spans="1:8" x14ac:dyDescent="0.25">
      <c r="E3563" s="273"/>
      <c r="F3563" s="274"/>
      <c r="G3563" s="275"/>
    </row>
    <row r="3564" spans="1:8" ht="16.5" thickBot="1" x14ac:dyDescent="0.3">
      <c r="E3564" s="276"/>
      <c r="F3564" s="277"/>
      <c r="G3564" s="278"/>
    </row>
    <row r="3565" spans="1:8" x14ac:dyDescent="0.25">
      <c r="F3565" s="34" t="s">
        <v>28009</v>
      </c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zoomScale="115" zoomScaleNormal="115" workbookViewId="0">
      <pane xSplit="2" ySplit="1" topLeftCell="E3327" activePane="bottomRight" state="frozen"/>
      <selection pane="topRight" activeCell="C1" sqref="C1"/>
      <selection pane="bottomLeft" activeCell="A2" sqref="A2"/>
      <selection pane="bottomRight" activeCell="B3337" sqref="B3336:B3337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17785</v>
      </c>
      <c r="C2" s="129" t="s">
        <v>475</v>
      </c>
      <c r="D2" s="130">
        <v>79703.100000000006</v>
      </c>
      <c r="E2" s="131" t="s">
        <v>17786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17787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17788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17789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17790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17791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17792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17793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17794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17795</v>
      </c>
      <c r="C11" s="129" t="s">
        <v>39</v>
      </c>
      <c r="D11" s="130">
        <v>18114.3</v>
      </c>
      <c r="E11" s="131" t="s">
        <v>17796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17797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17798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17799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17800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17801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17802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17803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17804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17805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17806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17807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17808</v>
      </c>
      <c r="C23" s="129" t="s">
        <v>22</v>
      </c>
      <c r="D23" s="130">
        <v>33919.300000000003</v>
      </c>
      <c r="E23" s="131" t="s">
        <v>17786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17809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17810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17811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17812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17813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17814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17815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17816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17817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17818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17819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17820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17821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17822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17823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17824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17825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17826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17827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17828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17829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17830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17831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17832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17833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17834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17835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17836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17837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17838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17839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17840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17841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17842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17843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17844</v>
      </c>
      <c r="C59" s="129" t="s">
        <v>275</v>
      </c>
      <c r="D59" s="130">
        <v>66820.539999999994</v>
      </c>
      <c r="E59" s="131" t="s">
        <v>17845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17846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17847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17848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17849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17850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17851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17852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17853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17854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17855</v>
      </c>
      <c r="C69" s="129" t="s">
        <v>17856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17857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17858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17859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17860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17861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17862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17863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17864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17865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17866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17867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17868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17869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17870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17871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17872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17873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17874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17875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17876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17877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17878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17879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17880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17881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17882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17883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17884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17885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17886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17887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17888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17889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17890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17891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17892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17893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17894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17895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17896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17897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17898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17899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17900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17901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17902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17903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17904</v>
      </c>
      <c r="C117" s="129" t="s">
        <v>475</v>
      </c>
      <c r="D117" s="130">
        <v>63116.1</v>
      </c>
      <c r="E117" s="131" t="s">
        <v>17796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17905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17906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17907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17908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17909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17910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17911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17912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17913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17914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17915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17916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17917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17918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17919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17920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17921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17922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17923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17924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17925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17926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17927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17928</v>
      </c>
      <c r="C141" s="129" t="s">
        <v>17929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17930</v>
      </c>
      <c r="C142" s="129" t="s">
        <v>17931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17932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17933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17934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17935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17936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17937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17938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17939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17940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17941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17942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17943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17944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17945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17946</v>
      </c>
      <c r="C157" s="129" t="s">
        <v>17947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17948</v>
      </c>
      <c r="I157" s="135"/>
    </row>
    <row r="158" spans="1:9" ht="21.75" customHeight="1" x14ac:dyDescent="0.25">
      <c r="A158" s="127">
        <v>44714</v>
      </c>
      <c r="B158" s="128" t="s">
        <v>17949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17950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17951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17952</v>
      </c>
      <c r="C161" s="129" t="s">
        <v>17953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17954</v>
      </c>
      <c r="I161" s="135"/>
    </row>
    <row r="162" spans="1:9" ht="21.75" customHeight="1" x14ac:dyDescent="0.25">
      <c r="A162" s="127">
        <v>44714</v>
      </c>
      <c r="B162" s="128" t="s">
        <v>17955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17956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17957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17958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17959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17960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17961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17962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17963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17964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17965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17966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17967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17968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17969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17970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17971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17972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17973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17974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17975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17976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17977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17978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17979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17980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17981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17982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17983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17984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17985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17986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17987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17988</v>
      </c>
      <c r="C195" s="129" t="s">
        <v>17989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17990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17991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17992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17993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17994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17995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17996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17997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17998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17999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18000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18001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18002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18003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18004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18005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18006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18007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18008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18009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18010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18011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18012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18013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18014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18015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18016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18017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18018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18019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18020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18021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18022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18023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18024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18025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18026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18027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18028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18029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18030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18031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18032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18033</v>
      </c>
      <c r="C239" s="129" t="s">
        <v>475</v>
      </c>
      <c r="D239" s="130">
        <v>60573.9</v>
      </c>
      <c r="E239" s="131" t="s">
        <v>18034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18035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18036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18037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18038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18039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18040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18041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18042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18043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18044</v>
      </c>
      <c r="C249" s="129" t="s">
        <v>18045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18046</v>
      </c>
      <c r="I249" s="135"/>
    </row>
    <row r="250" spans="1:9" ht="21.75" customHeight="1" x14ac:dyDescent="0.25">
      <c r="A250" s="127">
        <v>44715</v>
      </c>
      <c r="B250" s="128" t="s">
        <v>18047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18048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18049</v>
      </c>
      <c r="C252" s="129" t="s">
        <v>93</v>
      </c>
      <c r="D252" s="130">
        <v>7634.5</v>
      </c>
      <c r="E252" s="131" t="s">
        <v>18050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18051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18052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18053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18054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18055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18056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18057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18058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18059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18060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18061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18062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18063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18064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18065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18066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18067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18068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18069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18070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18071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18072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18073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18074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18075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18076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18077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18078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18079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18080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18081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18082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18083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18084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18085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18086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18087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18088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18089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18090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18091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18092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18093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18094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18095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18096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18097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18098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18099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18100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18101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18102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18103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18104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18105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18106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18107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18108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18109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18110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18111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18112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18113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18114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18115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18116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18117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18118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18119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18120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18121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18122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18123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18124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18125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18126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18127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18128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18129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18130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18131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18132</v>
      </c>
      <c r="C334" s="129" t="s">
        <v>18133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18134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18135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18136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18137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18138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18139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18140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18141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18142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18143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18144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18145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18146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18147</v>
      </c>
      <c r="C348" s="129" t="s">
        <v>284</v>
      </c>
      <c r="D348" s="130">
        <v>9395.2000000000007</v>
      </c>
      <c r="E348" s="131" t="s">
        <v>18148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18149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18150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18151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18152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18153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18154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18155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18156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18157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18158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18159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18160</v>
      </c>
      <c r="C360" s="129" t="s">
        <v>414</v>
      </c>
      <c r="D360" s="130">
        <v>36.58</v>
      </c>
      <c r="E360" s="131" t="s">
        <v>18161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18162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18163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18164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18165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18166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18167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18168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18169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18170</v>
      </c>
      <c r="C369" s="129" t="s">
        <v>22</v>
      </c>
      <c r="D369" s="130">
        <v>65898.8</v>
      </c>
      <c r="E369" s="131" t="s">
        <v>18171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18172</v>
      </c>
      <c r="C370" s="129" t="s">
        <v>475</v>
      </c>
      <c r="D370" s="130">
        <v>99765.8</v>
      </c>
      <c r="E370" s="131" t="s">
        <v>18171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18173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18174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18175</v>
      </c>
      <c r="C373" s="129" t="s">
        <v>18176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18177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18178</v>
      </c>
      <c r="C375" s="129" t="s">
        <v>75</v>
      </c>
      <c r="D375" s="130">
        <v>18636.8</v>
      </c>
      <c r="E375" s="131" t="s">
        <v>18034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18179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18180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18181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18182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18183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18184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18185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18186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18187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18188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18189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18190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18191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18192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18193</v>
      </c>
      <c r="C390" s="129" t="s">
        <v>60</v>
      </c>
      <c r="D390" s="130">
        <v>9786.6</v>
      </c>
      <c r="E390" s="131" t="s">
        <v>18194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18195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18196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18197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18198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18199</v>
      </c>
      <c r="C395" s="129" t="s">
        <v>39</v>
      </c>
      <c r="D395" s="130">
        <v>29951.5</v>
      </c>
      <c r="E395" s="131" t="s">
        <v>18200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18201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18202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18203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18204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18205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18206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18207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18208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18209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18210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18211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18212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18213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18214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18215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18216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18217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18218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18219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18220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18221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18222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18223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18224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18225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18226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18227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18228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18229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18230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18231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18232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18233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18234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18235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18236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18237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18238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18239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18240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18241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18242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18243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18244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18245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18246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18247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18248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18249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18250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18251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18252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18253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18254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18255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18256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18257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18258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18259</v>
      </c>
      <c r="C454" s="129" t="s">
        <v>18260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18261</v>
      </c>
      <c r="I454" s="135"/>
    </row>
    <row r="455" spans="1:9" ht="21.75" customHeight="1" x14ac:dyDescent="0.25">
      <c r="A455" s="127">
        <v>44716</v>
      </c>
      <c r="B455" s="128" t="s">
        <v>18262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18263</v>
      </c>
      <c r="C456" s="129" t="s">
        <v>18264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18265</v>
      </c>
      <c r="I456" s="135"/>
    </row>
    <row r="457" spans="1:9" ht="21.75" customHeight="1" x14ac:dyDescent="0.25">
      <c r="A457" s="127">
        <v>44716</v>
      </c>
      <c r="B457" s="128" t="s">
        <v>18266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18267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18268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18269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18270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18271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18272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18273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18274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18275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18276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18277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18278</v>
      </c>
      <c r="C469" s="129" t="s">
        <v>18279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18280</v>
      </c>
      <c r="I469" s="135"/>
    </row>
    <row r="470" spans="1:9" ht="21.75" customHeight="1" x14ac:dyDescent="0.25">
      <c r="A470" s="127">
        <v>44716</v>
      </c>
      <c r="B470" s="128" t="s">
        <v>18281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18282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18283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18284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18285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18286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18287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18288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18289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18290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18291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18292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18293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18294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18295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18296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18297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18298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18299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18300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18301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18302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18303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18304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18305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18306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18307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18308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18309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18310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18311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18312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18313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18314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18315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18316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18317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18318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18319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18320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18321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18322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18323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18324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18325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18326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18327</v>
      </c>
      <c r="C516" s="129" t="s">
        <v>475</v>
      </c>
      <c r="D516" s="130">
        <v>63191</v>
      </c>
      <c r="E516" s="131" t="s">
        <v>18328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18329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18330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18331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18332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18333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18334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18335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18336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18337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18338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18339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18340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18341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18342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18343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18344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18345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18346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18347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18348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18349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18350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18351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18352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18353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18354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18355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18356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18357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18358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18359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18360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18361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18362</v>
      </c>
      <c r="C550" s="129" t="s">
        <v>18363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18364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18365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18366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18367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18368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18369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18370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18371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18372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18373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18374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18375</v>
      </c>
      <c r="C562" s="129" t="s">
        <v>18376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18377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18378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18379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18380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18381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18382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18383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18384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18385</v>
      </c>
      <c r="C571" s="129" t="s">
        <v>475</v>
      </c>
      <c r="D571" s="130">
        <v>103263.2</v>
      </c>
      <c r="E571" s="131" t="s">
        <v>18386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18387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18388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18389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18390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18391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18392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18393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18394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18395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18396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18397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18398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18399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18400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18401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18402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18403</v>
      </c>
      <c r="C588" s="129" t="s">
        <v>93</v>
      </c>
      <c r="D588" s="130">
        <v>8706.7000000000007</v>
      </c>
      <c r="E588" s="131" t="s">
        <v>18404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18405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18406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18407</v>
      </c>
      <c r="C591" s="129" t="s">
        <v>99</v>
      </c>
      <c r="D591" s="130">
        <v>4725.3999999999996</v>
      </c>
      <c r="E591" s="131" t="s">
        <v>18404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18408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18409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18410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18411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18412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18413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18414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18415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18416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18417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18418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18419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18420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18421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18422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18423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18424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18425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18426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18427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18428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18429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18430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18431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18432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18433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18434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18435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18436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18437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18438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18439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18440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18441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18442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18443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18444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18445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18446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18447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18448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18449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18450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18451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18452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18453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18454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18455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18456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18457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18458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18459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18460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18461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18462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18463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18464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18465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18466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18467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18468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18469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18470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18471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18472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18473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18474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18475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18476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18477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18478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18479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18480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18481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18482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18483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18484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18485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18486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18487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18488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18489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18490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18491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18492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18493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18494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18495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18496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18497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18498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18499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18500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18501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18502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18503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18504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18505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18506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18507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18508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18509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18510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18511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18512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18513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18514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18515</v>
      </c>
      <c r="C699" s="129" t="s">
        <v>22</v>
      </c>
      <c r="D699" s="130">
        <v>33123.300000000003</v>
      </c>
      <c r="E699" s="131" t="s">
        <v>18516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18517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18518</v>
      </c>
      <c r="C701" s="129" t="s">
        <v>99</v>
      </c>
      <c r="D701" s="130">
        <v>2930.8</v>
      </c>
      <c r="E701" s="131" t="s">
        <v>18516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18519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18520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18521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18522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18523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18524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18525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18526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18527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18528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18529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18530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18531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18532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18533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18534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18535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18536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18537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18538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18539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18540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18541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18542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18543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18544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18545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18546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18547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18548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18549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18550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18551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18552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18553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18554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18555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18556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18557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18558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18559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18560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18561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18562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18563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18564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18565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18566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18567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18568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18569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18570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18571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18572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18573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18574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18575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18576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18577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18578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18579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18580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18581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18582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18583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18584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18585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18586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18587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18588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18589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18590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18591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18592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18593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18594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18595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18596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18597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18598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18599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18600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18601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18602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18603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18604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18605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18606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18607</v>
      </c>
      <c r="C790" s="129" t="s">
        <v>475</v>
      </c>
      <c r="D790" s="130">
        <v>83905</v>
      </c>
      <c r="E790" s="131" t="s">
        <v>18608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18609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18610</v>
      </c>
      <c r="C792" s="129" t="s">
        <v>18611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18612</v>
      </c>
      <c r="I792" s="135"/>
    </row>
    <row r="793" spans="1:9" ht="21.75" customHeight="1" x14ac:dyDescent="0.25">
      <c r="A793" s="127">
        <v>44720</v>
      </c>
      <c r="B793" s="128" t="s">
        <v>18613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18614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18615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18616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18617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18618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18619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18620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18621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18622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18623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18624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18625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18626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18627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18628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18629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18630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18631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18632</v>
      </c>
      <c r="I811" s="135"/>
    </row>
    <row r="812" spans="1:9" ht="21.75" customHeight="1" x14ac:dyDescent="0.25">
      <c r="A812" s="127">
        <v>44720</v>
      </c>
      <c r="B812" s="128" t="s">
        <v>18633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18634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18635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18636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18637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18638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18639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18640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18641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18642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18643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18644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18645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18646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18647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18648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18649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18650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18651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18652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18653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18654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18655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18656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18657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18658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18659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18660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18661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18662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18663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18664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18665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18666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18667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18668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18669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18670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18671</v>
      </c>
      <c r="I849" s="135"/>
    </row>
    <row r="850" spans="1:9" ht="21.75" customHeight="1" x14ac:dyDescent="0.25">
      <c r="A850" s="127">
        <v>44720</v>
      </c>
      <c r="B850" s="128" t="s">
        <v>18672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18673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18674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18675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18676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18677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18678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18679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18680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18681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18682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18683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18684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18685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18686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18687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18688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18689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18690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18691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18692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18693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18694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18695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18696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18697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18698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18699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18700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18701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18702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18703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18704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18705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18706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18707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18708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18709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18710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18711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18712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18713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18714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18715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18716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18717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18718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18719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18720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18721</v>
      </c>
      <c r="C899" s="129" t="s">
        <v>18722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18723</v>
      </c>
      <c r="I899" s="135"/>
    </row>
    <row r="900" spans="1:9" ht="21.75" customHeight="1" x14ac:dyDescent="0.25">
      <c r="A900" s="127">
        <v>44720</v>
      </c>
      <c r="B900" s="128" t="s">
        <v>18724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18725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18726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18727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18728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18729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18730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18731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18732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18733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18734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18735</v>
      </c>
      <c r="C911" s="129" t="s">
        <v>39</v>
      </c>
      <c r="D911" s="130">
        <v>18780</v>
      </c>
      <c r="E911" s="131" t="s">
        <v>18736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18737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18738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18739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18740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18741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18742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18743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18744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18745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18746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18747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18748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18749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18750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18751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18752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18753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18754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18755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18756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18757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18758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18759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18760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18761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18762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18763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18764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18765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18766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18767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18768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18769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18770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18771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18772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18773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18774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18775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18776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18777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18778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18779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18780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18781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18782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18783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18784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18785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18786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18787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18788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18789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18790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18791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18792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18793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18794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18795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18796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18797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18798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18799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18800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18801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18802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18803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18804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18805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18806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18807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18808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18809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18810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18811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18812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18813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18814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18815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18816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18817</v>
      </c>
      <c r="C992" s="129" t="s">
        <v>18818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18819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18820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18821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18822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18823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18824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18825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18826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18827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18828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18829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18830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18831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18832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18833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18834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18835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18836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18837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18838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18839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18840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18841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18842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18843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18844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18845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18846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18847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18848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18849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18850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18851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18852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18853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18854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18855</v>
      </c>
      <c r="C1029" s="129" t="s">
        <v>93</v>
      </c>
      <c r="D1029" s="130">
        <v>9612.6</v>
      </c>
      <c r="E1029" s="131" t="s">
        <v>18856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18857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18858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18859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18860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18861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18862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18863</v>
      </c>
      <c r="I1035" s="135"/>
    </row>
    <row r="1036" spans="1:9" ht="21.75" customHeight="1" x14ac:dyDescent="0.25">
      <c r="A1036" s="127">
        <v>44722</v>
      </c>
      <c r="B1036" s="128" t="s">
        <v>18864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18865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18866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18867</v>
      </c>
      <c r="C1039" s="129" t="s">
        <v>39</v>
      </c>
      <c r="D1039" s="130">
        <v>15047.5</v>
      </c>
      <c r="E1039" s="131" t="s">
        <v>18868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18869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18870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18871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18872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18873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18874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18875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18876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18877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18878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18879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18880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18881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18882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18883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18884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18885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18886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18887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18888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18889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18890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18891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18892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18893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18894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18895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18896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18897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18898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18899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18900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18901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18902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18903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18904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18905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18906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18907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18908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18909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18910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18911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18912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18913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18914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18915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18916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18917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18918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18919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18920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18921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18922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18923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18924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18925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18926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18927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18928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18929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18930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18931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18932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18933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18934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18935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18936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18937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18938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18939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18940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18941</v>
      </c>
      <c r="C1112" s="129" t="s">
        <v>275</v>
      </c>
      <c r="D1112" s="130">
        <v>113042.23</v>
      </c>
      <c r="E1112" s="131" t="s">
        <v>18942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18943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18944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18945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18946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18947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18948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18949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18950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18951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18952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18953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18954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18955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18956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18957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18958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18959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18960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18961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18962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18963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18964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18965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18966</v>
      </c>
      <c r="C1136" s="129" t="s">
        <v>18967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18968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18969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18970</v>
      </c>
      <c r="C1139" s="129" t="s">
        <v>475</v>
      </c>
      <c r="D1139" s="130">
        <v>97608</v>
      </c>
      <c r="E1139" s="131" t="s">
        <v>18971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18972</v>
      </c>
      <c r="C1140" s="129" t="s">
        <v>75</v>
      </c>
      <c r="D1140" s="130">
        <v>20454.400000000001</v>
      </c>
      <c r="E1140" s="131" t="s">
        <v>18973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18974</v>
      </c>
      <c r="C1141" s="129" t="s">
        <v>22</v>
      </c>
      <c r="D1141" s="130">
        <v>57636.5</v>
      </c>
      <c r="E1141" s="131" t="s">
        <v>18971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18975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18976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18977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18978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18979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18980</v>
      </c>
      <c r="C1147" s="129" t="s">
        <v>2151</v>
      </c>
      <c r="D1147" s="130">
        <v>28553.4</v>
      </c>
      <c r="E1147" s="131" t="s">
        <v>18856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18981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18982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18983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18984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18985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18986</v>
      </c>
      <c r="C1153" s="129" t="s">
        <v>93</v>
      </c>
      <c r="D1153" s="130">
        <v>19170.2</v>
      </c>
      <c r="E1153" s="131" t="s">
        <v>18987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18988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18989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18990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18991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18992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18993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18994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18995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18996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18997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18998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18999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19000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19001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19002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19003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19004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19005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19006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19007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19008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19009</v>
      </c>
      <c r="C1175" s="129" t="s">
        <v>314</v>
      </c>
      <c r="D1175" s="130">
        <v>5106.8</v>
      </c>
      <c r="E1175" s="131" t="s">
        <v>19010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19011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19012</v>
      </c>
      <c r="C1177" s="129" t="s">
        <v>43</v>
      </c>
      <c r="D1177" s="130">
        <v>27855.599999999999</v>
      </c>
      <c r="E1177" s="131" t="s">
        <v>19013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19014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19015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19016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19017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19018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19019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19020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19021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19022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19023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19024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19025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19026</v>
      </c>
      <c r="C1190" s="129" t="s">
        <v>19027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19028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19029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19030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19031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19032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19033</v>
      </c>
      <c r="C1196" s="129" t="s">
        <v>19034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19035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19036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19037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19038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19039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19040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19041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19042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19043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19044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19045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19046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19047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19048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19049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19050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19051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19052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19053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19054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19055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19056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19057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19058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19059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19060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19061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19062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19063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19064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19065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19066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19067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19068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19069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19070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19071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19072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19073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19074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19075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19076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19077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19078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19079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19080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19081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19082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19083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19084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19085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19086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19087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19088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19089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19090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19091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19092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19093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19094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19095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19096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19097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19098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19099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19100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19101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19102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19103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19104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19105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19106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19107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19108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19109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19110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19111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19112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19113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19114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19115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19116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19117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19118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19119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19120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19121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19122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19123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19124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19125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19126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19127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19128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19129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19130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19131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19132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19133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19134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19135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19136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19137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19138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19139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19140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19141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19142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19143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19144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19145</v>
      </c>
      <c r="C1307" s="129" t="s">
        <v>18363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19146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19147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19148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19149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19150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19151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19152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19153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19154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19155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19156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19157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19158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19159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19160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19161</v>
      </c>
      <c r="C1323" s="129" t="s">
        <v>18376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19162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19163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19164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19165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19166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19167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19168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19169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19170</v>
      </c>
      <c r="C1332" s="129" t="s">
        <v>475</v>
      </c>
      <c r="D1332" s="130">
        <v>153222</v>
      </c>
      <c r="E1332" s="131" t="s">
        <v>19171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19172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19173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19174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19175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19176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19177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19178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19179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19180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60" x14ac:dyDescent="0.25">
      <c r="A1342" s="127">
        <v>44725</v>
      </c>
      <c r="B1342" s="128" t="s">
        <v>19181</v>
      </c>
      <c r="C1342" s="129" t="s">
        <v>39</v>
      </c>
      <c r="D1342" s="130">
        <v>25835.5</v>
      </c>
      <c r="E1342" s="11" t="s">
        <v>24623</v>
      </c>
      <c r="F1342" s="132">
        <f>5835+5000+4000+5000+3000+3000.5</f>
        <v>25835.5</v>
      </c>
      <c r="G1342" s="133">
        <f>Tabla147[[#This Row],[Importe]]-Tabla147[[#This Row],[Pagado]]</f>
        <v>0</v>
      </c>
      <c r="H1342" s="134" t="s">
        <v>10</v>
      </c>
      <c r="I1342" s="135"/>
    </row>
    <row r="1343" spans="1:9" ht="21.75" customHeight="1" x14ac:dyDescent="0.25">
      <c r="A1343" s="127">
        <v>44725</v>
      </c>
      <c r="B1343" s="128" t="s">
        <v>19182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19183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19184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19185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19186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19187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19188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19189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19190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19191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19192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19193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19194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19195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19196</v>
      </c>
      <c r="C1357" s="129" t="s">
        <v>22</v>
      </c>
      <c r="D1357" s="130">
        <v>51933</v>
      </c>
      <c r="E1357" s="131" t="s">
        <v>19197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19198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19199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19200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19201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19202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19203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19204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19205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19206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19207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19208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19209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19210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19211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19212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19213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19214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19215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19216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19217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19218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19219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19220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19221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19222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19223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19224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19225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19226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19227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19228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19229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19230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19231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19232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19233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19234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19235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19236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19237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19238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19239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19240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19241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19242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19243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19244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19245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19246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19247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19248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19249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19250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19251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19252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19253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19254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19255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19256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19257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19258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19259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19260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19261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19262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19263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19264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19265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19266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19267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19268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19269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19270</v>
      </c>
      <c r="C1430" s="129" t="s">
        <v>19271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19272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19273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19274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19275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19276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19277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19278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19279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19280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19281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19282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19283</v>
      </c>
      <c r="C1442" s="129" t="s">
        <v>10840</v>
      </c>
      <c r="D1442" s="130">
        <v>30594.1</v>
      </c>
      <c r="E1442" s="131" t="s">
        <v>19284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19285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19286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19287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19288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19289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19290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19291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19292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19293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19294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19295</v>
      </c>
      <c r="C1453" s="129" t="s">
        <v>99</v>
      </c>
      <c r="D1453" s="130">
        <v>5533.2</v>
      </c>
      <c r="E1453" s="131" t="s">
        <v>19296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19297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19298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19299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19300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19301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19302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19303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19304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19305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19306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19307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19308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19309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19310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19311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19312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19313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19314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19315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19316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19317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19318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19319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19320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19321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19322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19323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19324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19325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19326</v>
      </c>
      <c r="C1483" s="129" t="s">
        <v>19327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19328</v>
      </c>
      <c r="I1483" s="135"/>
    </row>
    <row r="1484" spans="1:9" ht="21.75" customHeight="1" x14ac:dyDescent="0.25">
      <c r="A1484" s="127">
        <v>44726</v>
      </c>
      <c r="B1484" s="128" t="s">
        <v>19329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19330</v>
      </c>
      <c r="I1484" s="135"/>
    </row>
    <row r="1485" spans="1:9" ht="21.75" customHeight="1" x14ac:dyDescent="0.25">
      <c r="A1485" s="127">
        <v>44726</v>
      </c>
      <c r="B1485" s="128" t="s">
        <v>19331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19332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19333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19334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19335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19336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19337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19338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19339</v>
      </c>
      <c r="C1493" s="129" t="s">
        <v>11033</v>
      </c>
      <c r="D1493" s="130">
        <v>3401.8</v>
      </c>
      <c r="E1493" s="131" t="s">
        <v>19340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19341</v>
      </c>
      <c r="C1494" s="129" t="s">
        <v>19342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19343</v>
      </c>
      <c r="I1494" s="135"/>
    </row>
    <row r="1495" spans="1:9" ht="21.75" customHeight="1" x14ac:dyDescent="0.25">
      <c r="A1495" s="127">
        <v>44726</v>
      </c>
      <c r="B1495" s="128" t="s">
        <v>19344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19345</v>
      </c>
      <c r="C1496" s="129" t="s">
        <v>19346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19347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19348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19349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19350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19351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19352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19353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19354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19355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19356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19357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19358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19359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19360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19361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19362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19363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19364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19365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19366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19367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19368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19369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19370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19371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19372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19373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19374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19375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19376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19377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19378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19379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19380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19381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19382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19383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19384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19385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19386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19387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19388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19389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19390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19391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19392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19393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19394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19395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19396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19397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19398</v>
      </c>
      <c r="C1548" s="129" t="s">
        <v>5620</v>
      </c>
      <c r="D1548" s="130">
        <v>33316.800000000003</v>
      </c>
      <c r="E1548" s="131">
        <v>44774</v>
      </c>
      <c r="F1548" s="132">
        <v>33316.800000000003</v>
      </c>
      <c r="G1548" s="133">
        <f>Tabla147[[#This Row],[Importe]]-Tabla147[[#This Row],[Pagado]]</f>
        <v>0</v>
      </c>
      <c r="H1548" s="134" t="s">
        <v>10</v>
      </c>
      <c r="I1548" s="135"/>
    </row>
    <row r="1549" spans="1:9" ht="21.75" customHeight="1" x14ac:dyDescent="0.25">
      <c r="A1549" s="127">
        <v>44726</v>
      </c>
      <c r="B1549" s="128" t="s">
        <v>19399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19400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19401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19402</v>
      </c>
      <c r="C1552" s="129" t="s">
        <v>19403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19404</v>
      </c>
      <c r="I1552" s="135"/>
    </row>
    <row r="1553" spans="1:9" ht="21.75" customHeight="1" x14ac:dyDescent="0.25">
      <c r="A1553" s="127">
        <v>44726</v>
      </c>
      <c r="B1553" s="128" t="s">
        <v>19405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19406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19407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19408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19409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19410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19411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19412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19413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19414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19415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19416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19417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19418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19419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19420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19421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19422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19423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19424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19425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19426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19427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19428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19429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19430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19431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19432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19433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19434</v>
      </c>
      <c r="C1582" s="129" t="s">
        <v>99</v>
      </c>
      <c r="D1582" s="130">
        <v>3367.4</v>
      </c>
      <c r="E1582" s="131" t="s">
        <v>19435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19436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19437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19438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19439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19440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19441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19442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19443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19444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19445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19446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19447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19448</v>
      </c>
      <c r="C1595" s="129" t="s">
        <v>19449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19450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19451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19452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19453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19454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19455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19456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19457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19458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19459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19460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19461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19462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19463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19464</v>
      </c>
      <c r="C1610" s="129" t="s">
        <v>27</v>
      </c>
      <c r="D1610" s="130">
        <v>1659.8</v>
      </c>
      <c r="E1610" s="131" t="s">
        <v>19465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19466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19467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19468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19469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19470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19471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19472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19473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19474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19475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19476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19477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19478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19479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19480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19481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19482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19483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19484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19485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19486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19487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19488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19489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19490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19491</v>
      </c>
      <c r="C1636" s="129" t="s">
        <v>555</v>
      </c>
      <c r="D1636" s="130">
        <v>43450.16</v>
      </c>
      <c r="E1636" s="131" t="s">
        <v>19492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19493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19494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19495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19496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19497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19498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19499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19500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19501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19502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19503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19504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19505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19506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19507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19508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19509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19510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19511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19512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19513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19514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19515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19516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19517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19518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19519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19520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19521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19522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19523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19524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19525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19526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19527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19528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19529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19530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19531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19532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19533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19534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19535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19536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19537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19538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19539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19540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19541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19542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19543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19544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19545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19546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19547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19548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19549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19550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19551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19552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19553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19554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19555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19556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19557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19558</v>
      </c>
      <c r="C1702" s="129" t="s">
        <v>93</v>
      </c>
      <c r="D1702" s="130">
        <v>9582.5</v>
      </c>
      <c r="E1702" s="131" t="s">
        <v>19559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19560</v>
      </c>
      <c r="C1703" s="129" t="s">
        <v>99</v>
      </c>
      <c r="D1703" s="130">
        <v>7840.7</v>
      </c>
      <c r="E1703" s="131" t="s">
        <v>19559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19561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19562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19563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19564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19565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19566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19567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19568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19569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19570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19571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19572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19573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19574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19575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19576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19577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19578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19579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19580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19581</v>
      </c>
      <c r="C1724" s="129" t="s">
        <v>19582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19583</v>
      </c>
      <c r="I1724" s="135"/>
    </row>
    <row r="1725" spans="1:9" ht="21.75" customHeight="1" x14ac:dyDescent="0.25">
      <c r="A1725" s="127">
        <v>44728</v>
      </c>
      <c r="B1725" s="128" t="s">
        <v>19584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19585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19586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19587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19588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19589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19590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19591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19592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19593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19594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19595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19596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19597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19598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19599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19600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19601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19602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19603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19604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19605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19606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19607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19608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19609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19610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19611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19612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19613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19614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19615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19616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19617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19618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19619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19620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19621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19622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19623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19624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19625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19626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19627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19628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19629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19630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19631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19632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19633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19634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19635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19636</v>
      </c>
      <c r="C1777" s="129" t="s">
        <v>19637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19638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19639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19640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19641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19642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19643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19644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19645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19646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19647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19648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19649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19650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19651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19652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19653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19654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19655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19656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19657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19658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19659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19660</v>
      </c>
      <c r="I1799" s="135"/>
    </row>
    <row r="1800" spans="1:9" ht="21.75" customHeight="1" x14ac:dyDescent="0.25">
      <c r="A1800" s="127">
        <v>44728</v>
      </c>
      <c r="B1800" s="128" t="s">
        <v>19661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19662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19663</v>
      </c>
      <c r="C1802" s="129" t="s">
        <v>22</v>
      </c>
      <c r="D1802" s="130">
        <v>76278.600000000006</v>
      </c>
      <c r="E1802" s="131" t="s">
        <v>19664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19665</v>
      </c>
      <c r="C1803" s="129" t="s">
        <v>475</v>
      </c>
      <c r="D1803" s="130">
        <v>66296.600000000006</v>
      </c>
      <c r="E1803" s="131" t="s">
        <v>19664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19666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19667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19668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19669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19670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19671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19672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19673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19674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19675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19676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19677</v>
      </c>
      <c r="C1815" s="129" t="s">
        <v>93</v>
      </c>
      <c r="D1815" s="130">
        <v>10608.4</v>
      </c>
      <c r="E1815" s="131" t="s">
        <v>19678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19679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19680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19681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19682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19683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19684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19685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19686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19687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19688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19689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19690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19691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19692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19693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19694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19695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19696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19697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19698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19699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19700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19701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19702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19703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19704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19705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19706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19707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19708</v>
      </c>
      <c r="I1844" s="135"/>
    </row>
    <row r="1845" spans="1:9" ht="21.75" customHeight="1" x14ac:dyDescent="0.25">
      <c r="A1845" s="127">
        <v>44729</v>
      </c>
      <c r="B1845" s="128" t="s">
        <v>19709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19710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19711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19712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19713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19714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19715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19716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19717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19718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19719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19720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19721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19722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19723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19724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19725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19726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19727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19728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19729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19730</v>
      </c>
      <c r="C1866" s="129" t="s">
        <v>670</v>
      </c>
      <c r="D1866" s="130">
        <v>7010.7</v>
      </c>
      <c r="E1866" s="131" t="s">
        <v>19559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19731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19732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19733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19734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19735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19736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19737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19738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19739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19740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19741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19742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19743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19744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19745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19746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19747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19748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19749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19750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19751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19752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19753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19754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19755</v>
      </c>
      <c r="C1891" s="129" t="s">
        <v>275</v>
      </c>
      <c r="D1891" s="130">
        <v>135797.85</v>
      </c>
      <c r="E1891" s="131" t="s">
        <v>21259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19756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19757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19758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19759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19760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19761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19762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19763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19764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19765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19766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19767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19768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19769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19770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19771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19772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19773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19774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19775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19776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19777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19778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19779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19780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19781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19782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19783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19784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19785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19786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19787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19788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19789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19790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19791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19792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19793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19794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19795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19796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19797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19798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19799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19800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19801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19802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19803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19804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19805</v>
      </c>
      <c r="C1941" s="129" t="s">
        <v>19637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19806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19807</v>
      </c>
      <c r="C1943" s="129" t="s">
        <v>475</v>
      </c>
      <c r="D1943" s="130">
        <v>93961</v>
      </c>
      <c r="E1943" s="131" t="s">
        <v>19808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19809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19810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19811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19812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19813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19814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19815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19816</v>
      </c>
      <c r="C1951" s="129" t="s">
        <v>99</v>
      </c>
      <c r="D1951" s="130">
        <v>15547</v>
      </c>
      <c r="E1951" s="131" t="s">
        <v>19817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19818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19819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19820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19821</v>
      </c>
      <c r="C1955" s="129" t="s">
        <v>18045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19822</v>
      </c>
      <c r="I1955" s="135"/>
    </row>
    <row r="1956" spans="1:9" ht="21.75" customHeight="1" x14ac:dyDescent="0.25">
      <c r="A1956" s="127">
        <v>44730</v>
      </c>
      <c r="B1956" s="128" t="s">
        <v>19823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19824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19825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19826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19827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19828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19829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19830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19831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19832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19833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19834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19835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19836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19837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19838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19839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19840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19841</v>
      </c>
      <c r="C1974" s="129" t="s">
        <v>22</v>
      </c>
      <c r="D1974" s="130">
        <v>70787.100000000006</v>
      </c>
      <c r="E1974" s="131" t="s">
        <v>19808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19842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19843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19844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19845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19846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19847</v>
      </c>
      <c r="C1980" s="129" t="s">
        <v>19848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19849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19850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19851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19852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19853</v>
      </c>
      <c r="C1985" s="129" t="s">
        <v>75</v>
      </c>
      <c r="D1985" s="130">
        <v>20583.599999999999</v>
      </c>
      <c r="E1985" s="131" t="s">
        <v>19664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19854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19855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19856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19857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19858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19859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19860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19861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19862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19863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19864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19865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19866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19867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19868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19869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19870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19871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19872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19873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19874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19875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19876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19877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19878</v>
      </c>
      <c r="C2010" s="129" t="s">
        <v>19879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19880</v>
      </c>
      <c r="I2010" s="135"/>
    </row>
    <row r="2011" spans="1:9" ht="21.75" customHeight="1" x14ac:dyDescent="0.25">
      <c r="A2011" s="127">
        <v>44730</v>
      </c>
      <c r="B2011" s="128" t="s">
        <v>19881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19882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19883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19884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19885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19886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19887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19888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19889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19890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19891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19892</v>
      </c>
      <c r="C2022" s="129" t="s">
        <v>9780</v>
      </c>
      <c r="D2022" s="130">
        <v>18603.599999999999</v>
      </c>
      <c r="E2022" s="131">
        <v>44776</v>
      </c>
      <c r="F2022" s="162">
        <v>18603.599999999999</v>
      </c>
      <c r="G2022" s="133">
        <f>Tabla147[[#This Row],[Importe]]-Tabla147[[#This Row],[Pagado]]</f>
        <v>0</v>
      </c>
      <c r="H2022" s="134" t="s">
        <v>10</v>
      </c>
      <c r="I2022" s="135"/>
    </row>
    <row r="2023" spans="1:9" ht="21.75" customHeight="1" x14ac:dyDescent="0.25">
      <c r="A2023" s="127">
        <v>44730</v>
      </c>
      <c r="B2023" s="128" t="s">
        <v>19893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19894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19895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19896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19897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19898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19899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19900</v>
      </c>
      <c r="I2029" s="135"/>
    </row>
    <row r="2030" spans="1:9" ht="21.75" customHeight="1" x14ac:dyDescent="0.25">
      <c r="A2030" s="127">
        <v>44730</v>
      </c>
      <c r="B2030" s="128" t="s">
        <v>19901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19902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19903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19904</v>
      </c>
      <c r="I2032" s="135"/>
    </row>
    <row r="2033" spans="1:9" ht="21.75" customHeight="1" x14ac:dyDescent="0.25">
      <c r="A2033" s="127">
        <v>44730</v>
      </c>
      <c r="B2033" s="128" t="s">
        <v>19905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19906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19907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19908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19909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19910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19911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19912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19913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19914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19915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19916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19917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19918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19919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19920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19921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19922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19923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19924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19925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19926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19927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19928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19929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19930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19931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19932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19933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19934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19935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19936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19937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19938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19939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19940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19941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19942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19943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19944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19945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19946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19947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19948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19949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19950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19951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19952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19953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19954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19955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19956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19957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19958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19959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19960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19961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19962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19963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19964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19965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19966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19967</v>
      </c>
      <c r="C2095" s="129" t="s">
        <v>475</v>
      </c>
      <c r="D2095" s="130">
        <v>53003.8</v>
      </c>
      <c r="E2095" s="131" t="s">
        <v>19284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19968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19969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19970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19971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19972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19973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19974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19975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19976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19977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19978</v>
      </c>
      <c r="C2106" s="129" t="s">
        <v>19979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19980</v>
      </c>
      <c r="I2106" s="135"/>
    </row>
    <row r="2107" spans="1:9" ht="21.75" customHeight="1" x14ac:dyDescent="0.25">
      <c r="A2107" s="127">
        <v>44731</v>
      </c>
      <c r="B2107" s="128" t="s">
        <v>19981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19982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19983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19984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19985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19986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19987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19988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19989</v>
      </c>
      <c r="I2114" s="135"/>
    </row>
    <row r="2115" spans="1:9" ht="21.75" customHeight="1" x14ac:dyDescent="0.25">
      <c r="A2115" s="127">
        <v>44731</v>
      </c>
      <c r="B2115" s="128" t="s">
        <v>19990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19991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19992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19993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19994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19995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19996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19997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19998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19999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20000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20001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20002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20003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20004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20005</v>
      </c>
      <c r="C2130" s="129" t="s">
        <v>67</v>
      </c>
      <c r="D2130" s="130">
        <v>3345.6</v>
      </c>
      <c r="E2130" s="131" t="s">
        <v>19808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20006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20007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20008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20009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20010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20011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20012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20013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20014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20015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20016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20017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20018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20019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20020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20021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20022</v>
      </c>
      <c r="C2147" s="129" t="s">
        <v>475</v>
      </c>
      <c r="D2147" s="130">
        <v>138991.6</v>
      </c>
      <c r="E2147" s="131" t="s">
        <v>20023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20024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20025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20026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20027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20028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20029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20030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20031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20032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20033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20034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20035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20036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20037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20038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20039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20040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20041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20042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20043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20044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20045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20046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20047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20048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20049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20050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20051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20052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20053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20054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20055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20056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20057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20058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20059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20060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20061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20062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20063</v>
      </c>
      <c r="I2186" s="135"/>
    </row>
    <row r="2187" spans="1:9" ht="21.75" customHeight="1" x14ac:dyDescent="0.25">
      <c r="A2187" s="127">
        <v>44732</v>
      </c>
      <c r="B2187" s="128" t="s">
        <v>20064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20065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20066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20067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20068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20069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20070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20071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20072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20073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20074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20075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20076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20077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20078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20079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20080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20081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20082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20083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20084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20085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20086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20087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20088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20089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20090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20091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20092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20093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20094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20095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20096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20097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20098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20099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20100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20101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20102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20103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20104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20105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20106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20107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20108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20109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20110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20111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20112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20113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20114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20115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20116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20117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20118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20119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20120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20121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20122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20123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20124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20125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20126</v>
      </c>
      <c r="C2249" s="129" t="s">
        <v>275</v>
      </c>
      <c r="D2249" s="130">
        <v>113629.2</v>
      </c>
      <c r="E2249" s="131" t="s">
        <v>21261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20127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20128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20129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20130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20131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20132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20133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20134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20135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20136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20137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20138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20139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20140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20141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20142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20143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20144</v>
      </c>
      <c r="C2267" s="129" t="s">
        <v>20145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20146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20147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20148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20149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20150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20151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20152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20153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20154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20155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20156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20157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20158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20159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20160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20161</v>
      </c>
      <c r="C2283" s="129" t="s">
        <v>114</v>
      </c>
      <c r="D2283" s="130">
        <v>11111.5</v>
      </c>
      <c r="E2283" s="131" t="s">
        <v>20023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20162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20163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20164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20165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20166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20167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20168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20169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20170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20171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20172</v>
      </c>
      <c r="I2293" s="135"/>
    </row>
    <row r="2294" spans="1:9" ht="21.75" customHeight="1" x14ac:dyDescent="0.25">
      <c r="A2294" s="127">
        <v>44733</v>
      </c>
      <c r="B2294" s="128" t="s">
        <v>20173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20174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20175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20176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20177</v>
      </c>
      <c r="I2297" s="135"/>
    </row>
    <row r="2298" spans="1:9" ht="21.75" customHeight="1" x14ac:dyDescent="0.25">
      <c r="A2298" s="127">
        <v>44733</v>
      </c>
      <c r="B2298" s="128" t="s">
        <v>20178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20179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20180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20181</v>
      </c>
      <c r="C2301" s="129" t="s">
        <v>20182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20183</v>
      </c>
      <c r="I2301" s="135"/>
    </row>
    <row r="2302" spans="1:9" ht="21.75" customHeight="1" x14ac:dyDescent="0.25">
      <c r="A2302" s="127">
        <v>44733</v>
      </c>
      <c r="B2302" s="128" t="s">
        <v>20184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20185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20186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20187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20188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20189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20190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20191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20192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20193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20194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20195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20196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20197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20198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20199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20200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20201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20202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20203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20204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20205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20206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20207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20208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20209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20210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20211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20212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20213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20214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20215</v>
      </c>
      <c r="C2333" s="129" t="s">
        <v>216</v>
      </c>
      <c r="D2333" s="130">
        <v>1836</v>
      </c>
      <c r="E2333" s="131" t="s">
        <v>20216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20217</v>
      </c>
      <c r="C2334" s="129" t="s">
        <v>31</v>
      </c>
      <c r="D2334" s="130">
        <v>590.4</v>
      </c>
      <c r="E2334" s="131" t="s">
        <v>20216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20218</v>
      </c>
      <c r="C2335" s="129" t="s">
        <v>51</v>
      </c>
      <c r="D2335" s="130">
        <v>1198.8</v>
      </c>
      <c r="E2335" s="131" t="s">
        <v>20216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20219</v>
      </c>
      <c r="C2336" s="129" t="s">
        <v>35</v>
      </c>
      <c r="D2336" s="130">
        <v>235.6</v>
      </c>
      <c r="E2336" s="131" t="s">
        <v>20216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20220</v>
      </c>
      <c r="C2337" s="129" t="s">
        <v>62</v>
      </c>
      <c r="D2337" s="130">
        <v>4073.4</v>
      </c>
      <c r="E2337" s="131" t="s">
        <v>20216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20221</v>
      </c>
      <c r="C2338" s="129" t="s">
        <v>24</v>
      </c>
      <c r="D2338" s="130">
        <v>4899.6000000000004</v>
      </c>
      <c r="E2338" s="131" t="s">
        <v>20216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20222</v>
      </c>
      <c r="C2339" s="129" t="s">
        <v>53</v>
      </c>
      <c r="D2339" s="130">
        <v>2978.2</v>
      </c>
      <c r="E2339" s="131" t="s">
        <v>20216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20223</v>
      </c>
      <c r="C2340" s="129" t="s">
        <v>15039</v>
      </c>
      <c r="D2340" s="130">
        <v>1187.5</v>
      </c>
      <c r="E2340" s="131" t="s">
        <v>20216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20224</v>
      </c>
      <c r="C2341" s="129" t="s">
        <v>31</v>
      </c>
      <c r="D2341" s="130">
        <v>1670.4</v>
      </c>
      <c r="E2341" s="131" t="s">
        <v>20216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20225</v>
      </c>
      <c r="C2342" s="129" t="s">
        <v>698</v>
      </c>
      <c r="D2342" s="130">
        <v>6729.3</v>
      </c>
      <c r="E2342" s="131" t="s">
        <v>20216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20226</v>
      </c>
      <c r="C2343" s="129" t="s">
        <v>419</v>
      </c>
      <c r="D2343" s="130">
        <v>12871.8</v>
      </c>
      <c r="E2343" s="131" t="s">
        <v>20216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20227</v>
      </c>
      <c r="C2344" s="129" t="s">
        <v>233</v>
      </c>
      <c r="D2344" s="130">
        <v>5197.6000000000004</v>
      </c>
      <c r="E2344" s="131" t="s">
        <v>20216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20228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20229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20230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20231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20232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20233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20234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20235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20236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20237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20238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20239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20240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20241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20242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20243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20244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20245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20246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20247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20248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20249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20250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20251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20252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20253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20254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20255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20256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20257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20258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20259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20260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20261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20262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20263</v>
      </c>
      <c r="C2380" s="129" t="s">
        <v>475</v>
      </c>
      <c r="D2380" s="130">
        <v>47758.6</v>
      </c>
      <c r="E2380" s="131" t="s">
        <v>20264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20265</v>
      </c>
      <c r="C2381" s="129" t="s">
        <v>99</v>
      </c>
      <c r="D2381" s="130">
        <v>3080.6</v>
      </c>
      <c r="E2381" s="131" t="s">
        <v>20264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20266</v>
      </c>
      <c r="C2382" s="129" t="s">
        <v>97</v>
      </c>
      <c r="D2382" s="130">
        <v>5082</v>
      </c>
      <c r="E2382" s="131" t="s">
        <v>20267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20268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20269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20270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20271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20272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20273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20274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20275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20276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20277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20278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20279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20280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20281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20282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20283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20284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20285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20286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20287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20288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20289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20290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20291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20292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20293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20294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20295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20296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20297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20298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20299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20300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20301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20302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20303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20304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20305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20306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20307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20308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20309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20310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20311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20312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20313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20314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20315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20316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20317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20318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20319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20320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20321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20322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20323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20324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20325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20326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20327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20328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20329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20330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20331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20332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20333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20334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20335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20336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20337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20338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20339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20340</v>
      </c>
      <c r="C2455" s="129" t="s">
        <v>20341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20342</v>
      </c>
      <c r="I2455" s="135"/>
    </row>
    <row r="2456" spans="1:9" ht="21.75" customHeight="1" x14ac:dyDescent="0.25">
      <c r="A2456" s="127">
        <v>44734</v>
      </c>
      <c r="B2456" s="128" t="s">
        <v>20343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20344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20345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20346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20347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20348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20349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20350</v>
      </c>
      <c r="C2463" s="129" t="s">
        <v>20341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20351</v>
      </c>
      <c r="I2463" s="135"/>
    </row>
    <row r="2464" spans="1:9" ht="21.75" customHeight="1" x14ac:dyDescent="0.25">
      <c r="A2464" s="127">
        <v>44734</v>
      </c>
      <c r="B2464" s="128" t="s">
        <v>20352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20353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20354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20355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20356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20357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20358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20359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20360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20361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20362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20363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20364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20365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20366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20367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20368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20369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20370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20371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20372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20373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20374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20375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20376</v>
      </c>
      <c r="C2488" s="129" t="s">
        <v>475</v>
      </c>
      <c r="D2488" s="130">
        <v>79112</v>
      </c>
      <c r="E2488" s="131" t="s">
        <v>20377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20378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20379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20380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20381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20382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20383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20384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20385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20386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20387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20388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20389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20390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20391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20392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20393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20394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20395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20396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20397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20398</v>
      </c>
      <c r="C2509" s="129" t="s">
        <v>22</v>
      </c>
      <c r="D2509" s="130">
        <v>51210</v>
      </c>
      <c r="E2509" s="131" t="s">
        <v>20377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20399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20400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20401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20402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20403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20404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20405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20406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20407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20408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20409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20410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20411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20412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20413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20414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20415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20416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20417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20418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20419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20420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20421</v>
      </c>
      <c r="C2532" s="129" t="s">
        <v>20422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20423</v>
      </c>
      <c r="I2532" s="135"/>
    </row>
    <row r="2533" spans="1:9" ht="21.75" customHeight="1" x14ac:dyDescent="0.25">
      <c r="A2533" s="127">
        <v>44735</v>
      </c>
      <c r="B2533" s="128" t="s">
        <v>20424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20425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20426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20427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20428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20429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20430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20431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20432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20433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20434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20435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20436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20437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20438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20439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20440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20441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20442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20443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20444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20445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20446</v>
      </c>
      <c r="C2555" s="129" t="s">
        <v>67</v>
      </c>
      <c r="D2555" s="130">
        <v>1840.3</v>
      </c>
      <c r="E2555" s="131" t="s">
        <v>20447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20448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20449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20450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20451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20452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20453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20454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20455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20456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20457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20458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20459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20460</v>
      </c>
      <c r="I2567" s="135"/>
    </row>
    <row r="2568" spans="1:9" ht="21.75" customHeight="1" x14ac:dyDescent="0.25">
      <c r="A2568" s="127">
        <v>44735</v>
      </c>
      <c r="B2568" s="128" t="s">
        <v>20461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20462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20463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20464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20465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20466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20467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20468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20469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20470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20471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20472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20473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20474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20475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20476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20477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20478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20479</v>
      </c>
      <c r="C2586" s="129" t="s">
        <v>275</v>
      </c>
      <c r="D2586" s="130">
        <v>58357.2</v>
      </c>
      <c r="E2586" s="131" t="s">
        <v>21263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20480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20481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20482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20483</v>
      </c>
      <c r="C2590" s="129" t="s">
        <v>670</v>
      </c>
      <c r="D2590" s="130">
        <v>4366</v>
      </c>
      <c r="E2590" s="131" t="s">
        <v>20484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20485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20486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20487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20488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20489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20490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20491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20492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20493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20494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20495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20496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20497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20498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20499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20500</v>
      </c>
      <c r="C2606" s="129" t="s">
        <v>475</v>
      </c>
      <c r="D2606" s="130">
        <v>67006.8</v>
      </c>
      <c r="E2606" s="131" t="s">
        <v>20501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20502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20503</v>
      </c>
      <c r="C2608" s="129" t="s">
        <v>111</v>
      </c>
      <c r="D2608" s="130">
        <v>5758.4</v>
      </c>
      <c r="E2608" s="131" t="s">
        <v>20504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20505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20506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20507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20508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20509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20510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20511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20512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20513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20514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20515</v>
      </c>
      <c r="C2619" s="129" t="s">
        <v>22</v>
      </c>
      <c r="D2619" s="130">
        <v>78684.600000000006</v>
      </c>
      <c r="E2619" s="131" t="s">
        <v>20501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20516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20517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20518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20519</v>
      </c>
      <c r="C2623" s="129" t="s">
        <v>93</v>
      </c>
      <c r="D2623" s="130">
        <v>10473.4</v>
      </c>
      <c r="E2623" s="131" t="s">
        <v>20520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20521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20522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20523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20524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20525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20526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20527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20528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20529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20530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20531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20532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20533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20534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20535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20536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20537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20538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20539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20540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20541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20542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20543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20544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20545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20546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20547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20548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20549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20550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20551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20552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20553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20554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20555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20556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20557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20558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20559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20560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20561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20562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20563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20564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20565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20566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20567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20568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20569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20570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20571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20572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20573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20574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20575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20576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20577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20578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20579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20580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20581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20582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20583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20584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20585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20586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20587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20588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20589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20590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20591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20592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20593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20594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20595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20596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20597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20598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20599</v>
      </c>
      <c r="C2702" s="129" t="s">
        <v>19637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20600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20601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20602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20603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20604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20605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20606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20607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20608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20609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20610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20611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20612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20613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20614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20615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20616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20617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20618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20619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20620</v>
      </c>
      <c r="C2723" s="129" t="s">
        <v>75</v>
      </c>
      <c r="D2723" s="130">
        <v>24350.400000000001</v>
      </c>
      <c r="E2723" s="131" t="s">
        <v>20501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20621</v>
      </c>
      <c r="C2724" s="129" t="s">
        <v>475</v>
      </c>
      <c r="D2724" s="130">
        <v>72802.8</v>
      </c>
      <c r="E2724" s="131" t="s">
        <v>20622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20623</v>
      </c>
      <c r="C2725" s="129" t="s">
        <v>22</v>
      </c>
      <c r="D2725" s="130">
        <v>82714.8</v>
      </c>
      <c r="E2725" s="131" t="s">
        <v>20622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20624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20625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20626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20627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20628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20629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20630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20631</v>
      </c>
      <c r="C2733" s="129" t="s">
        <v>93</v>
      </c>
      <c r="D2733" s="130">
        <v>20857.7</v>
      </c>
      <c r="E2733" s="131" t="s">
        <v>20632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20633</v>
      </c>
      <c r="C2734" s="129" t="s">
        <v>116</v>
      </c>
      <c r="D2734" s="130">
        <v>2777.6</v>
      </c>
      <c r="E2734" s="131" t="s">
        <v>20634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20635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20636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20637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20638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20639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20640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20641</v>
      </c>
      <c r="C2741" s="129" t="s">
        <v>60</v>
      </c>
      <c r="D2741" s="130">
        <v>9994</v>
      </c>
      <c r="E2741" s="131" t="s">
        <v>21264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20642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20643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20644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20645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20646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20647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20648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20649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20650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20651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20652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20653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20654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20655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20656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20657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20658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20659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20660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20661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20662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20663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20664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20665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20666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20667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20668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20669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20670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20671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20672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20673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20674</v>
      </c>
      <c r="C2774" s="129" t="s">
        <v>20675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20676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20677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20678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20679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20680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20681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20682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20683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20684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20685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20686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20687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20688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20689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20690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20691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20692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20693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20694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20695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20696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20697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20698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20699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20700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20701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20702</v>
      </c>
      <c r="C2801" s="129" t="s">
        <v>20703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20704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20705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20706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20707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20708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20709</v>
      </c>
      <c r="C2807" s="129" t="s">
        <v>20710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20711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20712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20713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20714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20715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20716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20717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20718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20719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20720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20721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20722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20723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20724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20725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20726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20727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20728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20729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20730</v>
      </c>
      <c r="C2827" s="129" t="s">
        <v>20731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20732</v>
      </c>
      <c r="I2827" s="135"/>
    </row>
    <row r="2828" spans="1:9" ht="21.75" customHeight="1" x14ac:dyDescent="0.25">
      <c r="A2828" s="127">
        <v>44737</v>
      </c>
      <c r="B2828" s="128" t="s">
        <v>20733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20734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20735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20736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20737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20738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20739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20740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20741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20742</v>
      </c>
      <c r="C2837" s="129" t="s">
        <v>20743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20744</v>
      </c>
      <c r="I2837" s="135"/>
    </row>
    <row r="2838" spans="1:9" ht="21.75" customHeight="1" x14ac:dyDescent="0.25">
      <c r="A2838" s="127">
        <v>44737</v>
      </c>
      <c r="B2838" s="128" t="s">
        <v>20745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20746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20747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20748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20749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20750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20751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20752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20753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20754</v>
      </c>
      <c r="C2847" s="129" t="s">
        <v>475</v>
      </c>
      <c r="D2847" s="130">
        <v>33938.1</v>
      </c>
      <c r="E2847" s="131" t="s">
        <v>20755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20756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20757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20758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20759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20760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20761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20762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20763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20764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20765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20766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20767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20768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20769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20770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20771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20772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20773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20774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20775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20776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20777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20778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20779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20780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20781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20782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20783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20784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20785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20786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20787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20788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20789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20790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20791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20792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20793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20794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20795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20796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20797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20798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20799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20800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20801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20802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20803</v>
      </c>
      <c r="C2895" s="129" t="s">
        <v>475</v>
      </c>
      <c r="D2895" s="130">
        <v>141120</v>
      </c>
      <c r="E2895" s="131" t="s">
        <v>20804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20805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20806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20807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20808</v>
      </c>
      <c r="C2899" s="129" t="s">
        <v>1650</v>
      </c>
      <c r="D2899" s="130">
        <v>8642.7999999999993</v>
      </c>
      <c r="E2899" s="131" t="s">
        <v>20804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20809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20810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20811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20812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20813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20814</v>
      </c>
      <c r="C2905" s="129" t="s">
        <v>93</v>
      </c>
      <c r="D2905" s="130">
        <v>9425.7999999999993</v>
      </c>
      <c r="E2905" s="131" t="s">
        <v>21260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20815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20816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20817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20818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20819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20820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20821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20822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20823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20824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20825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20826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20827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20828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20829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20830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31.5" x14ac:dyDescent="0.25">
      <c r="A2922" s="127">
        <v>44739</v>
      </c>
      <c r="B2922" s="128" t="s">
        <v>20831</v>
      </c>
      <c r="C2922" s="129" t="s">
        <v>142</v>
      </c>
      <c r="D2922" s="130">
        <v>49528.800000000003</v>
      </c>
      <c r="E2922" s="131" t="s">
        <v>24632</v>
      </c>
      <c r="F2922" s="132">
        <f>24074.75+25454.05</f>
        <v>49528.800000000003</v>
      </c>
      <c r="G2922" s="133">
        <f>Tabla147[[#This Row],[Importe]]-Tabla147[[#This Row],[Pagado]]</f>
        <v>0</v>
      </c>
      <c r="H2922" s="134" t="s">
        <v>10</v>
      </c>
      <c r="I2922" s="135"/>
    </row>
    <row r="2923" spans="1:9" ht="21.75" customHeight="1" x14ac:dyDescent="0.25">
      <c r="A2923" s="127">
        <v>44739</v>
      </c>
      <c r="B2923" s="128" t="s">
        <v>20832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20833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20834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20835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20836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20837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20838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20839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20840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20841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20842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20843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20844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20845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20846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20847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20848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20849</v>
      </c>
      <c r="C2940" s="129" t="s">
        <v>20850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20851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20852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20853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20854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20855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20856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20857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20858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20859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20860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20861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20862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20863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20864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20865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20866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20867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20868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20869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20870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20871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20872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20873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20874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20875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20876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20877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20878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20879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20880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20881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20882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20883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20884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20885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20886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20887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20888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20889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20890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20891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20892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20893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20894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20895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20896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20897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20898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20899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20900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20901</v>
      </c>
      <c r="C2991" s="129" t="s">
        <v>142</v>
      </c>
      <c r="D2991" s="130">
        <v>9215.3700000000008</v>
      </c>
      <c r="E2991" s="131">
        <v>44799</v>
      </c>
      <c r="F2991" s="132">
        <v>9215.3700000000008</v>
      </c>
      <c r="G2991" s="133">
        <f>Tabla147[[#This Row],[Importe]]-Tabla147[[#This Row],[Pagado]]</f>
        <v>0</v>
      </c>
      <c r="H2991" s="134" t="s">
        <v>10</v>
      </c>
      <c r="I2991" s="135"/>
    </row>
    <row r="2992" spans="1:9" ht="21.75" customHeight="1" x14ac:dyDescent="0.25">
      <c r="A2992" s="127">
        <v>44739</v>
      </c>
      <c r="B2992" s="128" t="s">
        <v>20902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20903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20904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20905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20906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20907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20908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20909</v>
      </c>
      <c r="C2999" s="129" t="s">
        <v>20910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20911</v>
      </c>
      <c r="I2999" s="135"/>
    </row>
    <row r="3000" spans="1:9" ht="21.75" customHeight="1" x14ac:dyDescent="0.25">
      <c r="A3000" s="127">
        <v>44740</v>
      </c>
      <c r="B3000" s="128" t="s">
        <v>20912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20913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20914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20915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20916</v>
      </c>
      <c r="I3003" s="135"/>
    </row>
    <row r="3004" spans="1:9" ht="21.75" customHeight="1" x14ac:dyDescent="0.25">
      <c r="A3004" s="127">
        <v>44740</v>
      </c>
      <c r="B3004" s="128" t="s">
        <v>20917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20918</v>
      </c>
      <c r="C3005" s="129" t="s">
        <v>97</v>
      </c>
      <c r="D3005" s="130">
        <v>5011.2</v>
      </c>
      <c r="E3005" s="131" t="s">
        <v>20919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20920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20921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20922</v>
      </c>
      <c r="C3008" s="129" t="s">
        <v>99</v>
      </c>
      <c r="D3008" s="130">
        <v>4225.6000000000004</v>
      </c>
      <c r="E3008" s="131" t="s">
        <v>21260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20923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20924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20925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20926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20927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20928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20929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20930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20931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20932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20933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20934</v>
      </c>
      <c r="C3020" s="129" t="s">
        <v>22</v>
      </c>
      <c r="D3020" s="130">
        <v>39564.800000000003</v>
      </c>
      <c r="E3020" s="131" t="s">
        <v>20919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20935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20936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20937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20938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20939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20940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20941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20942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20943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20944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20945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20946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20947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20948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20949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20950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20951</v>
      </c>
      <c r="C3037" s="129" t="s">
        <v>142</v>
      </c>
      <c r="D3037" s="130">
        <v>96875.6</v>
      </c>
      <c r="E3037" s="131">
        <v>44799</v>
      </c>
      <c r="F3037" s="132">
        <v>96875.6</v>
      </c>
      <c r="G3037" s="133">
        <f>Tabla147[[#This Row],[Importe]]-Tabla147[[#This Row],[Pagado]]</f>
        <v>0</v>
      </c>
      <c r="H3037" s="134" t="s">
        <v>10</v>
      </c>
      <c r="I3037" s="135"/>
    </row>
    <row r="3038" spans="1:9" ht="21.75" customHeight="1" x14ac:dyDescent="0.25">
      <c r="A3038" s="127">
        <v>44740</v>
      </c>
      <c r="B3038" s="128" t="s">
        <v>20952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20953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20954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20955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20956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20957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20958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20959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20960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20961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20962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20963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20964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20965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20966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20967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20968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20969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20970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20971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20972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20973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20974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20975</v>
      </c>
      <c r="C3061" s="129" t="s">
        <v>275</v>
      </c>
      <c r="D3061" s="130">
        <v>236443.7</v>
      </c>
      <c r="E3061" s="131" t="s">
        <v>21265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20976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20977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20978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20979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20980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20981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20982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20983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20984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20985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20986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20987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20988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20989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20990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20991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20992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20993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20994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20995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20996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20997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20998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20999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21000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21001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21002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21003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21004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21005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21006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21007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21008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21009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21010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21011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21012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21013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21014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21015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21016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21017</v>
      </c>
      <c r="C3103" s="129" t="s">
        <v>475</v>
      </c>
      <c r="D3103" s="130">
        <v>55251.199999999997</v>
      </c>
      <c r="E3103" s="131" t="s">
        <v>21260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21018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21019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21020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21021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21022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21023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21024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21025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21026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21027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21028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21029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21030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21031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21032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21033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21034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21035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21036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21037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21038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21039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21040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21041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21042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21043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21044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21045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21046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21047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21048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21049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21050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21051</v>
      </c>
      <c r="C3137" s="129" t="s">
        <v>22</v>
      </c>
      <c r="D3137" s="130">
        <v>52025.599999999999</v>
      </c>
      <c r="E3137" s="131" t="s">
        <v>21260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21052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21053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21054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21055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21056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21057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21058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21059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21060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21061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21062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21063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21064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21065</v>
      </c>
      <c r="I3150" s="135"/>
    </row>
    <row r="3151" spans="1:9" ht="21.75" customHeight="1" x14ac:dyDescent="0.25">
      <c r="A3151" s="127">
        <v>44741</v>
      </c>
      <c r="B3151" s="128" t="s">
        <v>21066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21067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21068</v>
      </c>
      <c r="I3152" s="135"/>
    </row>
    <row r="3153" spans="1:9" ht="21.75" customHeight="1" x14ac:dyDescent="0.25">
      <c r="A3153" s="127">
        <v>44741</v>
      </c>
      <c r="B3153" s="128" t="s">
        <v>21069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21070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21071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21072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21073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21074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21075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21076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21077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21078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21079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21080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21081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21082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21083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21084</v>
      </c>
      <c r="C3168" s="129" t="s">
        <v>21085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21086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21087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21088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21089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21090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21091</v>
      </c>
      <c r="C3174" s="129" t="s">
        <v>142</v>
      </c>
      <c r="D3174" s="130">
        <v>26574.6</v>
      </c>
      <c r="E3174" s="131">
        <v>44799</v>
      </c>
      <c r="F3174" s="132">
        <v>26574.6</v>
      </c>
      <c r="G3174" s="133">
        <f>Tabla147[[#This Row],[Importe]]-Tabla147[[#This Row],[Pagado]]</f>
        <v>0</v>
      </c>
      <c r="H3174" s="134" t="s">
        <v>10</v>
      </c>
      <c r="I3174" s="135"/>
    </row>
    <row r="3175" spans="1:9" ht="21.75" customHeight="1" x14ac:dyDescent="0.25">
      <c r="A3175" s="127">
        <v>44741</v>
      </c>
      <c r="B3175" s="128" t="s">
        <v>21092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21093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21094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21095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21096</v>
      </c>
      <c r="C3179" s="129" t="s">
        <v>19637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21097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21098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21099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21100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21101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21102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21103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21104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21105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21106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21107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21108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21109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21110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21111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21112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21113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21114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21115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21116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21117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21118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21119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21120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21121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21122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21123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21124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21125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21126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21127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21128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21129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21130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21131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21132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21133</v>
      </c>
      <c r="C3216" s="129" t="s">
        <v>475</v>
      </c>
      <c r="D3216" s="130">
        <v>88179.199999999997</v>
      </c>
      <c r="E3216" s="131" t="s">
        <v>21261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21134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21135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21136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21137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21138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21139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21140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21141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21142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21143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21144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21145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21146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21147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21148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21149</v>
      </c>
      <c r="I3231" s="135"/>
    </row>
    <row r="3232" spans="1:9" ht="21.75" customHeight="1" x14ac:dyDescent="0.25">
      <c r="A3232" s="127">
        <v>44742</v>
      </c>
      <c r="B3232" s="128" t="s">
        <v>21150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21151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21152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21153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21154</v>
      </c>
      <c r="C3236" s="129" t="s">
        <v>22</v>
      </c>
      <c r="D3236" s="130">
        <v>60622.400000000001</v>
      </c>
      <c r="E3236" s="131" t="s">
        <v>21261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21155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21156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21157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21158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21159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21160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21161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21162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21163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21164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21165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21166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21167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21168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21169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21170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21171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21172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21173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21174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21175</v>
      </c>
      <c r="C3257" s="129" t="s">
        <v>21176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21177</v>
      </c>
      <c r="I3257" s="135"/>
    </row>
    <row r="3258" spans="1:9" ht="21.75" customHeight="1" x14ac:dyDescent="0.25">
      <c r="A3258" s="127">
        <v>44742</v>
      </c>
      <c r="B3258" s="128" t="s">
        <v>21178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21179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21180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21181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21182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21183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21184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21185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21186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21187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21188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21189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21190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21191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21192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21193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21194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21195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21196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21197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21198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21199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21200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21201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21202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21203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21204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21205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21206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21207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21208</v>
      </c>
      <c r="C3288" s="129" t="s">
        <v>142</v>
      </c>
      <c r="D3288" s="130">
        <v>110618.06</v>
      </c>
      <c r="E3288" s="131">
        <v>44799</v>
      </c>
      <c r="F3288" s="132">
        <v>110618.06</v>
      </c>
      <c r="G3288" s="133">
        <f>Tabla147[[#This Row],[Importe]]-Tabla147[[#This Row],[Pagado]]</f>
        <v>0</v>
      </c>
      <c r="H3288" s="134" t="s">
        <v>10</v>
      </c>
      <c r="I3288" s="135"/>
    </row>
    <row r="3289" spans="1:9" ht="21.75" customHeight="1" x14ac:dyDescent="0.25">
      <c r="A3289" s="127">
        <v>44742</v>
      </c>
      <c r="B3289" s="128" t="s">
        <v>21209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21210</v>
      </c>
      <c r="C3290" s="129" t="s">
        <v>142</v>
      </c>
      <c r="D3290" s="130">
        <v>3223.2</v>
      </c>
      <c r="E3290" s="131">
        <v>44799</v>
      </c>
      <c r="F3290" s="132">
        <v>3223.2</v>
      </c>
      <c r="G3290" s="133">
        <f>Tabla147[[#This Row],[Importe]]-Tabla147[[#This Row],[Pagado]]</f>
        <v>0</v>
      </c>
      <c r="H3290" s="134" t="s">
        <v>10</v>
      </c>
      <c r="I3290" s="135"/>
    </row>
    <row r="3291" spans="1:9" ht="21.75" customHeight="1" x14ac:dyDescent="0.25">
      <c r="A3291" s="127">
        <v>44742</v>
      </c>
      <c r="B3291" s="128" t="s">
        <v>21211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21212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21213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21214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21215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21216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21217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21218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21219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21220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21221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21222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21223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21224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21225</v>
      </c>
      <c r="C3305" s="129" t="s">
        <v>11957</v>
      </c>
      <c r="D3305" s="130">
        <v>0</v>
      </c>
      <c r="E3305" s="136" t="s">
        <v>189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21226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21227</v>
      </c>
      <c r="C3307" s="129" t="s">
        <v>11957</v>
      </c>
      <c r="D3307" s="130">
        <v>0</v>
      </c>
      <c r="E3307" s="136" t="s">
        <v>189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21228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21229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21230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21231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21232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21233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21234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21235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21236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21237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21238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21239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21240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21241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21242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21243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21244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21245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21246</v>
      </c>
      <c r="C3326" s="129" t="s">
        <v>21247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21248</v>
      </c>
      <c r="I3326" s="135"/>
    </row>
    <row r="3327" spans="1:9" ht="21.75" customHeight="1" x14ac:dyDescent="0.25">
      <c r="A3327" s="127">
        <v>44742</v>
      </c>
      <c r="B3327" s="128" t="s">
        <v>21249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21250</v>
      </c>
      <c r="C3328" s="129" t="s">
        <v>7444</v>
      </c>
      <c r="D3328" s="130">
        <v>18796</v>
      </c>
      <c r="E3328" s="131" t="s">
        <v>21262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21251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21252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21253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21254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21255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21256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21257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21258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34567876.949999966</v>
      </c>
      <c r="G3338" s="144">
        <f>SUBTOTAL(109,Tabla147[Saldo])</f>
        <v>0</v>
      </c>
      <c r="H3338" s="145"/>
    </row>
    <row r="3342" spans="1:9" ht="16.5" thickBot="1" x14ac:dyDescent="0.3"/>
    <row r="3343" spans="1:9" x14ac:dyDescent="0.25">
      <c r="D3343" s="279" t="s">
        <v>10570</v>
      </c>
      <c r="E3343" s="281">
        <f>Tabla147[[#Totals],[Importe]]-Tabla147[[#Totals],[Pagado]]</f>
        <v>0</v>
      </c>
      <c r="F3343" s="282"/>
    </row>
    <row r="3344" spans="1:9" ht="16.5" thickBot="1" x14ac:dyDescent="0.3">
      <c r="D3344" s="280"/>
      <c r="E3344" s="283"/>
      <c r="F3344" s="284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H3238"/>
  <sheetViews>
    <sheetView zoomScale="115" zoomScaleNormal="115" workbookViewId="0">
      <pane xSplit="2" ySplit="1" topLeftCell="D3227" activePane="bottomRight" state="frozen"/>
      <selection pane="topRight" activeCell="C1" sqref="C1"/>
      <selection pane="bottomLeft" activeCell="A2" sqref="A2"/>
      <selection pane="bottomRight" activeCell="B3242" sqref="B3242"/>
    </sheetView>
  </sheetViews>
  <sheetFormatPr baseColWidth="10" defaultRowHeight="15.75" x14ac:dyDescent="0.25"/>
  <cols>
    <col min="1" max="1" width="15.28515625" style="31" customWidth="1"/>
    <col min="2" max="2" width="13" style="32" bestFit="1" customWidth="1"/>
    <col min="3" max="3" width="50.140625" style="33" bestFit="1" customWidth="1"/>
    <col min="4" max="4" width="18.28515625" style="34" customWidth="1"/>
    <col min="5" max="5" width="15.7109375" style="31" customWidth="1"/>
    <col min="6" max="6" width="18.140625" style="34" customWidth="1"/>
    <col min="7" max="7" width="17.71093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3" t="s">
        <v>2</v>
      </c>
      <c r="D1" s="34" t="s">
        <v>3</v>
      </c>
      <c r="E1" s="31" t="s">
        <v>4</v>
      </c>
      <c r="F1" s="34" t="s">
        <v>5</v>
      </c>
      <c r="G1" s="36" t="s">
        <v>6</v>
      </c>
      <c r="H1" s="33" t="s">
        <v>7</v>
      </c>
    </row>
    <row r="2" spans="1:8" x14ac:dyDescent="0.25">
      <c r="A2" s="73">
        <v>44743</v>
      </c>
      <c r="B2" s="74" t="s">
        <v>21266</v>
      </c>
      <c r="C2" s="75" t="s">
        <v>475</v>
      </c>
      <c r="D2" s="81">
        <v>46572.800000000003</v>
      </c>
      <c r="E2" s="151">
        <v>44744</v>
      </c>
      <c r="F2" s="81">
        <v>46572.800000000003</v>
      </c>
      <c r="G2" s="152">
        <f>Tabla18[[#This Row],[Importe]]-Tabla18[[#This Row],[Pagado]]</f>
        <v>0</v>
      </c>
      <c r="H2" s="75" t="s">
        <v>10</v>
      </c>
    </row>
    <row r="3" spans="1:8" x14ac:dyDescent="0.25">
      <c r="A3" s="148">
        <v>44743</v>
      </c>
      <c r="B3" s="149" t="s">
        <v>21267</v>
      </c>
      <c r="C3" s="153" t="s">
        <v>353</v>
      </c>
      <c r="D3" s="154">
        <v>981.5</v>
      </c>
      <c r="E3" s="155">
        <v>44743</v>
      </c>
      <c r="F3" s="154">
        <v>981.5</v>
      </c>
      <c r="G3" s="156">
        <f>Tabla18[[#This Row],[Importe]]-Tabla18[[#This Row],[Pagado]]</f>
        <v>0</v>
      </c>
      <c r="H3" s="153" t="s">
        <v>10</v>
      </c>
    </row>
    <row r="4" spans="1:8" x14ac:dyDescent="0.25">
      <c r="A4" s="73">
        <v>44743</v>
      </c>
      <c r="B4" s="74" t="s">
        <v>21268</v>
      </c>
      <c r="C4" s="75" t="s">
        <v>31</v>
      </c>
      <c r="D4" s="81">
        <v>5941</v>
      </c>
      <c r="E4" s="151">
        <v>44743</v>
      </c>
      <c r="F4" s="81">
        <v>5941</v>
      </c>
      <c r="G4" s="156">
        <f>Tabla18[[#This Row],[Importe]]-Tabla18[[#This Row],[Pagado]]</f>
        <v>0</v>
      </c>
      <c r="H4" s="75" t="s">
        <v>10</v>
      </c>
    </row>
    <row r="5" spans="1:8" x14ac:dyDescent="0.25">
      <c r="A5" s="148">
        <v>44743</v>
      </c>
      <c r="B5" s="149" t="s">
        <v>21269</v>
      </c>
      <c r="C5" s="153" t="s">
        <v>89</v>
      </c>
      <c r="D5" s="154">
        <v>13697.6</v>
      </c>
      <c r="E5" s="155">
        <v>44744</v>
      </c>
      <c r="F5" s="154">
        <v>13697.6</v>
      </c>
      <c r="G5" s="156">
        <f>Tabla18[[#This Row],[Importe]]-Tabla18[[#This Row],[Pagado]]</f>
        <v>0</v>
      </c>
      <c r="H5" s="153" t="s">
        <v>10</v>
      </c>
    </row>
    <row r="6" spans="1:8" x14ac:dyDescent="0.25">
      <c r="A6" s="73">
        <v>44743</v>
      </c>
      <c r="B6" s="74" t="s">
        <v>21270</v>
      </c>
      <c r="C6" s="75" t="s">
        <v>473</v>
      </c>
      <c r="D6" s="81">
        <v>13966.3</v>
      </c>
      <c r="E6" s="151">
        <v>44743</v>
      </c>
      <c r="F6" s="81">
        <v>13966.3</v>
      </c>
      <c r="G6" s="156">
        <f>Tabla18[[#This Row],[Importe]]-Tabla18[[#This Row],[Pagado]]</f>
        <v>0</v>
      </c>
      <c r="H6" s="75" t="s">
        <v>10</v>
      </c>
    </row>
    <row r="7" spans="1:8" x14ac:dyDescent="0.25">
      <c r="A7" s="148">
        <v>44743</v>
      </c>
      <c r="B7" s="149" t="s">
        <v>21271</v>
      </c>
      <c r="C7" s="153" t="s">
        <v>116</v>
      </c>
      <c r="D7" s="154">
        <v>3309.6</v>
      </c>
      <c r="E7" s="155">
        <v>44744</v>
      </c>
      <c r="F7" s="154">
        <v>3309.6</v>
      </c>
      <c r="G7" s="156">
        <f>Tabla18[[#This Row],[Importe]]-Tabla18[[#This Row],[Pagado]]</f>
        <v>0</v>
      </c>
      <c r="H7" s="153" t="s">
        <v>10</v>
      </c>
    </row>
    <row r="8" spans="1:8" x14ac:dyDescent="0.25">
      <c r="A8" s="73">
        <v>44743</v>
      </c>
      <c r="B8" s="74" t="s">
        <v>21272</v>
      </c>
      <c r="C8" s="75" t="s">
        <v>97</v>
      </c>
      <c r="D8" s="81">
        <v>10700.8</v>
      </c>
      <c r="E8" s="151">
        <v>44744</v>
      </c>
      <c r="F8" s="81">
        <v>10700.8</v>
      </c>
      <c r="G8" s="156">
        <f>Tabla18[[#This Row],[Importe]]-Tabla18[[#This Row],[Pagado]]</f>
        <v>0</v>
      </c>
      <c r="H8" s="75" t="s">
        <v>10</v>
      </c>
    </row>
    <row r="9" spans="1:8" x14ac:dyDescent="0.25">
      <c r="A9" s="148">
        <v>44743</v>
      </c>
      <c r="B9" s="149" t="s">
        <v>21273</v>
      </c>
      <c r="C9" s="153" t="s">
        <v>5043</v>
      </c>
      <c r="D9" s="154">
        <v>5945.6</v>
      </c>
      <c r="E9" s="155">
        <v>44746</v>
      </c>
      <c r="F9" s="154">
        <v>5945.6</v>
      </c>
      <c r="G9" s="156">
        <f>Tabla18[[#This Row],[Importe]]-Tabla18[[#This Row],[Pagado]]</f>
        <v>0</v>
      </c>
      <c r="H9" s="153" t="s">
        <v>10</v>
      </c>
    </row>
    <row r="10" spans="1:8" x14ac:dyDescent="0.25">
      <c r="A10" s="73">
        <v>44743</v>
      </c>
      <c r="B10" s="74" t="s">
        <v>21274</v>
      </c>
      <c r="C10" s="75" t="s">
        <v>326</v>
      </c>
      <c r="D10" s="81">
        <v>5817.6</v>
      </c>
      <c r="E10" s="151">
        <v>44744</v>
      </c>
      <c r="F10" s="81">
        <v>5817.6</v>
      </c>
      <c r="G10" s="156">
        <f>Tabla18[[#This Row],[Importe]]-Tabla18[[#This Row],[Pagado]]</f>
        <v>0</v>
      </c>
      <c r="H10" s="75" t="s">
        <v>10</v>
      </c>
    </row>
    <row r="11" spans="1:8" x14ac:dyDescent="0.25">
      <c r="A11" s="148">
        <v>44743</v>
      </c>
      <c r="B11" s="149" t="s">
        <v>21275</v>
      </c>
      <c r="C11" s="153" t="s">
        <v>109</v>
      </c>
      <c r="D11" s="154">
        <v>5890</v>
      </c>
      <c r="E11" s="155">
        <v>44744</v>
      </c>
      <c r="F11" s="154">
        <v>5890</v>
      </c>
      <c r="G11" s="156">
        <f>Tabla18[[#This Row],[Importe]]-Tabla18[[#This Row],[Pagado]]</f>
        <v>0</v>
      </c>
      <c r="H11" s="153" t="s">
        <v>10</v>
      </c>
    </row>
    <row r="12" spans="1:8" x14ac:dyDescent="0.25">
      <c r="A12" s="73">
        <v>44743</v>
      </c>
      <c r="B12" s="74" t="s">
        <v>21276</v>
      </c>
      <c r="C12" s="75" t="s">
        <v>10747</v>
      </c>
      <c r="D12" s="81">
        <v>6489.6</v>
      </c>
      <c r="E12" s="151">
        <v>44743</v>
      </c>
      <c r="F12" s="81">
        <v>6489.6</v>
      </c>
      <c r="G12" s="156">
        <f>Tabla18[[#This Row],[Importe]]-Tabla18[[#This Row],[Pagado]]</f>
        <v>0</v>
      </c>
      <c r="H12" s="75" t="s">
        <v>10</v>
      </c>
    </row>
    <row r="13" spans="1:8" x14ac:dyDescent="0.25">
      <c r="A13" s="148">
        <v>44743</v>
      </c>
      <c r="B13" s="149" t="s">
        <v>21277</v>
      </c>
      <c r="C13" s="153" t="s">
        <v>64</v>
      </c>
      <c r="D13" s="154">
        <v>10860.8</v>
      </c>
      <c r="E13" s="155">
        <v>44744</v>
      </c>
      <c r="F13" s="154">
        <v>10860.8</v>
      </c>
      <c r="G13" s="156">
        <f>Tabla18[[#This Row],[Importe]]-Tabla18[[#This Row],[Pagado]]</f>
        <v>0</v>
      </c>
      <c r="H13" s="153" t="s">
        <v>10</v>
      </c>
    </row>
    <row r="14" spans="1:8" x14ac:dyDescent="0.25">
      <c r="A14" s="73">
        <v>44743</v>
      </c>
      <c r="B14" s="74" t="s">
        <v>21278</v>
      </c>
      <c r="C14" s="75" t="s">
        <v>16819</v>
      </c>
      <c r="D14" s="81">
        <v>6144.2</v>
      </c>
      <c r="E14" s="151">
        <v>44743</v>
      </c>
      <c r="F14" s="81">
        <v>6144.2</v>
      </c>
      <c r="G14" s="156">
        <f>Tabla18[[#This Row],[Importe]]-Tabla18[[#This Row],[Pagado]]</f>
        <v>0</v>
      </c>
      <c r="H14" s="75" t="s">
        <v>10</v>
      </c>
    </row>
    <row r="15" spans="1:8" ht="31.5" x14ac:dyDescent="0.25">
      <c r="A15" s="148">
        <v>44743</v>
      </c>
      <c r="B15" s="149" t="s">
        <v>21279</v>
      </c>
      <c r="C15" s="153" t="s">
        <v>93</v>
      </c>
      <c r="D15" s="154">
        <v>11444.2</v>
      </c>
      <c r="E15" s="150" t="s">
        <v>21280</v>
      </c>
      <c r="F15" s="154">
        <f>6000+5444.2</f>
        <v>11444.2</v>
      </c>
      <c r="G15" s="156">
        <f>Tabla18[[#This Row],[Importe]]-Tabla18[[#This Row],[Pagado]]</f>
        <v>0</v>
      </c>
      <c r="H15" s="153" t="s">
        <v>10</v>
      </c>
    </row>
    <row r="16" spans="1:8" ht="31.5" x14ac:dyDescent="0.25">
      <c r="A16" s="73">
        <v>44743</v>
      </c>
      <c r="B16" s="74" t="s">
        <v>21281</v>
      </c>
      <c r="C16" s="75" t="s">
        <v>99</v>
      </c>
      <c r="D16" s="81">
        <v>9653.6</v>
      </c>
      <c r="E16" s="147" t="s">
        <v>21280</v>
      </c>
      <c r="F16" s="81">
        <f>7900+1753.6</f>
        <v>9653.6</v>
      </c>
      <c r="G16" s="156">
        <f>Tabla18[[#This Row],[Importe]]-Tabla18[[#This Row],[Pagado]]</f>
        <v>0</v>
      </c>
      <c r="H16" s="75" t="s">
        <v>10</v>
      </c>
    </row>
    <row r="17" spans="1:8" x14ac:dyDescent="0.25">
      <c r="A17" s="148">
        <v>44743</v>
      </c>
      <c r="B17" s="149" t="s">
        <v>21282</v>
      </c>
      <c r="C17" s="153" t="s">
        <v>2151</v>
      </c>
      <c r="D17" s="154">
        <v>12282.6</v>
      </c>
      <c r="E17" s="155">
        <v>44743</v>
      </c>
      <c r="F17" s="154">
        <v>12282.6</v>
      </c>
      <c r="G17" s="156">
        <f>Tabla18[[#This Row],[Importe]]-Tabla18[[#This Row],[Pagado]]</f>
        <v>0</v>
      </c>
      <c r="H17" s="153" t="s">
        <v>10</v>
      </c>
    </row>
    <row r="18" spans="1:8" x14ac:dyDescent="0.25">
      <c r="A18" s="73">
        <v>44743</v>
      </c>
      <c r="B18" s="74" t="s">
        <v>21283</v>
      </c>
      <c r="C18" s="75" t="s">
        <v>105</v>
      </c>
      <c r="D18" s="81">
        <v>6869.6</v>
      </c>
      <c r="E18" s="151">
        <v>44744</v>
      </c>
      <c r="F18" s="81">
        <v>6869.6</v>
      </c>
      <c r="G18" s="156">
        <f>Tabla18[[#This Row],[Importe]]-Tabla18[[#This Row],[Pagado]]</f>
        <v>0</v>
      </c>
      <c r="H18" s="75" t="s">
        <v>10</v>
      </c>
    </row>
    <row r="19" spans="1:8" x14ac:dyDescent="0.25">
      <c r="A19" s="148">
        <v>44743</v>
      </c>
      <c r="B19" s="149" t="s">
        <v>21284</v>
      </c>
      <c r="C19" s="153" t="s">
        <v>348</v>
      </c>
      <c r="D19" s="154">
        <v>3722</v>
      </c>
      <c r="E19" s="155">
        <v>44743</v>
      </c>
      <c r="F19" s="154">
        <v>3722</v>
      </c>
      <c r="G19" s="156">
        <f>Tabla18[[#This Row],[Importe]]-Tabla18[[#This Row],[Pagado]]</f>
        <v>0</v>
      </c>
      <c r="H19" s="153" t="s">
        <v>10</v>
      </c>
    </row>
    <row r="20" spans="1:8" x14ac:dyDescent="0.25">
      <c r="A20" s="73">
        <v>44743</v>
      </c>
      <c r="B20" s="74" t="s">
        <v>21285</v>
      </c>
      <c r="C20" s="75" t="s">
        <v>918</v>
      </c>
      <c r="D20" s="81">
        <v>478.5</v>
      </c>
      <c r="E20" s="151">
        <v>44743</v>
      </c>
      <c r="F20" s="81">
        <v>478.5</v>
      </c>
      <c r="G20" s="156">
        <f>Tabla18[[#This Row],[Importe]]-Tabla18[[#This Row],[Pagado]]</f>
        <v>0</v>
      </c>
      <c r="H20" s="75" t="s">
        <v>10</v>
      </c>
    </row>
    <row r="21" spans="1:8" x14ac:dyDescent="0.25">
      <c r="A21" s="148">
        <v>44743</v>
      </c>
      <c r="B21" s="149" t="s">
        <v>21286</v>
      </c>
      <c r="C21" s="153" t="s">
        <v>9</v>
      </c>
      <c r="D21" s="154">
        <v>10419.700000000001</v>
      </c>
      <c r="E21" s="155">
        <v>44743</v>
      </c>
      <c r="F21" s="154">
        <v>10419.700000000001</v>
      </c>
      <c r="G21" s="156">
        <f>Tabla18[[#This Row],[Importe]]-Tabla18[[#This Row],[Pagado]]</f>
        <v>0</v>
      </c>
      <c r="H21" s="153" t="s">
        <v>10</v>
      </c>
    </row>
    <row r="22" spans="1:8" x14ac:dyDescent="0.25">
      <c r="A22" s="73">
        <v>44743</v>
      </c>
      <c r="B22" s="74" t="s">
        <v>21287</v>
      </c>
      <c r="C22" s="75" t="s">
        <v>1650</v>
      </c>
      <c r="D22" s="81">
        <v>8524.7999999999993</v>
      </c>
      <c r="E22" s="151">
        <v>44743</v>
      </c>
      <c r="F22" s="81">
        <v>8524.7999999999993</v>
      </c>
      <c r="G22" s="156">
        <f>Tabla18[[#This Row],[Importe]]-Tabla18[[#This Row],[Pagado]]</f>
        <v>0</v>
      </c>
      <c r="H22" s="75" t="s">
        <v>10</v>
      </c>
    </row>
    <row r="23" spans="1:8" x14ac:dyDescent="0.25">
      <c r="A23" s="148">
        <v>44743</v>
      </c>
      <c r="B23" s="149" t="s">
        <v>21288</v>
      </c>
      <c r="C23" s="153" t="s">
        <v>85</v>
      </c>
      <c r="D23" s="154">
        <v>2548.8000000000002</v>
      </c>
      <c r="E23" s="155">
        <v>44743</v>
      </c>
      <c r="F23" s="154">
        <v>2548.8000000000002</v>
      </c>
      <c r="G23" s="156">
        <f>Tabla18[[#This Row],[Importe]]-Tabla18[[#This Row],[Pagado]]</f>
        <v>0</v>
      </c>
      <c r="H23" s="153" t="s">
        <v>10</v>
      </c>
    </row>
    <row r="24" spans="1:8" x14ac:dyDescent="0.25">
      <c r="A24" s="73">
        <v>44743</v>
      </c>
      <c r="B24" s="74" t="s">
        <v>21289</v>
      </c>
      <c r="C24" s="75" t="s">
        <v>111</v>
      </c>
      <c r="D24" s="81">
        <v>5573.8</v>
      </c>
      <c r="E24" s="151">
        <v>44744</v>
      </c>
      <c r="F24" s="81">
        <v>5573.8</v>
      </c>
      <c r="G24" s="156">
        <f>Tabla18[[#This Row],[Importe]]-Tabla18[[#This Row],[Pagado]]</f>
        <v>0</v>
      </c>
      <c r="H24" s="75" t="s">
        <v>10</v>
      </c>
    </row>
    <row r="25" spans="1:8" x14ac:dyDescent="0.25">
      <c r="A25" s="148">
        <v>44743</v>
      </c>
      <c r="B25" s="149" t="s">
        <v>21290</v>
      </c>
      <c r="C25" s="153" t="s">
        <v>212</v>
      </c>
      <c r="D25" s="154">
        <v>36911.199999999997</v>
      </c>
      <c r="E25" s="155">
        <v>44748</v>
      </c>
      <c r="F25" s="154">
        <v>36911.199999999997</v>
      </c>
      <c r="G25" s="156">
        <f>Tabla18[[#This Row],[Importe]]-Tabla18[[#This Row],[Pagado]]</f>
        <v>0</v>
      </c>
      <c r="H25" s="153" t="s">
        <v>10</v>
      </c>
    </row>
    <row r="26" spans="1:8" x14ac:dyDescent="0.25">
      <c r="A26" s="73">
        <v>44743</v>
      </c>
      <c r="B26" s="74" t="s">
        <v>21291</v>
      </c>
      <c r="C26" s="75" t="s">
        <v>49</v>
      </c>
      <c r="D26" s="81">
        <v>4052.7</v>
      </c>
      <c r="E26" s="151">
        <v>44743</v>
      </c>
      <c r="F26" s="81">
        <v>4052.7</v>
      </c>
      <c r="G26" s="156">
        <f>Tabla18[[#This Row],[Importe]]-Tabla18[[#This Row],[Pagado]]</f>
        <v>0</v>
      </c>
      <c r="H26" s="75" t="s">
        <v>10</v>
      </c>
    </row>
    <row r="27" spans="1:8" x14ac:dyDescent="0.25">
      <c r="A27" s="148">
        <v>44743</v>
      </c>
      <c r="B27" s="149" t="s">
        <v>21292</v>
      </c>
      <c r="C27" s="153" t="s">
        <v>56</v>
      </c>
      <c r="D27" s="154">
        <v>9187.5</v>
      </c>
      <c r="E27" s="155">
        <v>44743</v>
      </c>
      <c r="F27" s="154">
        <v>9187.5</v>
      </c>
      <c r="G27" s="156">
        <f>Tabla18[[#This Row],[Importe]]-Tabla18[[#This Row],[Pagado]]</f>
        <v>0</v>
      </c>
      <c r="H27" s="153" t="s">
        <v>10</v>
      </c>
    </row>
    <row r="28" spans="1:8" x14ac:dyDescent="0.25">
      <c r="A28" s="73">
        <v>44743</v>
      </c>
      <c r="B28" s="74" t="s">
        <v>21293</v>
      </c>
      <c r="C28" s="75" t="s">
        <v>131</v>
      </c>
      <c r="D28" s="81">
        <v>7761.6</v>
      </c>
      <c r="E28" s="151">
        <v>44743</v>
      </c>
      <c r="F28" s="81">
        <v>7761.6</v>
      </c>
      <c r="G28" s="156">
        <f>Tabla18[[#This Row],[Importe]]-Tabla18[[#This Row],[Pagado]]</f>
        <v>0</v>
      </c>
      <c r="H28" s="75" t="s">
        <v>10</v>
      </c>
    </row>
    <row r="29" spans="1:8" x14ac:dyDescent="0.25">
      <c r="A29" s="148">
        <v>44743</v>
      </c>
      <c r="B29" s="149" t="s">
        <v>21294</v>
      </c>
      <c r="C29" s="153" t="s">
        <v>24</v>
      </c>
      <c r="D29" s="154">
        <v>4527.6000000000004</v>
      </c>
      <c r="E29" s="155">
        <v>44743</v>
      </c>
      <c r="F29" s="154">
        <v>4527.6000000000004</v>
      </c>
      <c r="G29" s="156">
        <f>Tabla18[[#This Row],[Importe]]-Tabla18[[#This Row],[Pagado]]</f>
        <v>0</v>
      </c>
      <c r="H29" s="153" t="s">
        <v>10</v>
      </c>
    </row>
    <row r="30" spans="1:8" ht="31.5" x14ac:dyDescent="0.25">
      <c r="A30" s="73">
        <v>44743</v>
      </c>
      <c r="B30" s="74" t="s">
        <v>21295</v>
      </c>
      <c r="C30" s="75" t="s">
        <v>22</v>
      </c>
      <c r="D30" s="81">
        <v>68931.199999999997</v>
      </c>
      <c r="E30" s="147" t="s">
        <v>21296</v>
      </c>
      <c r="F30" s="81">
        <f>53000+15931.2</f>
        <v>68931.199999999997</v>
      </c>
      <c r="G30" s="156">
        <f>Tabla18[[#This Row],[Importe]]-Tabla18[[#This Row],[Pagado]]</f>
        <v>0</v>
      </c>
      <c r="H30" s="75" t="s">
        <v>10</v>
      </c>
    </row>
    <row r="31" spans="1:8" x14ac:dyDescent="0.25">
      <c r="A31" s="148">
        <v>44743</v>
      </c>
      <c r="B31" s="149" t="s">
        <v>21297</v>
      </c>
      <c r="C31" s="153" t="s">
        <v>27</v>
      </c>
      <c r="D31" s="154">
        <v>2871.3</v>
      </c>
      <c r="E31" s="155">
        <v>44743</v>
      </c>
      <c r="F31" s="154">
        <v>2871.3</v>
      </c>
      <c r="G31" s="156">
        <f>Tabla18[[#This Row],[Importe]]-Tabla18[[#This Row],[Pagado]]</f>
        <v>0</v>
      </c>
      <c r="H31" s="153" t="s">
        <v>10</v>
      </c>
    </row>
    <row r="32" spans="1:8" x14ac:dyDescent="0.25">
      <c r="A32" s="73">
        <v>44743</v>
      </c>
      <c r="B32" s="74" t="s">
        <v>21298</v>
      </c>
      <c r="C32" s="75" t="s">
        <v>173</v>
      </c>
      <c r="D32" s="81">
        <v>32570</v>
      </c>
      <c r="E32" s="151">
        <v>44744</v>
      </c>
      <c r="F32" s="81">
        <v>32570</v>
      </c>
      <c r="G32" s="156">
        <f>Tabla18[[#This Row],[Importe]]-Tabla18[[#This Row],[Pagado]]</f>
        <v>0</v>
      </c>
      <c r="H32" s="75" t="s">
        <v>10</v>
      </c>
    </row>
    <row r="33" spans="1:8" x14ac:dyDescent="0.25">
      <c r="A33" s="148">
        <v>44743</v>
      </c>
      <c r="B33" s="149" t="s">
        <v>21299</v>
      </c>
      <c r="C33" s="153" t="s">
        <v>11033</v>
      </c>
      <c r="D33" s="154">
        <v>2202.1999999999998</v>
      </c>
      <c r="E33" s="155">
        <v>44743</v>
      </c>
      <c r="F33" s="154">
        <v>2202.1999999999998</v>
      </c>
      <c r="G33" s="156">
        <f>Tabla18[[#This Row],[Importe]]-Tabla18[[#This Row],[Pagado]]</f>
        <v>0</v>
      </c>
      <c r="H33" s="153" t="s">
        <v>10</v>
      </c>
    </row>
    <row r="34" spans="1:8" x14ac:dyDescent="0.25">
      <c r="A34" s="73">
        <v>44743</v>
      </c>
      <c r="B34" s="74" t="s">
        <v>21300</v>
      </c>
      <c r="C34" s="75" t="s">
        <v>35</v>
      </c>
      <c r="D34" s="81">
        <v>3877.1</v>
      </c>
      <c r="E34" s="151">
        <v>44743</v>
      </c>
      <c r="F34" s="81">
        <v>3877.1</v>
      </c>
      <c r="G34" s="156">
        <f>Tabla18[[#This Row],[Importe]]-Tabla18[[#This Row],[Pagado]]</f>
        <v>0</v>
      </c>
      <c r="H34" s="75" t="s">
        <v>10</v>
      </c>
    </row>
    <row r="35" spans="1:8" x14ac:dyDescent="0.25">
      <c r="A35" s="148">
        <v>44743</v>
      </c>
      <c r="B35" s="149" t="s">
        <v>21301</v>
      </c>
      <c r="C35" s="153" t="s">
        <v>133</v>
      </c>
      <c r="D35" s="154">
        <v>26075.599999999999</v>
      </c>
      <c r="E35" s="155">
        <v>44758</v>
      </c>
      <c r="F35" s="154">
        <v>26075.599999999999</v>
      </c>
      <c r="G35" s="156">
        <f>Tabla18[[#This Row],[Importe]]-Tabla18[[#This Row],[Pagado]]</f>
        <v>0</v>
      </c>
      <c r="H35" s="153" t="s">
        <v>10</v>
      </c>
    </row>
    <row r="36" spans="1:8" x14ac:dyDescent="0.25">
      <c r="A36" s="73">
        <v>44743</v>
      </c>
      <c r="B36" s="74" t="s">
        <v>21302</v>
      </c>
      <c r="C36" s="75" t="s">
        <v>21303</v>
      </c>
      <c r="D36" s="81">
        <v>10867.5</v>
      </c>
      <c r="E36" s="151">
        <v>44744</v>
      </c>
      <c r="F36" s="81">
        <v>10867.5</v>
      </c>
      <c r="G36" s="156">
        <f>Tabla18[[#This Row],[Importe]]-Tabla18[[#This Row],[Pagado]]</f>
        <v>0</v>
      </c>
      <c r="H36" s="75" t="s">
        <v>10</v>
      </c>
    </row>
    <row r="37" spans="1:8" x14ac:dyDescent="0.25">
      <c r="A37" s="148">
        <v>44743</v>
      </c>
      <c r="B37" s="149" t="s">
        <v>21304</v>
      </c>
      <c r="C37" s="153" t="s">
        <v>1378</v>
      </c>
      <c r="D37" s="154">
        <v>35805.300000000003</v>
      </c>
      <c r="E37" s="155">
        <v>44744</v>
      </c>
      <c r="F37" s="154">
        <v>35805.300000000003</v>
      </c>
      <c r="G37" s="156">
        <f>Tabla18[[#This Row],[Importe]]-Tabla18[[#This Row],[Pagado]]</f>
        <v>0</v>
      </c>
      <c r="H37" s="153" t="s">
        <v>10</v>
      </c>
    </row>
    <row r="38" spans="1:8" x14ac:dyDescent="0.25">
      <c r="A38" s="73">
        <v>44743</v>
      </c>
      <c r="B38" s="74" t="s">
        <v>21305</v>
      </c>
      <c r="C38" s="75" t="s">
        <v>365</v>
      </c>
      <c r="D38" s="81">
        <v>957</v>
      </c>
      <c r="E38" s="151">
        <v>44743</v>
      </c>
      <c r="F38" s="81">
        <v>957</v>
      </c>
      <c r="G38" s="156">
        <f>Tabla18[[#This Row],[Importe]]-Tabla18[[#This Row],[Pagado]]</f>
        <v>0</v>
      </c>
      <c r="H38" s="75" t="s">
        <v>10</v>
      </c>
    </row>
    <row r="39" spans="1:8" x14ac:dyDescent="0.25">
      <c r="A39" s="148">
        <v>44743</v>
      </c>
      <c r="B39" s="149" t="s">
        <v>21306</v>
      </c>
      <c r="C39" s="153" t="s">
        <v>647</v>
      </c>
      <c r="D39" s="154">
        <v>2742.1</v>
      </c>
      <c r="E39" s="155">
        <v>44743</v>
      </c>
      <c r="F39" s="154">
        <v>2742.1</v>
      </c>
      <c r="G39" s="156">
        <f>Tabla18[[#This Row],[Importe]]-Tabla18[[#This Row],[Pagado]]</f>
        <v>0</v>
      </c>
      <c r="H39" s="153" t="s">
        <v>10</v>
      </c>
    </row>
    <row r="40" spans="1:8" x14ac:dyDescent="0.25">
      <c r="A40" s="73">
        <v>44743</v>
      </c>
      <c r="B40" s="74" t="s">
        <v>21307</v>
      </c>
      <c r="C40" s="75" t="s">
        <v>9827</v>
      </c>
      <c r="D40" s="81">
        <v>2570.4</v>
      </c>
      <c r="E40" s="151">
        <v>44743</v>
      </c>
      <c r="F40" s="81">
        <v>2570.4</v>
      </c>
      <c r="G40" s="156">
        <f>Tabla18[[#This Row],[Importe]]-Tabla18[[#This Row],[Pagado]]</f>
        <v>0</v>
      </c>
      <c r="H40" s="75" t="s">
        <v>10</v>
      </c>
    </row>
    <row r="41" spans="1:8" x14ac:dyDescent="0.25">
      <c r="A41" s="148">
        <v>44743</v>
      </c>
      <c r="B41" s="149" t="s">
        <v>21308</v>
      </c>
      <c r="C41" s="153" t="s">
        <v>161</v>
      </c>
      <c r="D41" s="154">
        <v>4158.8</v>
      </c>
      <c r="E41" s="155">
        <v>44743</v>
      </c>
      <c r="F41" s="154">
        <v>4158.8</v>
      </c>
      <c r="G41" s="156">
        <f>Tabla18[[#This Row],[Importe]]-Tabla18[[#This Row],[Pagado]]</f>
        <v>0</v>
      </c>
      <c r="H41" s="153" t="s">
        <v>10</v>
      </c>
    </row>
    <row r="42" spans="1:8" x14ac:dyDescent="0.25">
      <c r="A42" s="73">
        <v>44743</v>
      </c>
      <c r="B42" s="74" t="s">
        <v>21309</v>
      </c>
      <c r="C42" s="75" t="s">
        <v>191</v>
      </c>
      <c r="D42" s="81">
        <v>4134.3999999999996</v>
      </c>
      <c r="E42" s="151">
        <v>44743</v>
      </c>
      <c r="F42" s="81">
        <v>4134.3999999999996</v>
      </c>
      <c r="G42" s="156">
        <f>Tabla18[[#This Row],[Importe]]-Tabla18[[#This Row],[Pagado]]</f>
        <v>0</v>
      </c>
      <c r="H42" s="75" t="s">
        <v>10</v>
      </c>
    </row>
    <row r="43" spans="1:8" x14ac:dyDescent="0.25">
      <c r="A43" s="148">
        <v>44743</v>
      </c>
      <c r="B43" s="149" t="s">
        <v>21310</v>
      </c>
      <c r="C43" s="153" t="s">
        <v>592</v>
      </c>
      <c r="D43" s="154">
        <v>37015.5</v>
      </c>
      <c r="E43" s="155">
        <v>44751</v>
      </c>
      <c r="F43" s="154">
        <v>37015.5</v>
      </c>
      <c r="G43" s="156">
        <f>Tabla18[[#This Row],[Importe]]-Tabla18[[#This Row],[Pagado]]</f>
        <v>0</v>
      </c>
      <c r="H43" s="153" t="s">
        <v>10</v>
      </c>
    </row>
    <row r="44" spans="1:8" x14ac:dyDescent="0.25">
      <c r="A44" s="73">
        <v>44743</v>
      </c>
      <c r="B44" s="74" t="s">
        <v>21311</v>
      </c>
      <c r="C44" s="75" t="s">
        <v>51</v>
      </c>
      <c r="D44" s="81">
        <v>2700</v>
      </c>
      <c r="E44" s="151">
        <v>44743</v>
      </c>
      <c r="F44" s="81">
        <v>2700</v>
      </c>
      <c r="G44" s="156">
        <f>Tabla18[[#This Row],[Importe]]-Tabla18[[#This Row],[Pagado]]</f>
        <v>0</v>
      </c>
      <c r="H44" s="75" t="s">
        <v>10</v>
      </c>
    </row>
    <row r="45" spans="1:8" x14ac:dyDescent="0.25">
      <c r="A45" s="148">
        <v>44743</v>
      </c>
      <c r="B45" s="149" t="s">
        <v>21312</v>
      </c>
      <c r="C45" s="153" t="s">
        <v>49</v>
      </c>
      <c r="D45" s="154">
        <v>814</v>
      </c>
      <c r="E45" s="155">
        <v>44743</v>
      </c>
      <c r="F45" s="154">
        <v>814</v>
      </c>
      <c r="G45" s="156">
        <f>Tabla18[[#This Row],[Importe]]-Tabla18[[#This Row],[Pagado]]</f>
        <v>0</v>
      </c>
      <c r="H45" s="153" t="s">
        <v>10</v>
      </c>
    </row>
    <row r="46" spans="1:8" x14ac:dyDescent="0.25">
      <c r="A46" s="73">
        <v>44743</v>
      </c>
      <c r="B46" s="74" t="s">
        <v>21313</v>
      </c>
      <c r="C46" s="75" t="s">
        <v>45</v>
      </c>
      <c r="D46" s="81">
        <v>12049</v>
      </c>
      <c r="E46" s="151">
        <v>44743</v>
      </c>
      <c r="F46" s="81">
        <v>12049</v>
      </c>
      <c r="G46" s="156">
        <f>Tabla18[[#This Row],[Importe]]-Tabla18[[#This Row],[Pagado]]</f>
        <v>0</v>
      </c>
      <c r="H46" s="75" t="s">
        <v>10</v>
      </c>
    </row>
    <row r="47" spans="1:8" x14ac:dyDescent="0.25">
      <c r="A47" s="148">
        <v>44743</v>
      </c>
      <c r="B47" s="149" t="s">
        <v>21314</v>
      </c>
      <c r="C47" s="153" t="s">
        <v>10157</v>
      </c>
      <c r="D47" s="154">
        <v>45822.04</v>
      </c>
      <c r="E47" s="155">
        <v>44750</v>
      </c>
      <c r="F47" s="154">
        <v>45822.04</v>
      </c>
      <c r="G47" s="156">
        <f>Tabla18[[#This Row],[Importe]]-Tabla18[[#This Row],[Pagado]]</f>
        <v>0</v>
      </c>
      <c r="H47" s="153" t="s">
        <v>10</v>
      </c>
    </row>
    <row r="48" spans="1:8" x14ac:dyDescent="0.25">
      <c r="A48" s="73">
        <v>44743</v>
      </c>
      <c r="B48" s="74" t="s">
        <v>21315</v>
      </c>
      <c r="C48" s="75" t="s">
        <v>214</v>
      </c>
      <c r="D48" s="81">
        <v>1792.8</v>
      </c>
      <c r="E48" s="151">
        <v>44743</v>
      </c>
      <c r="F48" s="81">
        <v>1792.8</v>
      </c>
      <c r="G48" s="156">
        <f>Tabla18[[#This Row],[Importe]]-Tabla18[[#This Row],[Pagado]]</f>
        <v>0</v>
      </c>
      <c r="H48" s="75" t="s">
        <v>10</v>
      </c>
    </row>
    <row r="49" spans="1:8" x14ac:dyDescent="0.25">
      <c r="A49" s="148">
        <v>44743</v>
      </c>
      <c r="B49" s="149" t="s">
        <v>21316</v>
      </c>
      <c r="C49" s="153" t="s">
        <v>31</v>
      </c>
      <c r="D49" s="154">
        <v>312</v>
      </c>
      <c r="E49" s="155">
        <v>44743</v>
      </c>
      <c r="F49" s="154">
        <v>312</v>
      </c>
      <c r="G49" s="156">
        <f>Tabla18[[#This Row],[Importe]]-Tabla18[[#This Row],[Pagado]]</f>
        <v>0</v>
      </c>
      <c r="H49" s="153" t="s">
        <v>10</v>
      </c>
    </row>
    <row r="50" spans="1:8" x14ac:dyDescent="0.25">
      <c r="A50" s="73">
        <v>44743</v>
      </c>
      <c r="B50" s="74" t="s">
        <v>21317</v>
      </c>
      <c r="C50" s="75" t="s">
        <v>142</v>
      </c>
      <c r="D50" s="81">
        <v>65436.19</v>
      </c>
      <c r="E50" s="151">
        <v>44799</v>
      </c>
      <c r="F50" s="81">
        <v>65436.19</v>
      </c>
      <c r="G50" s="156">
        <f>Tabla18[[#This Row],[Importe]]-Tabla18[[#This Row],[Pagado]]</f>
        <v>0</v>
      </c>
      <c r="H50" s="75" t="s">
        <v>10</v>
      </c>
    </row>
    <row r="51" spans="1:8" x14ac:dyDescent="0.25">
      <c r="A51" s="148">
        <v>44743</v>
      </c>
      <c r="B51" s="149" t="s">
        <v>21318</v>
      </c>
      <c r="C51" s="153" t="s">
        <v>198</v>
      </c>
      <c r="D51" s="154">
        <v>4492.5</v>
      </c>
      <c r="E51" s="155">
        <v>44744</v>
      </c>
      <c r="F51" s="154">
        <v>4492.5</v>
      </c>
      <c r="G51" s="156">
        <f>Tabla18[[#This Row],[Importe]]-Tabla18[[#This Row],[Pagado]]</f>
        <v>0</v>
      </c>
      <c r="H51" s="153" t="s">
        <v>10</v>
      </c>
    </row>
    <row r="52" spans="1:8" x14ac:dyDescent="0.25">
      <c r="A52" s="73">
        <v>44743</v>
      </c>
      <c r="B52" s="74" t="s">
        <v>21319</v>
      </c>
      <c r="C52" s="75" t="s">
        <v>5816</v>
      </c>
      <c r="D52" s="81">
        <v>866.4</v>
      </c>
      <c r="E52" s="151">
        <v>44744</v>
      </c>
      <c r="F52" s="81">
        <v>866.4</v>
      </c>
      <c r="G52" s="156">
        <f>Tabla18[[#This Row],[Importe]]-Tabla18[[#This Row],[Pagado]]</f>
        <v>0</v>
      </c>
      <c r="H52" s="75" t="s">
        <v>10</v>
      </c>
    </row>
    <row r="53" spans="1:8" x14ac:dyDescent="0.25">
      <c r="A53" s="148">
        <v>44743</v>
      </c>
      <c r="B53" s="149" t="s">
        <v>21320</v>
      </c>
      <c r="C53" s="153" t="s">
        <v>670</v>
      </c>
      <c r="D53" s="154">
        <v>4906.2</v>
      </c>
      <c r="E53" s="155">
        <v>44743</v>
      </c>
      <c r="F53" s="154">
        <v>4906.2</v>
      </c>
      <c r="G53" s="156">
        <f>Tabla18[[#This Row],[Importe]]-Tabla18[[#This Row],[Pagado]]</f>
        <v>0</v>
      </c>
      <c r="H53" s="153" t="s">
        <v>10</v>
      </c>
    </row>
    <row r="54" spans="1:8" ht="31.5" x14ac:dyDescent="0.25">
      <c r="A54" s="73">
        <v>44743</v>
      </c>
      <c r="B54" s="74" t="s">
        <v>21321</v>
      </c>
      <c r="C54" s="75" t="s">
        <v>670</v>
      </c>
      <c r="D54" s="81">
        <v>1486.7</v>
      </c>
      <c r="E54" s="147" t="s">
        <v>21322</v>
      </c>
      <c r="F54" s="81">
        <f>1000+486.7</f>
        <v>1486.7</v>
      </c>
      <c r="G54" s="156">
        <f>Tabla18[[#This Row],[Importe]]-Tabla18[[#This Row],[Pagado]]</f>
        <v>0</v>
      </c>
      <c r="H54" s="75" t="s">
        <v>10</v>
      </c>
    </row>
    <row r="55" spans="1:8" x14ac:dyDescent="0.25">
      <c r="A55" s="148">
        <v>44743</v>
      </c>
      <c r="B55" s="149" t="s">
        <v>21323</v>
      </c>
      <c r="C55" s="153" t="s">
        <v>2114</v>
      </c>
      <c r="D55" s="154">
        <v>2527.1999999999998</v>
      </c>
      <c r="E55" s="155">
        <v>44743</v>
      </c>
      <c r="F55" s="154">
        <v>2527.1999999999998</v>
      </c>
      <c r="G55" s="156">
        <f>Tabla18[[#This Row],[Importe]]-Tabla18[[#This Row],[Pagado]]</f>
        <v>0</v>
      </c>
      <c r="H55" s="153" t="s">
        <v>10</v>
      </c>
    </row>
    <row r="56" spans="1:8" x14ac:dyDescent="0.25">
      <c r="A56" s="73">
        <v>44743</v>
      </c>
      <c r="B56" s="74" t="s">
        <v>21324</v>
      </c>
      <c r="C56" s="75" t="s">
        <v>212</v>
      </c>
      <c r="D56" s="81">
        <v>34082.9</v>
      </c>
      <c r="E56" s="151">
        <v>44748</v>
      </c>
      <c r="F56" s="81">
        <v>34082.9</v>
      </c>
      <c r="G56" s="156">
        <f>Tabla18[[#This Row],[Importe]]-Tabla18[[#This Row],[Pagado]]</f>
        <v>0</v>
      </c>
      <c r="H56" s="75" t="s">
        <v>10</v>
      </c>
    </row>
    <row r="57" spans="1:8" x14ac:dyDescent="0.25">
      <c r="A57" s="148">
        <v>44743</v>
      </c>
      <c r="B57" s="149" t="s">
        <v>21325</v>
      </c>
      <c r="C57" s="153" t="s">
        <v>206</v>
      </c>
      <c r="D57" s="154">
        <v>39186.199999999997</v>
      </c>
      <c r="E57" s="155">
        <v>44748</v>
      </c>
      <c r="F57" s="154">
        <v>39186.199999999997</v>
      </c>
      <c r="G57" s="156">
        <f>Tabla18[[#This Row],[Importe]]-Tabla18[[#This Row],[Pagado]]</f>
        <v>0</v>
      </c>
      <c r="H57" s="153" t="s">
        <v>10</v>
      </c>
    </row>
    <row r="58" spans="1:8" x14ac:dyDescent="0.25">
      <c r="A58" s="73">
        <v>44743</v>
      </c>
      <c r="B58" s="74" t="s">
        <v>21326</v>
      </c>
      <c r="C58" s="75" t="s">
        <v>218</v>
      </c>
      <c r="D58" s="81">
        <v>26617.3</v>
      </c>
      <c r="E58" s="151">
        <v>44748</v>
      </c>
      <c r="F58" s="81">
        <v>26617.3</v>
      </c>
      <c r="G58" s="156">
        <f>Tabla18[[#This Row],[Importe]]-Tabla18[[#This Row],[Pagado]]</f>
        <v>0</v>
      </c>
      <c r="H58" s="75" t="s">
        <v>10</v>
      </c>
    </row>
    <row r="59" spans="1:8" x14ac:dyDescent="0.25">
      <c r="A59" s="148">
        <v>44743</v>
      </c>
      <c r="B59" s="149" t="s">
        <v>21327</v>
      </c>
      <c r="C59" s="153" t="s">
        <v>1237</v>
      </c>
      <c r="D59" s="154">
        <v>48384</v>
      </c>
      <c r="E59" s="155">
        <v>44743</v>
      </c>
      <c r="F59" s="154">
        <v>48384</v>
      </c>
      <c r="G59" s="156">
        <f>Tabla18[[#This Row],[Importe]]-Tabla18[[#This Row],[Pagado]]</f>
        <v>0</v>
      </c>
      <c r="H59" s="153" t="s">
        <v>10</v>
      </c>
    </row>
    <row r="60" spans="1:8" x14ac:dyDescent="0.25">
      <c r="A60" s="73">
        <v>44743</v>
      </c>
      <c r="B60" s="74" t="s">
        <v>21328</v>
      </c>
      <c r="C60" s="75" t="s">
        <v>179</v>
      </c>
      <c r="D60" s="81">
        <v>2455.1999999999998</v>
      </c>
      <c r="E60" s="151">
        <v>44743</v>
      </c>
      <c r="F60" s="81">
        <v>2455.1999999999998</v>
      </c>
      <c r="G60" s="156">
        <f>Tabla18[[#This Row],[Importe]]-Tabla18[[#This Row],[Pagado]]</f>
        <v>0</v>
      </c>
      <c r="H60" s="75" t="s">
        <v>10</v>
      </c>
    </row>
    <row r="61" spans="1:8" x14ac:dyDescent="0.25">
      <c r="A61" s="148">
        <v>44743</v>
      </c>
      <c r="B61" s="149" t="s">
        <v>21329</v>
      </c>
      <c r="C61" s="153" t="s">
        <v>135</v>
      </c>
      <c r="D61" s="154">
        <v>1073</v>
      </c>
      <c r="E61" s="155">
        <v>44743</v>
      </c>
      <c r="F61" s="154">
        <v>1073</v>
      </c>
      <c r="G61" s="156">
        <f>Tabla18[[#This Row],[Importe]]-Tabla18[[#This Row],[Pagado]]</f>
        <v>0</v>
      </c>
      <c r="H61" s="153" t="s">
        <v>10</v>
      </c>
    </row>
    <row r="62" spans="1:8" x14ac:dyDescent="0.25">
      <c r="A62" s="73">
        <v>44743</v>
      </c>
      <c r="B62" s="74" t="s">
        <v>21330</v>
      </c>
      <c r="C62" s="75" t="s">
        <v>1003</v>
      </c>
      <c r="D62" s="81">
        <v>3224.9</v>
      </c>
      <c r="E62" s="151">
        <v>44744</v>
      </c>
      <c r="F62" s="81">
        <v>3224.9</v>
      </c>
      <c r="G62" s="156">
        <f>Tabla18[[#This Row],[Importe]]-Tabla18[[#This Row],[Pagado]]</f>
        <v>0</v>
      </c>
      <c r="H62" s="75" t="s">
        <v>10</v>
      </c>
    </row>
    <row r="63" spans="1:8" x14ac:dyDescent="0.25">
      <c r="A63" s="148">
        <v>44743</v>
      </c>
      <c r="B63" s="149" t="s">
        <v>21331</v>
      </c>
      <c r="C63" s="153" t="s">
        <v>154</v>
      </c>
      <c r="D63" s="154">
        <v>51506</v>
      </c>
      <c r="E63" s="155">
        <v>44749</v>
      </c>
      <c r="F63" s="154">
        <v>51506</v>
      </c>
      <c r="G63" s="156">
        <f>Tabla18[[#This Row],[Importe]]-Tabla18[[#This Row],[Pagado]]</f>
        <v>0</v>
      </c>
      <c r="H63" s="153" t="s">
        <v>10</v>
      </c>
    </row>
    <row r="64" spans="1:8" x14ac:dyDescent="0.25">
      <c r="A64" s="73">
        <v>44743</v>
      </c>
      <c r="B64" s="74" t="s">
        <v>21332</v>
      </c>
      <c r="C64" s="75" t="s">
        <v>1003</v>
      </c>
      <c r="D64" s="81">
        <v>5153.3999999999996</v>
      </c>
      <c r="E64" s="151">
        <v>44744</v>
      </c>
      <c r="F64" s="81">
        <v>5153.3999999999996</v>
      </c>
      <c r="G64" s="156">
        <f>Tabla18[[#This Row],[Importe]]-Tabla18[[#This Row],[Pagado]]</f>
        <v>0</v>
      </c>
      <c r="H64" s="75" t="s">
        <v>10</v>
      </c>
    </row>
    <row r="65" spans="1:8" x14ac:dyDescent="0.25">
      <c r="A65" s="148">
        <v>44743</v>
      </c>
      <c r="B65" s="149" t="s">
        <v>21333</v>
      </c>
      <c r="C65" s="153" t="s">
        <v>314</v>
      </c>
      <c r="D65" s="154">
        <v>4226.3999999999996</v>
      </c>
      <c r="E65" s="155">
        <v>44743</v>
      </c>
      <c r="F65" s="154">
        <v>4226.3999999999996</v>
      </c>
      <c r="G65" s="156">
        <f>Tabla18[[#This Row],[Importe]]-Tabla18[[#This Row],[Pagado]]</f>
        <v>0</v>
      </c>
      <c r="H65" s="153" t="s">
        <v>10</v>
      </c>
    </row>
    <row r="66" spans="1:8" x14ac:dyDescent="0.25">
      <c r="A66" s="73">
        <v>44743</v>
      </c>
      <c r="B66" s="74" t="s">
        <v>21334</v>
      </c>
      <c r="C66" s="75" t="s">
        <v>107</v>
      </c>
      <c r="D66" s="81">
        <v>11479.2</v>
      </c>
      <c r="E66" s="151">
        <v>44743</v>
      </c>
      <c r="F66" s="81">
        <v>11479.2</v>
      </c>
      <c r="G66" s="156">
        <f>Tabla18[[#This Row],[Importe]]-Tabla18[[#This Row],[Pagado]]</f>
        <v>0</v>
      </c>
      <c r="H66" s="75" t="s">
        <v>10</v>
      </c>
    </row>
    <row r="67" spans="1:8" x14ac:dyDescent="0.25">
      <c r="A67" s="148">
        <v>44743</v>
      </c>
      <c r="B67" s="149" t="s">
        <v>21335</v>
      </c>
      <c r="C67" s="153" t="s">
        <v>87</v>
      </c>
      <c r="D67" s="154">
        <v>3920.6</v>
      </c>
      <c r="E67" s="155">
        <v>44743</v>
      </c>
      <c r="F67" s="154">
        <v>3920.6</v>
      </c>
      <c r="G67" s="156">
        <f>Tabla18[[#This Row],[Importe]]-Tabla18[[#This Row],[Pagado]]</f>
        <v>0</v>
      </c>
      <c r="H67" s="153" t="s">
        <v>10</v>
      </c>
    </row>
    <row r="68" spans="1:8" x14ac:dyDescent="0.25">
      <c r="A68" s="73">
        <v>44743</v>
      </c>
      <c r="B68" s="74" t="s">
        <v>21336</v>
      </c>
      <c r="C68" s="75" t="s">
        <v>664</v>
      </c>
      <c r="D68" s="81">
        <v>7658</v>
      </c>
      <c r="E68" s="151">
        <v>44743</v>
      </c>
      <c r="F68" s="81">
        <v>7658</v>
      </c>
      <c r="G68" s="156">
        <f>Tabla18[[#This Row],[Importe]]-Tabla18[[#This Row],[Pagado]]</f>
        <v>0</v>
      </c>
      <c r="H68" s="75" t="s">
        <v>10</v>
      </c>
    </row>
    <row r="69" spans="1:8" x14ac:dyDescent="0.25">
      <c r="A69" s="148">
        <v>44743</v>
      </c>
      <c r="B69" s="149" t="s">
        <v>21337</v>
      </c>
      <c r="C69" s="153" t="s">
        <v>291</v>
      </c>
      <c r="D69" s="154">
        <v>2050</v>
      </c>
      <c r="E69" s="155">
        <v>44743</v>
      </c>
      <c r="F69" s="154">
        <v>2050</v>
      </c>
      <c r="G69" s="156">
        <f>Tabla18[[#This Row],[Importe]]-Tabla18[[#This Row],[Pagado]]</f>
        <v>0</v>
      </c>
      <c r="H69" s="153" t="s">
        <v>10</v>
      </c>
    </row>
    <row r="70" spans="1:8" x14ac:dyDescent="0.25">
      <c r="A70" s="73">
        <v>44743</v>
      </c>
      <c r="B70" s="74" t="s">
        <v>21338</v>
      </c>
      <c r="C70" s="75" t="s">
        <v>58</v>
      </c>
      <c r="D70" s="81">
        <v>2632</v>
      </c>
      <c r="E70" s="151">
        <v>44743</v>
      </c>
      <c r="F70" s="81">
        <v>2632</v>
      </c>
      <c r="G70" s="156">
        <f>Tabla18[[#This Row],[Importe]]-Tabla18[[#This Row],[Pagado]]</f>
        <v>0</v>
      </c>
      <c r="H70" s="75" t="s">
        <v>10</v>
      </c>
    </row>
    <row r="71" spans="1:8" x14ac:dyDescent="0.25">
      <c r="A71" s="148">
        <v>44743</v>
      </c>
      <c r="B71" s="149" t="s">
        <v>21339</v>
      </c>
      <c r="C71" s="153" t="s">
        <v>129</v>
      </c>
      <c r="D71" s="154">
        <v>4957.5</v>
      </c>
      <c r="E71" s="155">
        <v>44743</v>
      </c>
      <c r="F71" s="154">
        <v>4957.5</v>
      </c>
      <c r="G71" s="156">
        <f>Tabla18[[#This Row],[Importe]]-Tabla18[[#This Row],[Pagado]]</f>
        <v>0</v>
      </c>
      <c r="H71" s="153" t="s">
        <v>10</v>
      </c>
    </row>
    <row r="72" spans="1:8" x14ac:dyDescent="0.25">
      <c r="A72" s="73">
        <v>44743</v>
      </c>
      <c r="B72" s="74" t="s">
        <v>21340</v>
      </c>
      <c r="C72" s="75" t="s">
        <v>146</v>
      </c>
      <c r="D72" s="81">
        <v>12016.6</v>
      </c>
      <c r="E72" s="151">
        <v>44743</v>
      </c>
      <c r="F72" s="81">
        <v>12016.6</v>
      </c>
      <c r="G72" s="156">
        <f>Tabla18[[#This Row],[Importe]]-Tabla18[[#This Row],[Pagado]]</f>
        <v>0</v>
      </c>
      <c r="H72" s="75" t="s">
        <v>10</v>
      </c>
    </row>
    <row r="73" spans="1:8" x14ac:dyDescent="0.25">
      <c r="A73" s="148">
        <v>44743</v>
      </c>
      <c r="B73" s="149" t="s">
        <v>21341</v>
      </c>
      <c r="C73" s="153" t="s">
        <v>129</v>
      </c>
      <c r="D73" s="154">
        <v>1228.4000000000001</v>
      </c>
      <c r="E73" s="155">
        <v>44743</v>
      </c>
      <c r="F73" s="154">
        <v>1228.4000000000001</v>
      </c>
      <c r="G73" s="156">
        <f>Tabla18[[#This Row],[Importe]]-Tabla18[[#This Row],[Pagado]]</f>
        <v>0</v>
      </c>
      <c r="H73" s="153" t="s">
        <v>10</v>
      </c>
    </row>
    <row r="74" spans="1:8" x14ac:dyDescent="0.25">
      <c r="A74" s="73">
        <v>44743</v>
      </c>
      <c r="B74" s="74" t="s">
        <v>21342</v>
      </c>
      <c r="C74" s="75" t="s">
        <v>357</v>
      </c>
      <c r="D74" s="81">
        <v>1568.8</v>
      </c>
      <c r="E74" s="151">
        <v>44743</v>
      </c>
      <c r="F74" s="81">
        <v>1568.8</v>
      </c>
      <c r="G74" s="156">
        <f>Tabla18[[#This Row],[Importe]]-Tabla18[[#This Row],[Pagado]]</f>
        <v>0</v>
      </c>
      <c r="H74" s="75" t="s">
        <v>10</v>
      </c>
    </row>
    <row r="75" spans="1:8" x14ac:dyDescent="0.25">
      <c r="A75" s="148">
        <v>44743</v>
      </c>
      <c r="B75" s="149" t="s">
        <v>21343</v>
      </c>
      <c r="C75" s="153" t="s">
        <v>6528</v>
      </c>
      <c r="D75" s="154">
        <v>14394.4</v>
      </c>
      <c r="E75" s="155">
        <v>44743</v>
      </c>
      <c r="F75" s="154">
        <v>14394.4</v>
      </c>
      <c r="G75" s="156">
        <f>Tabla18[[#This Row],[Importe]]-Tabla18[[#This Row],[Pagado]]</f>
        <v>0</v>
      </c>
      <c r="H75" s="153" t="s">
        <v>10</v>
      </c>
    </row>
    <row r="76" spans="1:8" x14ac:dyDescent="0.25">
      <c r="A76" s="73">
        <v>44743</v>
      </c>
      <c r="B76" s="74" t="s">
        <v>21344</v>
      </c>
      <c r="C76" s="75" t="s">
        <v>419</v>
      </c>
      <c r="D76" s="81">
        <v>7883.4</v>
      </c>
      <c r="E76" s="151">
        <v>44743</v>
      </c>
      <c r="F76" s="81">
        <v>7883.4</v>
      </c>
      <c r="G76" s="156">
        <f>Tabla18[[#This Row],[Importe]]-Tabla18[[#This Row],[Pagado]]</f>
        <v>0</v>
      </c>
      <c r="H76" s="75" t="s">
        <v>10</v>
      </c>
    </row>
    <row r="77" spans="1:8" x14ac:dyDescent="0.25">
      <c r="A77" s="148">
        <v>44743</v>
      </c>
      <c r="B77" s="149" t="s">
        <v>21345</v>
      </c>
      <c r="C77" s="153" t="s">
        <v>140</v>
      </c>
      <c r="D77" s="154">
        <v>1558.2</v>
      </c>
      <c r="E77" s="155">
        <v>44743</v>
      </c>
      <c r="F77" s="154">
        <v>1558.2</v>
      </c>
      <c r="G77" s="156">
        <f>Tabla18[[#This Row],[Importe]]-Tabla18[[#This Row],[Pagado]]</f>
        <v>0</v>
      </c>
      <c r="H77" s="153" t="s">
        <v>10</v>
      </c>
    </row>
    <row r="78" spans="1:8" x14ac:dyDescent="0.25">
      <c r="A78" s="73">
        <v>44743</v>
      </c>
      <c r="B78" s="74" t="s">
        <v>21346</v>
      </c>
      <c r="C78" s="75" t="s">
        <v>127</v>
      </c>
      <c r="D78" s="81">
        <v>3972.6</v>
      </c>
      <c r="E78" s="151">
        <v>44743</v>
      </c>
      <c r="F78" s="81">
        <v>3972.6</v>
      </c>
      <c r="G78" s="156">
        <f>Tabla18[[#This Row],[Importe]]-Tabla18[[#This Row],[Pagado]]</f>
        <v>0</v>
      </c>
      <c r="H78" s="75" t="s">
        <v>10</v>
      </c>
    </row>
    <row r="79" spans="1:8" x14ac:dyDescent="0.25">
      <c r="A79" s="148">
        <v>44743</v>
      </c>
      <c r="B79" s="149" t="s">
        <v>21347</v>
      </c>
      <c r="C79" s="153" t="s">
        <v>226</v>
      </c>
      <c r="D79" s="154">
        <v>7387.5</v>
      </c>
      <c r="E79" s="155">
        <v>44743</v>
      </c>
      <c r="F79" s="154">
        <v>7387.5</v>
      </c>
      <c r="G79" s="156">
        <f>Tabla18[[#This Row],[Importe]]-Tabla18[[#This Row],[Pagado]]</f>
        <v>0</v>
      </c>
      <c r="H79" s="153" t="s">
        <v>10</v>
      </c>
    </row>
    <row r="80" spans="1:8" x14ac:dyDescent="0.25">
      <c r="A80" s="73">
        <v>44743</v>
      </c>
      <c r="B80" s="74" t="s">
        <v>21348</v>
      </c>
      <c r="C80" s="75" t="s">
        <v>226</v>
      </c>
      <c r="D80" s="81">
        <v>3883</v>
      </c>
      <c r="E80" s="151">
        <v>44743</v>
      </c>
      <c r="F80" s="81">
        <v>3883</v>
      </c>
      <c r="G80" s="156">
        <f>Tabla18[[#This Row],[Importe]]-Tabla18[[#This Row],[Pagado]]</f>
        <v>0</v>
      </c>
      <c r="H80" s="75" t="s">
        <v>10</v>
      </c>
    </row>
    <row r="81" spans="1:8" x14ac:dyDescent="0.25">
      <c r="A81" s="148">
        <v>44743</v>
      </c>
      <c r="B81" s="149" t="s">
        <v>21349</v>
      </c>
      <c r="C81" s="153" t="s">
        <v>233</v>
      </c>
      <c r="D81" s="154">
        <v>5445.8</v>
      </c>
      <c r="E81" s="155">
        <v>44743</v>
      </c>
      <c r="F81" s="154">
        <v>5445.8</v>
      </c>
      <c r="G81" s="156">
        <f>Tabla18[[#This Row],[Importe]]-Tabla18[[#This Row],[Pagado]]</f>
        <v>0</v>
      </c>
      <c r="H81" s="153" t="s">
        <v>10</v>
      </c>
    </row>
    <row r="82" spans="1:8" x14ac:dyDescent="0.25">
      <c r="A82" s="73">
        <v>44743</v>
      </c>
      <c r="B82" s="74" t="s">
        <v>21350</v>
      </c>
      <c r="C82" s="75" t="s">
        <v>9827</v>
      </c>
      <c r="D82" s="81">
        <v>2664</v>
      </c>
      <c r="E82" s="151">
        <v>44743</v>
      </c>
      <c r="F82" s="81">
        <v>2664</v>
      </c>
      <c r="G82" s="156">
        <f>Tabla18[[#This Row],[Importe]]-Tabla18[[#This Row],[Pagado]]</f>
        <v>0</v>
      </c>
      <c r="H82" s="75" t="s">
        <v>10</v>
      </c>
    </row>
    <row r="83" spans="1:8" x14ac:dyDescent="0.25">
      <c r="A83" s="148">
        <v>44743</v>
      </c>
      <c r="B83" s="149" t="s">
        <v>21351</v>
      </c>
      <c r="C83" s="153" t="s">
        <v>31</v>
      </c>
      <c r="D83" s="154">
        <v>1144.8</v>
      </c>
      <c r="E83" s="155">
        <v>44743</v>
      </c>
      <c r="F83" s="154">
        <v>1144.8</v>
      </c>
      <c r="G83" s="156">
        <f>Tabla18[[#This Row],[Importe]]-Tabla18[[#This Row],[Pagado]]</f>
        <v>0</v>
      </c>
      <c r="H83" s="153" t="s">
        <v>10</v>
      </c>
    </row>
    <row r="84" spans="1:8" x14ac:dyDescent="0.25">
      <c r="A84" s="73">
        <v>44743</v>
      </c>
      <c r="B84" s="74" t="s">
        <v>21352</v>
      </c>
      <c r="C84" s="75" t="s">
        <v>654</v>
      </c>
      <c r="D84" s="81">
        <v>11171</v>
      </c>
      <c r="E84" s="151">
        <v>44744</v>
      </c>
      <c r="F84" s="81">
        <v>11171</v>
      </c>
      <c r="G84" s="156">
        <f>Tabla18[[#This Row],[Importe]]-Tabla18[[#This Row],[Pagado]]</f>
        <v>0</v>
      </c>
      <c r="H84" s="75" t="s">
        <v>10</v>
      </c>
    </row>
    <row r="85" spans="1:8" x14ac:dyDescent="0.25">
      <c r="A85" s="148">
        <v>44743</v>
      </c>
      <c r="B85" s="149" t="s">
        <v>21353</v>
      </c>
      <c r="C85" s="153" t="s">
        <v>31</v>
      </c>
      <c r="D85" s="154">
        <v>1773</v>
      </c>
      <c r="E85" s="155">
        <v>44743</v>
      </c>
      <c r="F85" s="154">
        <v>1773</v>
      </c>
      <c r="G85" s="156">
        <f>Tabla18[[#This Row],[Importe]]-Tabla18[[#This Row],[Pagado]]</f>
        <v>0</v>
      </c>
      <c r="H85" s="153" t="s">
        <v>10</v>
      </c>
    </row>
    <row r="86" spans="1:8" x14ac:dyDescent="0.25">
      <c r="A86" s="73">
        <v>44743</v>
      </c>
      <c r="B86" s="74" t="s">
        <v>21354</v>
      </c>
      <c r="C86" s="75" t="s">
        <v>31</v>
      </c>
      <c r="D86" s="81">
        <v>576</v>
      </c>
      <c r="E86" s="151">
        <v>44743</v>
      </c>
      <c r="F86" s="81">
        <v>576</v>
      </c>
      <c r="G86" s="156">
        <f>Tabla18[[#This Row],[Importe]]-Tabla18[[#This Row],[Pagado]]</f>
        <v>0</v>
      </c>
      <c r="H86" s="75" t="s">
        <v>10</v>
      </c>
    </row>
    <row r="87" spans="1:8" x14ac:dyDescent="0.25">
      <c r="A87" s="148">
        <v>44743</v>
      </c>
      <c r="B87" s="149" t="s">
        <v>21355</v>
      </c>
      <c r="C87" s="153" t="s">
        <v>246</v>
      </c>
      <c r="D87" s="154">
        <v>4985.6000000000004</v>
      </c>
      <c r="E87" s="155">
        <v>44743</v>
      </c>
      <c r="F87" s="154">
        <v>4985.6000000000004</v>
      </c>
      <c r="G87" s="156">
        <f>Tabla18[[#This Row],[Importe]]-Tabla18[[#This Row],[Pagado]]</f>
        <v>0</v>
      </c>
      <c r="H87" s="153" t="s">
        <v>10</v>
      </c>
    </row>
    <row r="88" spans="1:8" x14ac:dyDescent="0.25">
      <c r="A88" s="73">
        <v>44743</v>
      </c>
      <c r="B88" s="74" t="s">
        <v>21356</v>
      </c>
      <c r="C88" s="75" t="s">
        <v>31</v>
      </c>
      <c r="D88" s="81">
        <v>621</v>
      </c>
      <c r="E88" s="151">
        <v>44743</v>
      </c>
      <c r="F88" s="81">
        <v>621</v>
      </c>
      <c r="G88" s="156">
        <f>Tabla18[[#This Row],[Importe]]-Tabla18[[#This Row],[Pagado]]</f>
        <v>0</v>
      </c>
      <c r="H88" s="75" t="s">
        <v>10</v>
      </c>
    </row>
    <row r="89" spans="1:8" x14ac:dyDescent="0.25">
      <c r="A89" s="148">
        <v>44743</v>
      </c>
      <c r="B89" s="149" t="s">
        <v>21357</v>
      </c>
      <c r="C89" s="153" t="s">
        <v>67</v>
      </c>
      <c r="D89" s="154">
        <v>13031</v>
      </c>
      <c r="E89" s="155">
        <v>44743</v>
      </c>
      <c r="F89" s="154">
        <v>13031</v>
      </c>
      <c r="G89" s="156">
        <f>Tabla18[[#This Row],[Importe]]-Tabla18[[#This Row],[Pagado]]</f>
        <v>0</v>
      </c>
      <c r="H89" s="153" t="s">
        <v>10</v>
      </c>
    </row>
    <row r="90" spans="1:8" x14ac:dyDescent="0.25">
      <c r="A90" s="73">
        <v>44743</v>
      </c>
      <c r="B90" s="74" t="s">
        <v>21358</v>
      </c>
      <c r="C90" s="75" t="s">
        <v>4136</v>
      </c>
      <c r="D90" s="81">
        <v>1415.1</v>
      </c>
      <c r="E90" s="151">
        <v>44743</v>
      </c>
      <c r="F90" s="81">
        <v>1415.1</v>
      </c>
      <c r="G90" s="156">
        <f>Tabla18[[#This Row],[Importe]]-Tabla18[[#This Row],[Pagado]]</f>
        <v>0</v>
      </c>
      <c r="H90" s="75" t="s">
        <v>10</v>
      </c>
    </row>
    <row r="91" spans="1:8" x14ac:dyDescent="0.25">
      <c r="A91" s="148">
        <v>44743</v>
      </c>
      <c r="B91" s="149" t="s">
        <v>21359</v>
      </c>
      <c r="C91" s="153" t="s">
        <v>6112</v>
      </c>
      <c r="D91" s="154">
        <v>6436.8</v>
      </c>
      <c r="E91" s="155">
        <v>44743</v>
      </c>
      <c r="F91" s="154">
        <v>6436.8</v>
      </c>
      <c r="G91" s="156">
        <f>Tabla18[[#This Row],[Importe]]-Tabla18[[#This Row],[Pagado]]</f>
        <v>0</v>
      </c>
      <c r="H91" s="153" t="s">
        <v>10</v>
      </c>
    </row>
    <row r="92" spans="1:8" x14ac:dyDescent="0.25">
      <c r="A92" s="73">
        <v>44743</v>
      </c>
      <c r="B92" s="74" t="s">
        <v>21360</v>
      </c>
      <c r="C92" s="75" t="s">
        <v>849</v>
      </c>
      <c r="D92" s="81">
        <v>5376</v>
      </c>
      <c r="E92" s="151">
        <v>44743</v>
      </c>
      <c r="F92" s="81">
        <v>5376</v>
      </c>
      <c r="G92" s="156">
        <f>Tabla18[[#This Row],[Importe]]-Tabla18[[#This Row],[Pagado]]</f>
        <v>0</v>
      </c>
      <c r="H92" s="75" t="s">
        <v>10</v>
      </c>
    </row>
    <row r="93" spans="1:8" x14ac:dyDescent="0.25">
      <c r="A93" s="148">
        <v>44743</v>
      </c>
      <c r="B93" s="149" t="s">
        <v>21361</v>
      </c>
      <c r="C93" s="153" t="s">
        <v>31</v>
      </c>
      <c r="D93" s="154">
        <v>1388</v>
      </c>
      <c r="E93" s="155">
        <v>44743</v>
      </c>
      <c r="F93" s="154">
        <v>1388</v>
      </c>
      <c r="G93" s="156">
        <f>Tabla18[[#This Row],[Importe]]-Tabla18[[#This Row],[Pagado]]</f>
        <v>0</v>
      </c>
      <c r="H93" s="153" t="s">
        <v>10</v>
      </c>
    </row>
    <row r="94" spans="1:8" x14ac:dyDescent="0.25">
      <c r="A94" s="73">
        <v>44743</v>
      </c>
      <c r="B94" s="74" t="s">
        <v>21362</v>
      </c>
      <c r="C94" s="75" t="s">
        <v>31</v>
      </c>
      <c r="D94" s="81">
        <v>214.4</v>
      </c>
      <c r="E94" s="151">
        <v>44743</v>
      </c>
      <c r="F94" s="81">
        <v>214.4</v>
      </c>
      <c r="G94" s="156">
        <f>Tabla18[[#This Row],[Importe]]-Tabla18[[#This Row],[Pagado]]</f>
        <v>0</v>
      </c>
      <c r="H94" s="75" t="s">
        <v>10</v>
      </c>
    </row>
    <row r="95" spans="1:8" x14ac:dyDescent="0.25">
      <c r="A95" s="148">
        <v>44743</v>
      </c>
      <c r="B95" s="149" t="s">
        <v>21363</v>
      </c>
      <c r="C95" s="153" t="s">
        <v>698</v>
      </c>
      <c r="D95" s="154">
        <v>5827.5</v>
      </c>
      <c r="E95" s="155">
        <v>44743</v>
      </c>
      <c r="F95" s="154">
        <v>5827.5</v>
      </c>
      <c r="G95" s="156">
        <f>Tabla18[[#This Row],[Importe]]-Tabla18[[#This Row],[Pagado]]</f>
        <v>0</v>
      </c>
      <c r="H95" s="153" t="s">
        <v>10</v>
      </c>
    </row>
    <row r="96" spans="1:8" x14ac:dyDescent="0.25">
      <c r="A96" s="73">
        <v>44743</v>
      </c>
      <c r="B96" s="74" t="s">
        <v>21364</v>
      </c>
      <c r="C96" s="75" t="s">
        <v>698</v>
      </c>
      <c r="D96" s="81">
        <v>1051.2</v>
      </c>
      <c r="E96" s="151">
        <v>44743</v>
      </c>
      <c r="F96" s="81">
        <v>1051.2</v>
      </c>
      <c r="G96" s="156">
        <f>Tabla18[[#This Row],[Importe]]-Tabla18[[#This Row],[Pagado]]</f>
        <v>0</v>
      </c>
      <c r="H96" s="75" t="s">
        <v>10</v>
      </c>
    </row>
    <row r="97" spans="1:8" x14ac:dyDescent="0.25">
      <c r="A97" s="148">
        <v>44743</v>
      </c>
      <c r="B97" s="149" t="s">
        <v>21365</v>
      </c>
      <c r="C97" s="153" t="s">
        <v>414</v>
      </c>
      <c r="D97" s="154">
        <v>21542.400000000001</v>
      </c>
      <c r="E97" s="155">
        <v>44743</v>
      </c>
      <c r="F97" s="154">
        <v>21542.400000000001</v>
      </c>
      <c r="G97" s="156">
        <f>Tabla18[[#This Row],[Importe]]-Tabla18[[#This Row],[Pagado]]</f>
        <v>0</v>
      </c>
      <c r="H97" s="153" t="s">
        <v>10</v>
      </c>
    </row>
    <row r="98" spans="1:8" x14ac:dyDescent="0.25">
      <c r="A98" s="73">
        <v>44743</v>
      </c>
      <c r="B98" s="74" t="s">
        <v>21366</v>
      </c>
      <c r="C98" s="75" t="s">
        <v>845</v>
      </c>
      <c r="D98" s="81">
        <v>1789.9</v>
      </c>
      <c r="E98" s="151">
        <v>44743</v>
      </c>
      <c r="F98" s="81">
        <v>1789.9</v>
      </c>
      <c r="G98" s="156">
        <f>Tabla18[[#This Row],[Importe]]-Tabla18[[#This Row],[Pagado]]</f>
        <v>0</v>
      </c>
      <c r="H98" s="75" t="s">
        <v>10</v>
      </c>
    </row>
    <row r="99" spans="1:8" x14ac:dyDescent="0.25">
      <c r="A99" s="148">
        <v>44743</v>
      </c>
      <c r="B99" s="149" t="s">
        <v>21367</v>
      </c>
      <c r="C99" s="153" t="s">
        <v>450</v>
      </c>
      <c r="D99" s="154">
        <v>2091.9</v>
      </c>
      <c r="E99" s="155">
        <v>44743</v>
      </c>
      <c r="F99" s="154">
        <v>2091.9</v>
      </c>
      <c r="G99" s="156">
        <f>Tabla18[[#This Row],[Importe]]-Tabla18[[#This Row],[Pagado]]</f>
        <v>0</v>
      </c>
      <c r="H99" s="153" t="s">
        <v>10</v>
      </c>
    </row>
    <row r="100" spans="1:8" x14ac:dyDescent="0.25">
      <c r="A100" s="73">
        <v>44743</v>
      </c>
      <c r="B100" s="74" t="s">
        <v>21368</v>
      </c>
      <c r="C100" s="75" t="s">
        <v>9</v>
      </c>
      <c r="D100" s="81">
        <v>4224</v>
      </c>
      <c r="E100" s="151">
        <v>44743</v>
      </c>
      <c r="F100" s="81">
        <v>4224</v>
      </c>
      <c r="G100" s="156">
        <f>Tabla18[[#This Row],[Importe]]-Tabla18[[#This Row],[Pagado]]</f>
        <v>0</v>
      </c>
      <c r="H100" s="75" t="s">
        <v>10</v>
      </c>
    </row>
    <row r="101" spans="1:8" x14ac:dyDescent="0.25">
      <c r="A101" s="148">
        <v>44743</v>
      </c>
      <c r="B101" s="149" t="s">
        <v>21369</v>
      </c>
      <c r="C101" s="153" t="s">
        <v>31</v>
      </c>
      <c r="D101" s="154">
        <v>568.79999999999995</v>
      </c>
      <c r="E101" s="155">
        <v>44743</v>
      </c>
      <c r="F101" s="154">
        <v>568.79999999999995</v>
      </c>
      <c r="G101" s="156">
        <f>Tabla18[[#This Row],[Importe]]-Tabla18[[#This Row],[Pagado]]</f>
        <v>0</v>
      </c>
      <c r="H101" s="153" t="s">
        <v>10</v>
      </c>
    </row>
    <row r="102" spans="1:8" x14ac:dyDescent="0.25">
      <c r="A102" s="73">
        <v>44743</v>
      </c>
      <c r="B102" s="74" t="s">
        <v>21370</v>
      </c>
      <c r="C102" s="75" t="s">
        <v>3747</v>
      </c>
      <c r="D102" s="81">
        <v>6076</v>
      </c>
      <c r="E102" s="151">
        <v>44743</v>
      </c>
      <c r="F102" s="81">
        <v>6076</v>
      </c>
      <c r="G102" s="156">
        <f>Tabla18[[#This Row],[Importe]]-Tabla18[[#This Row],[Pagado]]</f>
        <v>0</v>
      </c>
      <c r="H102" s="75" t="s">
        <v>10</v>
      </c>
    </row>
    <row r="103" spans="1:8" x14ac:dyDescent="0.25">
      <c r="A103" s="148">
        <v>44743</v>
      </c>
      <c r="B103" s="149" t="s">
        <v>21371</v>
      </c>
      <c r="C103" s="153" t="s">
        <v>31</v>
      </c>
      <c r="D103" s="154">
        <v>6300</v>
      </c>
      <c r="E103" s="155">
        <v>44743</v>
      </c>
      <c r="F103" s="154">
        <v>6300</v>
      </c>
      <c r="G103" s="156">
        <f>Tabla18[[#This Row],[Importe]]-Tabla18[[#This Row],[Pagado]]</f>
        <v>0</v>
      </c>
      <c r="H103" s="153" t="s">
        <v>10</v>
      </c>
    </row>
    <row r="104" spans="1:8" x14ac:dyDescent="0.25">
      <c r="A104" s="73">
        <v>44743</v>
      </c>
      <c r="B104" s="74" t="s">
        <v>21372</v>
      </c>
      <c r="C104" s="75" t="s">
        <v>22</v>
      </c>
      <c r="D104" s="81">
        <v>5555.2</v>
      </c>
      <c r="E104" s="151">
        <v>44744</v>
      </c>
      <c r="F104" s="81">
        <v>5555.2</v>
      </c>
      <c r="G104" s="156">
        <f>Tabla18[[#This Row],[Importe]]-Tabla18[[#This Row],[Pagado]]</f>
        <v>0</v>
      </c>
      <c r="H104" s="75" t="s">
        <v>10</v>
      </c>
    </row>
    <row r="105" spans="1:8" x14ac:dyDescent="0.25">
      <c r="A105" s="148">
        <v>44743</v>
      </c>
      <c r="B105" s="149" t="s">
        <v>21373</v>
      </c>
      <c r="C105" s="153" t="s">
        <v>426</v>
      </c>
      <c r="D105" s="154">
        <v>8149.6</v>
      </c>
      <c r="E105" s="155">
        <v>44744</v>
      </c>
      <c r="F105" s="154">
        <v>8149.6</v>
      </c>
      <c r="G105" s="156">
        <f>Tabla18[[#This Row],[Importe]]-Tabla18[[#This Row],[Pagado]]</f>
        <v>0</v>
      </c>
      <c r="H105" s="153" t="s">
        <v>10</v>
      </c>
    </row>
    <row r="106" spans="1:8" x14ac:dyDescent="0.25">
      <c r="A106" s="73">
        <v>44743</v>
      </c>
      <c r="B106" s="74" t="s">
        <v>21374</v>
      </c>
      <c r="C106" s="75" t="s">
        <v>21375</v>
      </c>
      <c r="D106" s="81">
        <v>0</v>
      </c>
      <c r="E106" s="157" t="s">
        <v>189</v>
      </c>
      <c r="F106" s="81">
        <v>0</v>
      </c>
      <c r="G106" s="156">
        <f>Tabla18[[#This Row],[Importe]]-Tabla18[[#This Row],[Pagado]]</f>
        <v>0</v>
      </c>
      <c r="H106" s="75" t="s">
        <v>189</v>
      </c>
    </row>
    <row r="107" spans="1:8" x14ac:dyDescent="0.25">
      <c r="A107" s="148">
        <v>44743</v>
      </c>
      <c r="B107" s="149" t="s">
        <v>21376</v>
      </c>
      <c r="C107" s="153" t="s">
        <v>200</v>
      </c>
      <c r="D107" s="154">
        <v>2232</v>
      </c>
      <c r="E107" s="155">
        <v>44744</v>
      </c>
      <c r="F107" s="154">
        <v>2232</v>
      </c>
      <c r="G107" s="156">
        <f>Tabla18[[#This Row],[Importe]]-Tabla18[[#This Row],[Pagado]]</f>
        <v>0</v>
      </c>
      <c r="H107" s="153" t="s">
        <v>10</v>
      </c>
    </row>
    <row r="108" spans="1:8" x14ac:dyDescent="0.25">
      <c r="A108" s="73">
        <v>44743</v>
      </c>
      <c r="B108" s="74" t="s">
        <v>21377</v>
      </c>
      <c r="C108" s="75" t="s">
        <v>275</v>
      </c>
      <c r="D108" s="81">
        <v>92938.1</v>
      </c>
      <c r="E108" s="151">
        <v>44757</v>
      </c>
      <c r="F108" s="81">
        <v>92938.1</v>
      </c>
      <c r="G108" s="156">
        <f>Tabla18[[#This Row],[Importe]]-Tabla18[[#This Row],[Pagado]]</f>
        <v>0</v>
      </c>
      <c r="H108" s="75" t="s">
        <v>10</v>
      </c>
    </row>
    <row r="109" spans="1:8" x14ac:dyDescent="0.25">
      <c r="A109" s="148">
        <v>44743</v>
      </c>
      <c r="B109" s="149" t="s">
        <v>21378</v>
      </c>
      <c r="C109" s="153" t="s">
        <v>484</v>
      </c>
      <c r="D109" s="154">
        <v>7593.3</v>
      </c>
      <c r="E109" s="155">
        <v>44743</v>
      </c>
      <c r="F109" s="154">
        <v>7593.3</v>
      </c>
      <c r="G109" s="156">
        <f>Tabla18[[#This Row],[Importe]]-Tabla18[[#This Row],[Pagado]]</f>
        <v>0</v>
      </c>
      <c r="H109" s="153" t="s">
        <v>10</v>
      </c>
    </row>
    <row r="110" spans="1:8" x14ac:dyDescent="0.25">
      <c r="A110" s="73">
        <v>44743</v>
      </c>
      <c r="B110" s="74" t="s">
        <v>21379</v>
      </c>
      <c r="C110" s="75" t="s">
        <v>273</v>
      </c>
      <c r="D110" s="81">
        <v>2480</v>
      </c>
      <c r="E110" s="151">
        <v>44744</v>
      </c>
      <c r="F110" s="81">
        <v>2480</v>
      </c>
      <c r="G110" s="156">
        <f>Tabla18[[#This Row],[Importe]]-Tabla18[[#This Row],[Pagado]]</f>
        <v>0</v>
      </c>
      <c r="H110" s="75" t="s">
        <v>10</v>
      </c>
    </row>
    <row r="111" spans="1:8" x14ac:dyDescent="0.25">
      <c r="A111" s="148">
        <v>44743</v>
      </c>
      <c r="B111" s="149" t="s">
        <v>21380</v>
      </c>
      <c r="C111" s="153" t="s">
        <v>31</v>
      </c>
      <c r="D111" s="154">
        <v>320</v>
      </c>
      <c r="E111" s="155">
        <v>44743</v>
      </c>
      <c r="F111" s="154">
        <v>320</v>
      </c>
      <c r="G111" s="156">
        <f>Tabla18[[#This Row],[Importe]]-Tabla18[[#This Row],[Pagado]]</f>
        <v>0</v>
      </c>
      <c r="H111" s="153" t="s">
        <v>10</v>
      </c>
    </row>
    <row r="112" spans="1:8" x14ac:dyDescent="0.25">
      <c r="A112" s="73">
        <v>44743</v>
      </c>
      <c r="B112" s="74" t="s">
        <v>21381</v>
      </c>
      <c r="C112" s="75" t="s">
        <v>450</v>
      </c>
      <c r="D112" s="81">
        <v>1820.4</v>
      </c>
      <c r="E112" s="151">
        <v>44743</v>
      </c>
      <c r="F112" s="81">
        <v>1820.4</v>
      </c>
      <c r="G112" s="156">
        <f>Tabla18[[#This Row],[Importe]]-Tabla18[[#This Row],[Pagado]]</f>
        <v>0</v>
      </c>
      <c r="H112" s="75" t="s">
        <v>10</v>
      </c>
    </row>
    <row r="113" spans="1:8" x14ac:dyDescent="0.25">
      <c r="A113" s="148">
        <v>44743</v>
      </c>
      <c r="B113" s="149" t="s">
        <v>21382</v>
      </c>
      <c r="C113" s="153" t="s">
        <v>10678</v>
      </c>
      <c r="D113" s="154">
        <v>2962.4</v>
      </c>
      <c r="E113" s="155">
        <v>44743</v>
      </c>
      <c r="F113" s="154">
        <v>2962.4</v>
      </c>
      <c r="G113" s="156">
        <f>Tabla18[[#This Row],[Importe]]-Tabla18[[#This Row],[Pagado]]</f>
        <v>0</v>
      </c>
      <c r="H113" s="153" t="s">
        <v>10</v>
      </c>
    </row>
    <row r="114" spans="1:8" x14ac:dyDescent="0.25">
      <c r="A114" s="73">
        <v>44743</v>
      </c>
      <c r="B114" s="74" t="s">
        <v>21383</v>
      </c>
      <c r="C114" s="75" t="s">
        <v>555</v>
      </c>
      <c r="D114" s="81">
        <v>31200</v>
      </c>
      <c r="E114" s="151">
        <v>44744</v>
      </c>
      <c r="F114" s="81">
        <v>31200</v>
      </c>
      <c r="G114" s="156">
        <f>Tabla18[[#This Row],[Importe]]-Tabla18[[#This Row],[Pagado]]</f>
        <v>0</v>
      </c>
      <c r="H114" s="75" t="s">
        <v>10</v>
      </c>
    </row>
    <row r="115" spans="1:8" x14ac:dyDescent="0.25">
      <c r="A115" s="148">
        <v>44743</v>
      </c>
      <c r="B115" s="149" t="s">
        <v>21384</v>
      </c>
      <c r="C115" s="153" t="s">
        <v>14</v>
      </c>
      <c r="D115" s="154">
        <v>14167.2</v>
      </c>
      <c r="E115" s="155">
        <v>44743</v>
      </c>
      <c r="F115" s="154">
        <v>14167.2</v>
      </c>
      <c r="G115" s="156">
        <f>Tabla18[[#This Row],[Importe]]-Tabla18[[#This Row],[Pagado]]</f>
        <v>0</v>
      </c>
      <c r="H115" s="153" t="s">
        <v>10</v>
      </c>
    </row>
    <row r="116" spans="1:8" x14ac:dyDescent="0.25">
      <c r="A116" s="73">
        <v>44743</v>
      </c>
      <c r="B116" s="74" t="s">
        <v>21385</v>
      </c>
      <c r="C116" s="75" t="s">
        <v>359</v>
      </c>
      <c r="D116" s="81">
        <v>1297.2</v>
      </c>
      <c r="E116" s="151">
        <v>44744</v>
      </c>
      <c r="F116" s="81">
        <v>1297.2</v>
      </c>
      <c r="G116" s="156">
        <f>Tabla18[[#This Row],[Importe]]-Tabla18[[#This Row],[Pagado]]</f>
        <v>0</v>
      </c>
      <c r="H116" s="75" t="s">
        <v>10</v>
      </c>
    </row>
    <row r="117" spans="1:8" x14ac:dyDescent="0.25">
      <c r="A117" s="148">
        <v>44743</v>
      </c>
      <c r="B117" s="149" t="s">
        <v>21386</v>
      </c>
      <c r="C117" s="153" t="s">
        <v>53</v>
      </c>
      <c r="D117" s="154">
        <v>1113.0999999999999</v>
      </c>
      <c r="E117" s="155">
        <v>44743</v>
      </c>
      <c r="F117" s="154">
        <v>1113.0999999999999</v>
      </c>
      <c r="G117" s="156">
        <f>Tabla18[[#This Row],[Importe]]-Tabla18[[#This Row],[Pagado]]</f>
        <v>0</v>
      </c>
      <c r="H117" s="153" t="s">
        <v>10</v>
      </c>
    </row>
    <row r="118" spans="1:8" x14ac:dyDescent="0.25">
      <c r="A118" s="73">
        <v>44743</v>
      </c>
      <c r="B118" s="74" t="s">
        <v>21387</v>
      </c>
      <c r="C118" s="75" t="s">
        <v>454</v>
      </c>
      <c r="D118" s="81">
        <v>4400</v>
      </c>
      <c r="E118" s="151">
        <v>44743</v>
      </c>
      <c r="F118" s="81">
        <v>4400</v>
      </c>
      <c r="G118" s="156">
        <f>Tabla18[[#This Row],[Importe]]-Tabla18[[#This Row],[Pagado]]</f>
        <v>0</v>
      </c>
      <c r="H118" s="75" t="s">
        <v>10</v>
      </c>
    </row>
    <row r="119" spans="1:8" x14ac:dyDescent="0.25">
      <c r="A119" s="148">
        <v>44743</v>
      </c>
      <c r="B119" s="149" t="s">
        <v>21388</v>
      </c>
      <c r="C119" s="153" t="s">
        <v>857</v>
      </c>
      <c r="D119" s="154">
        <v>1340.6</v>
      </c>
      <c r="E119" s="155">
        <v>44743</v>
      </c>
      <c r="F119" s="154">
        <v>1340.6</v>
      </c>
      <c r="G119" s="156">
        <f>Tabla18[[#This Row],[Importe]]-Tabla18[[#This Row],[Pagado]]</f>
        <v>0</v>
      </c>
      <c r="H119" s="153" t="s">
        <v>10</v>
      </c>
    </row>
    <row r="120" spans="1:8" x14ac:dyDescent="0.25">
      <c r="A120" s="73">
        <v>44743</v>
      </c>
      <c r="B120" s="74" t="s">
        <v>21389</v>
      </c>
      <c r="C120" s="75" t="s">
        <v>16</v>
      </c>
      <c r="D120" s="81">
        <v>752.4</v>
      </c>
      <c r="E120" s="151">
        <v>44743</v>
      </c>
      <c r="F120" s="81">
        <v>752.4</v>
      </c>
      <c r="G120" s="156">
        <f>Tabla18[[#This Row],[Importe]]-Tabla18[[#This Row],[Pagado]]</f>
        <v>0</v>
      </c>
      <c r="H120" s="75" t="s">
        <v>10</v>
      </c>
    </row>
    <row r="121" spans="1:8" x14ac:dyDescent="0.25">
      <c r="A121" s="148">
        <v>44743</v>
      </c>
      <c r="B121" s="149" t="s">
        <v>21390</v>
      </c>
      <c r="C121" s="153" t="s">
        <v>69</v>
      </c>
      <c r="D121" s="154">
        <v>1864.8</v>
      </c>
      <c r="E121" s="155">
        <v>44743</v>
      </c>
      <c r="F121" s="154">
        <v>1864.8</v>
      </c>
      <c r="G121" s="156">
        <f>Tabla18[[#This Row],[Importe]]-Tabla18[[#This Row],[Pagado]]</f>
        <v>0</v>
      </c>
      <c r="H121" s="153" t="s">
        <v>10</v>
      </c>
    </row>
    <row r="122" spans="1:8" x14ac:dyDescent="0.25">
      <c r="A122" s="73">
        <v>44743</v>
      </c>
      <c r="B122" s="74" t="s">
        <v>21391</v>
      </c>
      <c r="C122" s="75" t="s">
        <v>56</v>
      </c>
      <c r="D122" s="81">
        <v>1934.2</v>
      </c>
      <c r="E122" s="151">
        <v>44743</v>
      </c>
      <c r="F122" s="81">
        <v>1934.2</v>
      </c>
      <c r="G122" s="156">
        <f>Tabla18[[#This Row],[Importe]]-Tabla18[[#This Row],[Pagado]]</f>
        <v>0</v>
      </c>
      <c r="H122" s="75" t="s">
        <v>10</v>
      </c>
    </row>
    <row r="123" spans="1:8" x14ac:dyDescent="0.25">
      <c r="A123" s="148">
        <v>44743</v>
      </c>
      <c r="B123" s="149" t="s">
        <v>21392</v>
      </c>
      <c r="C123" s="153" t="s">
        <v>296</v>
      </c>
      <c r="D123" s="154">
        <v>1176.5999999999999</v>
      </c>
      <c r="E123" s="155">
        <v>44743</v>
      </c>
      <c r="F123" s="154">
        <v>1176.5999999999999</v>
      </c>
      <c r="G123" s="156">
        <f>Tabla18[[#This Row],[Importe]]-Tabla18[[#This Row],[Pagado]]</f>
        <v>0</v>
      </c>
      <c r="H123" s="153" t="s">
        <v>10</v>
      </c>
    </row>
    <row r="124" spans="1:8" x14ac:dyDescent="0.25">
      <c r="A124" s="73">
        <v>44743</v>
      </c>
      <c r="B124" s="74" t="s">
        <v>21393</v>
      </c>
      <c r="C124" s="75" t="s">
        <v>365</v>
      </c>
      <c r="D124" s="81">
        <v>1554</v>
      </c>
      <c r="E124" s="151">
        <v>44743</v>
      </c>
      <c r="F124" s="81">
        <v>1554</v>
      </c>
      <c r="G124" s="156">
        <f>Tabla18[[#This Row],[Importe]]-Tabla18[[#This Row],[Pagado]]</f>
        <v>0</v>
      </c>
      <c r="H124" s="75" t="s">
        <v>10</v>
      </c>
    </row>
    <row r="125" spans="1:8" x14ac:dyDescent="0.25">
      <c r="A125" s="148">
        <v>44743</v>
      </c>
      <c r="B125" s="149" t="s">
        <v>21394</v>
      </c>
      <c r="C125" s="153" t="s">
        <v>31</v>
      </c>
      <c r="D125" s="154">
        <v>393.6</v>
      </c>
      <c r="E125" s="155">
        <v>44743</v>
      </c>
      <c r="F125" s="154">
        <v>393.6</v>
      </c>
      <c r="G125" s="156">
        <f>Tabla18[[#This Row],[Importe]]-Tabla18[[#This Row],[Pagado]]</f>
        <v>0</v>
      </c>
      <c r="H125" s="153" t="s">
        <v>10</v>
      </c>
    </row>
    <row r="126" spans="1:8" x14ac:dyDescent="0.25">
      <c r="A126" s="73">
        <v>44743</v>
      </c>
      <c r="B126" s="74" t="s">
        <v>21395</v>
      </c>
      <c r="C126" s="75" t="s">
        <v>89</v>
      </c>
      <c r="D126" s="81">
        <v>45</v>
      </c>
      <c r="E126" s="151">
        <v>44743</v>
      </c>
      <c r="F126" s="81">
        <v>45</v>
      </c>
      <c r="G126" s="156">
        <f>Tabla18[[#This Row],[Importe]]-Tabla18[[#This Row],[Pagado]]</f>
        <v>0</v>
      </c>
      <c r="H126" s="75" t="s">
        <v>10</v>
      </c>
    </row>
    <row r="127" spans="1:8" x14ac:dyDescent="0.25">
      <c r="A127" s="148">
        <v>44743</v>
      </c>
      <c r="B127" s="149" t="s">
        <v>21396</v>
      </c>
      <c r="C127" s="153" t="s">
        <v>10819</v>
      </c>
      <c r="D127" s="154">
        <v>720</v>
      </c>
      <c r="E127" s="155">
        <v>44744</v>
      </c>
      <c r="F127" s="154">
        <v>720</v>
      </c>
      <c r="G127" s="156">
        <f>Tabla18[[#This Row],[Importe]]-Tabla18[[#This Row],[Pagado]]</f>
        <v>0</v>
      </c>
      <c r="H127" s="153" t="s">
        <v>10</v>
      </c>
    </row>
    <row r="128" spans="1:8" x14ac:dyDescent="0.25">
      <c r="A128" s="73">
        <v>44743</v>
      </c>
      <c r="B128" s="74" t="s">
        <v>21397</v>
      </c>
      <c r="C128" s="75" t="s">
        <v>280</v>
      </c>
      <c r="D128" s="81">
        <v>1180.8</v>
      </c>
      <c r="E128" s="151">
        <v>44744</v>
      </c>
      <c r="F128" s="81">
        <v>1180.8</v>
      </c>
      <c r="G128" s="156">
        <f>Tabla18[[#This Row],[Importe]]-Tabla18[[#This Row],[Pagado]]</f>
        <v>0</v>
      </c>
      <c r="H128" s="75" t="s">
        <v>10</v>
      </c>
    </row>
    <row r="129" spans="1:8" x14ac:dyDescent="0.25">
      <c r="A129" s="148">
        <v>44743</v>
      </c>
      <c r="B129" s="149" t="s">
        <v>21398</v>
      </c>
      <c r="C129" s="153" t="s">
        <v>5345</v>
      </c>
      <c r="D129" s="154">
        <v>1260</v>
      </c>
      <c r="E129" s="155">
        <v>44744</v>
      </c>
      <c r="F129" s="154">
        <v>1260</v>
      </c>
      <c r="G129" s="156">
        <f>Tabla18[[#This Row],[Importe]]-Tabla18[[#This Row],[Pagado]]</f>
        <v>0</v>
      </c>
      <c r="H129" s="153" t="s">
        <v>10</v>
      </c>
    </row>
    <row r="130" spans="1:8" x14ac:dyDescent="0.25">
      <c r="A130" s="73">
        <v>44743</v>
      </c>
      <c r="B130" s="74" t="s">
        <v>21399</v>
      </c>
      <c r="C130" s="75" t="s">
        <v>31</v>
      </c>
      <c r="D130" s="81">
        <v>57.2</v>
      </c>
      <c r="E130" s="151">
        <v>44744</v>
      </c>
      <c r="F130" s="81">
        <v>57.2</v>
      </c>
      <c r="G130" s="156">
        <f>Tabla18[[#This Row],[Importe]]-Tabla18[[#This Row],[Pagado]]</f>
        <v>0</v>
      </c>
      <c r="H130" s="75" t="s">
        <v>10</v>
      </c>
    </row>
    <row r="131" spans="1:8" x14ac:dyDescent="0.25">
      <c r="A131" s="148">
        <v>44743</v>
      </c>
      <c r="B131" s="149" t="s">
        <v>21400</v>
      </c>
      <c r="C131" s="153" t="s">
        <v>11383</v>
      </c>
      <c r="D131" s="154">
        <v>26009</v>
      </c>
      <c r="E131" s="155">
        <v>44744</v>
      </c>
      <c r="F131" s="154">
        <v>26009</v>
      </c>
      <c r="G131" s="156">
        <f>Tabla18[[#This Row],[Importe]]-Tabla18[[#This Row],[Pagado]]</f>
        <v>0</v>
      </c>
      <c r="H131" s="153" t="s">
        <v>10</v>
      </c>
    </row>
    <row r="132" spans="1:8" x14ac:dyDescent="0.25">
      <c r="A132" s="73">
        <v>44743</v>
      </c>
      <c r="B132" s="74" t="s">
        <v>21401</v>
      </c>
      <c r="C132" s="75" t="s">
        <v>282</v>
      </c>
      <c r="D132" s="81">
        <v>5976</v>
      </c>
      <c r="E132" s="151">
        <v>44744</v>
      </c>
      <c r="F132" s="81">
        <v>5976</v>
      </c>
      <c r="G132" s="156">
        <f>Tabla18[[#This Row],[Importe]]-Tabla18[[#This Row],[Pagado]]</f>
        <v>0</v>
      </c>
      <c r="H132" s="75" t="s">
        <v>10</v>
      </c>
    </row>
    <row r="133" spans="1:8" x14ac:dyDescent="0.25">
      <c r="A133" s="148">
        <v>44743</v>
      </c>
      <c r="B133" s="149" t="s">
        <v>21402</v>
      </c>
      <c r="C133" s="153" t="s">
        <v>284</v>
      </c>
      <c r="D133" s="154">
        <v>9576</v>
      </c>
      <c r="E133" s="155">
        <v>44744</v>
      </c>
      <c r="F133" s="154">
        <v>9576</v>
      </c>
      <c r="G133" s="156">
        <f>Tabla18[[#This Row],[Importe]]-Tabla18[[#This Row],[Pagado]]</f>
        <v>0</v>
      </c>
      <c r="H133" s="153" t="s">
        <v>10</v>
      </c>
    </row>
    <row r="134" spans="1:8" x14ac:dyDescent="0.25">
      <c r="A134" s="73">
        <v>44743</v>
      </c>
      <c r="B134" s="74" t="s">
        <v>21403</v>
      </c>
      <c r="C134" s="75" t="s">
        <v>431</v>
      </c>
      <c r="D134" s="81">
        <v>3585.6</v>
      </c>
      <c r="E134" s="151">
        <v>44744</v>
      </c>
      <c r="F134" s="81">
        <v>3585.6</v>
      </c>
      <c r="G134" s="156">
        <f>Tabla18[[#This Row],[Importe]]-Tabla18[[#This Row],[Pagado]]</f>
        <v>0</v>
      </c>
      <c r="H134" s="75" t="s">
        <v>10</v>
      </c>
    </row>
    <row r="135" spans="1:8" x14ac:dyDescent="0.25">
      <c r="A135" s="148">
        <v>44743</v>
      </c>
      <c r="B135" s="149" t="s">
        <v>21404</v>
      </c>
      <c r="C135" s="153" t="s">
        <v>5345</v>
      </c>
      <c r="D135" s="154">
        <v>1281.5999999999999</v>
      </c>
      <c r="E135" s="155">
        <v>44744</v>
      </c>
      <c r="F135" s="154">
        <v>1281.5999999999999</v>
      </c>
      <c r="G135" s="156">
        <f>Tabla18[[#This Row],[Importe]]-Tabla18[[#This Row],[Pagado]]</f>
        <v>0</v>
      </c>
      <c r="H135" s="153" t="s">
        <v>10</v>
      </c>
    </row>
    <row r="136" spans="1:8" x14ac:dyDescent="0.25">
      <c r="A136" s="73">
        <v>44743</v>
      </c>
      <c r="B136" s="74" t="s">
        <v>21405</v>
      </c>
      <c r="C136" s="75" t="s">
        <v>196</v>
      </c>
      <c r="D136" s="81">
        <v>86830.49</v>
      </c>
      <c r="E136" s="151">
        <v>44750</v>
      </c>
      <c r="F136" s="81">
        <v>86830.49</v>
      </c>
      <c r="G136" s="156">
        <f>Tabla18[[#This Row],[Importe]]-Tabla18[[#This Row],[Pagado]]</f>
        <v>0</v>
      </c>
      <c r="H136" s="75" t="s">
        <v>10</v>
      </c>
    </row>
    <row r="137" spans="1:8" ht="31.5" x14ac:dyDescent="0.25">
      <c r="A137" s="148">
        <v>44744</v>
      </c>
      <c r="B137" s="149" t="s">
        <v>21406</v>
      </c>
      <c r="C137" s="153" t="s">
        <v>475</v>
      </c>
      <c r="D137" s="154">
        <v>45542.400000000001</v>
      </c>
      <c r="E137" s="150" t="s">
        <v>21407</v>
      </c>
      <c r="F137" s="154">
        <f>11000+34542.4</f>
        <v>45542.400000000001</v>
      </c>
      <c r="G137" s="156">
        <f>Tabla18[[#This Row],[Importe]]-Tabla18[[#This Row],[Pagado]]</f>
        <v>0</v>
      </c>
      <c r="H137" s="153" t="s">
        <v>10</v>
      </c>
    </row>
    <row r="138" spans="1:8" x14ac:dyDescent="0.25">
      <c r="A138" s="73">
        <v>44744</v>
      </c>
      <c r="B138" s="74" t="s">
        <v>21408</v>
      </c>
      <c r="C138" s="75" t="s">
        <v>18</v>
      </c>
      <c r="D138" s="81">
        <v>1593.9</v>
      </c>
      <c r="E138" s="151">
        <v>44744</v>
      </c>
      <c r="F138" s="81">
        <v>1593.9</v>
      </c>
      <c r="G138" s="156">
        <f>Tabla18[[#This Row],[Importe]]-Tabla18[[#This Row],[Pagado]]</f>
        <v>0</v>
      </c>
      <c r="H138" s="75" t="s">
        <v>10</v>
      </c>
    </row>
    <row r="139" spans="1:8" x14ac:dyDescent="0.25">
      <c r="A139" s="148">
        <v>44744</v>
      </c>
      <c r="B139" s="149" t="s">
        <v>21409</v>
      </c>
      <c r="C139" s="153" t="s">
        <v>481</v>
      </c>
      <c r="D139" s="154">
        <v>1626.4</v>
      </c>
      <c r="E139" s="155">
        <v>44744</v>
      </c>
      <c r="F139" s="154">
        <v>1626.4</v>
      </c>
      <c r="G139" s="156">
        <f>Tabla18[[#This Row],[Importe]]-Tabla18[[#This Row],[Pagado]]</f>
        <v>0</v>
      </c>
      <c r="H139" s="153" t="s">
        <v>10</v>
      </c>
    </row>
    <row r="140" spans="1:8" x14ac:dyDescent="0.25">
      <c r="A140" s="73">
        <v>44744</v>
      </c>
      <c r="B140" s="74" t="s">
        <v>21410</v>
      </c>
      <c r="C140" s="75" t="s">
        <v>95</v>
      </c>
      <c r="D140" s="81">
        <v>8904</v>
      </c>
      <c r="E140" s="151">
        <v>44744</v>
      </c>
      <c r="F140" s="81">
        <v>8904</v>
      </c>
      <c r="G140" s="156">
        <f>Tabla18[[#This Row],[Importe]]-Tabla18[[#This Row],[Pagado]]</f>
        <v>0</v>
      </c>
      <c r="H140" s="75" t="s">
        <v>10</v>
      </c>
    </row>
    <row r="141" spans="1:8" x14ac:dyDescent="0.25">
      <c r="A141" s="148">
        <v>44744</v>
      </c>
      <c r="B141" s="149" t="s">
        <v>21411</v>
      </c>
      <c r="C141" s="153" t="s">
        <v>105</v>
      </c>
      <c r="D141" s="154">
        <v>20079.599999999999</v>
      </c>
      <c r="E141" s="155">
        <v>44746</v>
      </c>
      <c r="F141" s="154">
        <v>20079.599999999999</v>
      </c>
      <c r="G141" s="156">
        <f>Tabla18[[#This Row],[Importe]]-Tabla18[[#This Row],[Pagado]]</f>
        <v>0</v>
      </c>
      <c r="H141" s="153" t="s">
        <v>10</v>
      </c>
    </row>
    <row r="142" spans="1:8" x14ac:dyDescent="0.25">
      <c r="A142" s="73">
        <v>44744</v>
      </c>
      <c r="B142" s="74" t="s">
        <v>21412</v>
      </c>
      <c r="C142" s="75" t="s">
        <v>109</v>
      </c>
      <c r="D142" s="81">
        <v>5511.8</v>
      </c>
      <c r="E142" s="151">
        <v>44746</v>
      </c>
      <c r="F142" s="81">
        <v>5511.8</v>
      </c>
      <c r="G142" s="156">
        <f>Tabla18[[#This Row],[Importe]]-Tabla18[[#This Row],[Pagado]]</f>
        <v>0</v>
      </c>
      <c r="H142" s="75" t="s">
        <v>10</v>
      </c>
    </row>
    <row r="143" spans="1:8" x14ac:dyDescent="0.25">
      <c r="A143" s="148">
        <v>44744</v>
      </c>
      <c r="B143" s="149" t="s">
        <v>21413</v>
      </c>
      <c r="C143" s="153" t="s">
        <v>326</v>
      </c>
      <c r="D143" s="154">
        <v>16147.2</v>
      </c>
      <c r="E143" s="155">
        <v>44746</v>
      </c>
      <c r="F143" s="154">
        <v>16147.2</v>
      </c>
      <c r="G143" s="156">
        <f>Tabla18[[#This Row],[Importe]]-Tabla18[[#This Row],[Pagado]]</f>
        <v>0</v>
      </c>
      <c r="H143" s="153" t="s">
        <v>10</v>
      </c>
    </row>
    <row r="144" spans="1:8" x14ac:dyDescent="0.25">
      <c r="A144" s="73">
        <v>44744</v>
      </c>
      <c r="B144" s="74" t="s">
        <v>21414</v>
      </c>
      <c r="C144" s="75" t="s">
        <v>5043</v>
      </c>
      <c r="D144" s="81">
        <v>5516.8</v>
      </c>
      <c r="E144" s="151">
        <v>44746</v>
      </c>
      <c r="F144" s="81">
        <v>5516.8</v>
      </c>
      <c r="G144" s="156">
        <f>Tabla18[[#This Row],[Importe]]-Tabla18[[#This Row],[Pagado]]</f>
        <v>0</v>
      </c>
      <c r="H144" s="75" t="s">
        <v>10</v>
      </c>
    </row>
    <row r="145" spans="1:8" x14ac:dyDescent="0.25">
      <c r="A145" s="148">
        <v>44744</v>
      </c>
      <c r="B145" s="149" t="s">
        <v>21415</v>
      </c>
      <c r="C145" s="153" t="s">
        <v>64</v>
      </c>
      <c r="D145" s="154">
        <v>11756.8</v>
      </c>
      <c r="E145" s="155">
        <v>44746</v>
      </c>
      <c r="F145" s="154">
        <v>11756.8</v>
      </c>
      <c r="G145" s="156">
        <f>Tabla18[[#This Row],[Importe]]-Tabla18[[#This Row],[Pagado]]</f>
        <v>0</v>
      </c>
      <c r="H145" s="153" t="s">
        <v>10</v>
      </c>
    </row>
    <row r="146" spans="1:8" x14ac:dyDescent="0.25">
      <c r="A146" s="73">
        <v>44744</v>
      </c>
      <c r="B146" s="74" t="s">
        <v>21416</v>
      </c>
      <c r="C146" s="75" t="s">
        <v>89</v>
      </c>
      <c r="D146" s="81">
        <v>17281.599999999999</v>
      </c>
      <c r="E146" s="151">
        <v>44746</v>
      </c>
      <c r="F146" s="81">
        <v>17281.599999999999</v>
      </c>
      <c r="G146" s="156">
        <f>Tabla18[[#This Row],[Importe]]-Tabla18[[#This Row],[Pagado]]</f>
        <v>0</v>
      </c>
      <c r="H146" s="75" t="s">
        <v>10</v>
      </c>
    </row>
    <row r="147" spans="1:8" x14ac:dyDescent="0.25">
      <c r="A147" s="148">
        <v>44744</v>
      </c>
      <c r="B147" s="149" t="s">
        <v>21417</v>
      </c>
      <c r="C147" s="153" t="s">
        <v>2563</v>
      </c>
      <c r="D147" s="154">
        <v>5766.4</v>
      </c>
      <c r="E147" s="155">
        <v>44746</v>
      </c>
      <c r="F147" s="154">
        <v>5766.4</v>
      </c>
      <c r="G147" s="156">
        <f>Tabla18[[#This Row],[Importe]]-Tabla18[[#This Row],[Pagado]]</f>
        <v>0</v>
      </c>
      <c r="H147" s="153" t="s">
        <v>10</v>
      </c>
    </row>
    <row r="148" spans="1:8" x14ac:dyDescent="0.25">
      <c r="A148" s="73">
        <v>44744</v>
      </c>
      <c r="B148" s="74" t="s">
        <v>21418</v>
      </c>
      <c r="C148" s="75" t="s">
        <v>10586</v>
      </c>
      <c r="D148" s="81">
        <v>5425</v>
      </c>
      <c r="E148" s="151">
        <v>44746</v>
      </c>
      <c r="F148" s="81">
        <v>5425</v>
      </c>
      <c r="G148" s="156">
        <f>Tabla18[[#This Row],[Importe]]-Tabla18[[#This Row],[Pagado]]</f>
        <v>0</v>
      </c>
      <c r="H148" s="75" t="s">
        <v>10</v>
      </c>
    </row>
    <row r="149" spans="1:8" x14ac:dyDescent="0.25">
      <c r="A149" s="148">
        <v>44744</v>
      </c>
      <c r="B149" s="149" t="s">
        <v>21419</v>
      </c>
      <c r="C149" s="153" t="s">
        <v>10747</v>
      </c>
      <c r="D149" s="154">
        <v>5996.8</v>
      </c>
      <c r="E149" s="155">
        <v>44744</v>
      </c>
      <c r="F149" s="154">
        <v>5996.8</v>
      </c>
      <c r="G149" s="156">
        <f>Tabla18[[#This Row],[Importe]]-Tabla18[[#This Row],[Pagado]]</f>
        <v>0</v>
      </c>
      <c r="H149" s="153" t="s">
        <v>10</v>
      </c>
    </row>
    <row r="150" spans="1:8" ht="31.5" x14ac:dyDescent="0.25">
      <c r="A150" s="73">
        <v>44744</v>
      </c>
      <c r="B150" s="74" t="s">
        <v>21420</v>
      </c>
      <c r="C150" s="75" t="s">
        <v>93</v>
      </c>
      <c r="D150" s="81">
        <v>24227.3</v>
      </c>
      <c r="E150" s="147" t="s">
        <v>21421</v>
      </c>
      <c r="F150" s="81">
        <f>13000+11227.3</f>
        <v>24227.3</v>
      </c>
      <c r="G150" s="156">
        <f>Tabla18[[#This Row],[Importe]]-Tabla18[[#This Row],[Pagado]]</f>
        <v>0</v>
      </c>
      <c r="H150" s="75" t="s">
        <v>10</v>
      </c>
    </row>
    <row r="151" spans="1:8" x14ac:dyDescent="0.25">
      <c r="A151" s="148">
        <v>44744</v>
      </c>
      <c r="B151" s="149" t="s">
        <v>21422</v>
      </c>
      <c r="C151" s="153" t="s">
        <v>99</v>
      </c>
      <c r="D151" s="154">
        <v>10533.8</v>
      </c>
      <c r="E151" s="155">
        <v>44746</v>
      </c>
      <c r="F151" s="154">
        <v>10533.8</v>
      </c>
      <c r="G151" s="156">
        <f>Tabla18[[#This Row],[Importe]]-Tabla18[[#This Row],[Pagado]]</f>
        <v>0</v>
      </c>
      <c r="H151" s="153" t="s">
        <v>10</v>
      </c>
    </row>
    <row r="152" spans="1:8" x14ac:dyDescent="0.25">
      <c r="A152" s="73">
        <v>44744</v>
      </c>
      <c r="B152" s="74" t="s">
        <v>21423</v>
      </c>
      <c r="C152" s="75" t="s">
        <v>2151</v>
      </c>
      <c r="D152" s="81">
        <v>42819.4</v>
      </c>
      <c r="E152" s="151">
        <v>44744</v>
      </c>
      <c r="F152" s="81">
        <v>42819.4</v>
      </c>
      <c r="G152" s="156">
        <f>Tabla18[[#This Row],[Importe]]-Tabla18[[#This Row],[Pagado]]</f>
        <v>0</v>
      </c>
      <c r="H152" s="75" t="s">
        <v>10</v>
      </c>
    </row>
    <row r="153" spans="1:8" ht="31.5" x14ac:dyDescent="0.25">
      <c r="A153" s="148">
        <v>44744</v>
      </c>
      <c r="B153" s="149" t="s">
        <v>21424</v>
      </c>
      <c r="C153" s="153" t="s">
        <v>22</v>
      </c>
      <c r="D153" s="154">
        <v>86636.800000000003</v>
      </c>
      <c r="E153" s="150" t="s">
        <v>21407</v>
      </c>
      <c r="F153" s="154">
        <f>70000+16636.8</f>
        <v>86636.800000000003</v>
      </c>
      <c r="G153" s="156">
        <f>Tabla18[[#This Row],[Importe]]-Tabla18[[#This Row],[Pagado]]</f>
        <v>0</v>
      </c>
      <c r="H153" s="153" t="s">
        <v>10</v>
      </c>
    </row>
    <row r="154" spans="1:8" x14ac:dyDescent="0.25">
      <c r="A154" s="73">
        <v>44744</v>
      </c>
      <c r="B154" s="74" t="s">
        <v>21425</v>
      </c>
      <c r="C154" s="75" t="s">
        <v>31</v>
      </c>
      <c r="D154" s="81">
        <v>3659.4</v>
      </c>
      <c r="E154" s="151">
        <v>44744</v>
      </c>
      <c r="F154" s="81">
        <v>3659.4</v>
      </c>
      <c r="G154" s="156">
        <f>Tabla18[[#This Row],[Importe]]-Tabla18[[#This Row],[Pagado]]</f>
        <v>0</v>
      </c>
      <c r="H154" s="75" t="s">
        <v>10</v>
      </c>
    </row>
    <row r="155" spans="1:8" x14ac:dyDescent="0.25">
      <c r="A155" s="148">
        <v>44744</v>
      </c>
      <c r="B155" s="149" t="s">
        <v>21426</v>
      </c>
      <c r="C155" s="153" t="s">
        <v>114</v>
      </c>
      <c r="D155" s="154">
        <v>17399.400000000001</v>
      </c>
      <c r="E155" s="155">
        <v>44746</v>
      </c>
      <c r="F155" s="154">
        <v>17399.400000000001</v>
      </c>
      <c r="G155" s="156">
        <f>Tabla18[[#This Row],[Importe]]-Tabla18[[#This Row],[Pagado]]</f>
        <v>0</v>
      </c>
      <c r="H155" s="153" t="s">
        <v>10</v>
      </c>
    </row>
    <row r="156" spans="1:8" x14ac:dyDescent="0.25">
      <c r="A156" s="73">
        <v>44744</v>
      </c>
      <c r="B156" s="74" t="s">
        <v>21427</v>
      </c>
      <c r="C156" s="75" t="s">
        <v>9</v>
      </c>
      <c r="D156" s="81">
        <v>9932</v>
      </c>
      <c r="E156" s="151">
        <v>44744</v>
      </c>
      <c r="F156" s="81">
        <v>9932</v>
      </c>
      <c r="G156" s="156">
        <f>Tabla18[[#This Row],[Importe]]-Tabla18[[#This Row],[Pagado]]</f>
        <v>0</v>
      </c>
      <c r="H156" s="75" t="s">
        <v>10</v>
      </c>
    </row>
    <row r="157" spans="1:8" x14ac:dyDescent="0.25">
      <c r="A157" s="148">
        <v>44744</v>
      </c>
      <c r="B157" s="149" t="s">
        <v>21428</v>
      </c>
      <c r="C157" s="153" t="s">
        <v>97</v>
      </c>
      <c r="D157" s="154">
        <v>13173.4</v>
      </c>
      <c r="E157" s="155">
        <v>44746</v>
      </c>
      <c r="F157" s="154">
        <v>13173.4</v>
      </c>
      <c r="G157" s="156">
        <f>Tabla18[[#This Row],[Importe]]-Tabla18[[#This Row],[Pagado]]</f>
        <v>0</v>
      </c>
      <c r="H157" s="153" t="s">
        <v>10</v>
      </c>
    </row>
    <row r="158" spans="1:8" x14ac:dyDescent="0.25">
      <c r="A158" s="73">
        <v>44744</v>
      </c>
      <c r="B158" s="74" t="s">
        <v>21429</v>
      </c>
      <c r="C158" s="75" t="s">
        <v>348</v>
      </c>
      <c r="D158" s="81">
        <v>5062.3999999999996</v>
      </c>
      <c r="E158" s="151">
        <v>44746</v>
      </c>
      <c r="F158" s="81">
        <v>5062.3999999999996</v>
      </c>
      <c r="G158" s="156">
        <f>Tabla18[[#This Row],[Importe]]-Tabla18[[#This Row],[Pagado]]</f>
        <v>0</v>
      </c>
      <c r="H158" s="75" t="s">
        <v>10</v>
      </c>
    </row>
    <row r="159" spans="1:8" x14ac:dyDescent="0.25">
      <c r="A159" s="148">
        <v>44744</v>
      </c>
      <c r="B159" s="149" t="s">
        <v>21430</v>
      </c>
      <c r="C159" s="153" t="s">
        <v>116</v>
      </c>
      <c r="D159" s="154">
        <v>12233.6</v>
      </c>
      <c r="E159" s="155">
        <v>44746</v>
      </c>
      <c r="F159" s="154">
        <v>12233.6</v>
      </c>
      <c r="G159" s="156">
        <f>Tabla18[[#This Row],[Importe]]-Tabla18[[#This Row],[Pagado]]</f>
        <v>0</v>
      </c>
      <c r="H159" s="153" t="s">
        <v>10</v>
      </c>
    </row>
    <row r="160" spans="1:8" x14ac:dyDescent="0.25">
      <c r="A160" s="73">
        <v>44744</v>
      </c>
      <c r="B160" s="74" t="s">
        <v>21431</v>
      </c>
      <c r="C160" s="75" t="s">
        <v>24</v>
      </c>
      <c r="D160" s="81">
        <v>6242.2</v>
      </c>
      <c r="E160" s="151">
        <v>44744</v>
      </c>
      <c r="F160" s="81">
        <v>6242.2</v>
      </c>
      <c r="G160" s="156">
        <f>Tabla18[[#This Row],[Importe]]-Tabla18[[#This Row],[Pagado]]</f>
        <v>0</v>
      </c>
      <c r="H160" s="75" t="s">
        <v>10</v>
      </c>
    </row>
    <row r="161" spans="1:8" x14ac:dyDescent="0.25">
      <c r="A161" s="148">
        <v>44744</v>
      </c>
      <c r="B161" s="149" t="s">
        <v>21432</v>
      </c>
      <c r="C161" s="153" t="s">
        <v>1187</v>
      </c>
      <c r="D161" s="154">
        <v>2613</v>
      </c>
      <c r="E161" s="155">
        <v>44744</v>
      </c>
      <c r="F161" s="154">
        <v>2613</v>
      </c>
      <c r="G161" s="156">
        <f>Tabla18[[#This Row],[Importe]]-Tabla18[[#This Row],[Pagado]]</f>
        <v>0</v>
      </c>
      <c r="H161" s="153" t="s">
        <v>10</v>
      </c>
    </row>
    <row r="162" spans="1:8" ht="31.5" x14ac:dyDescent="0.25">
      <c r="A162" s="73">
        <v>44744</v>
      </c>
      <c r="B162" s="74" t="s">
        <v>21433</v>
      </c>
      <c r="C162" s="75" t="s">
        <v>1650</v>
      </c>
      <c r="D162" s="81">
        <v>25099.200000000001</v>
      </c>
      <c r="E162" s="147" t="s">
        <v>21296</v>
      </c>
      <c r="F162" s="81">
        <f>13000+12099.2</f>
        <v>25099.200000000001</v>
      </c>
      <c r="G162" s="156">
        <f>Tabla18[[#This Row],[Importe]]-Tabla18[[#This Row],[Pagado]]</f>
        <v>0</v>
      </c>
      <c r="H162" s="75" t="s">
        <v>10</v>
      </c>
    </row>
    <row r="163" spans="1:8" x14ac:dyDescent="0.25">
      <c r="A163" s="148">
        <v>44744</v>
      </c>
      <c r="B163" s="149" t="s">
        <v>21434</v>
      </c>
      <c r="C163" s="153" t="s">
        <v>85</v>
      </c>
      <c r="D163" s="154">
        <v>2289.6</v>
      </c>
      <c r="E163" s="155">
        <v>44744</v>
      </c>
      <c r="F163" s="154">
        <v>2289.6</v>
      </c>
      <c r="G163" s="156">
        <f>Tabla18[[#This Row],[Importe]]-Tabla18[[#This Row],[Pagado]]</f>
        <v>0</v>
      </c>
      <c r="H163" s="153" t="s">
        <v>10</v>
      </c>
    </row>
    <row r="164" spans="1:8" x14ac:dyDescent="0.25">
      <c r="A164" s="73">
        <v>44744</v>
      </c>
      <c r="B164" s="74" t="s">
        <v>21435</v>
      </c>
      <c r="C164" s="75" t="s">
        <v>87</v>
      </c>
      <c r="D164" s="81">
        <v>3598.8</v>
      </c>
      <c r="E164" s="151">
        <v>44744</v>
      </c>
      <c r="F164" s="81">
        <v>3598.8</v>
      </c>
      <c r="G164" s="156">
        <f>Tabla18[[#This Row],[Importe]]-Tabla18[[#This Row],[Pagado]]</f>
        <v>0</v>
      </c>
      <c r="H164" s="75" t="s">
        <v>10</v>
      </c>
    </row>
    <row r="165" spans="1:8" x14ac:dyDescent="0.25">
      <c r="A165" s="148">
        <v>44744</v>
      </c>
      <c r="B165" s="149" t="s">
        <v>21436</v>
      </c>
      <c r="C165" s="153" t="s">
        <v>314</v>
      </c>
      <c r="D165" s="154">
        <v>3830.4</v>
      </c>
      <c r="E165" s="155">
        <v>44744</v>
      </c>
      <c r="F165" s="154">
        <v>3830.4</v>
      </c>
      <c r="G165" s="156">
        <f>Tabla18[[#This Row],[Importe]]-Tabla18[[#This Row],[Pagado]]</f>
        <v>0</v>
      </c>
      <c r="H165" s="153" t="s">
        <v>10</v>
      </c>
    </row>
    <row r="166" spans="1:8" x14ac:dyDescent="0.25">
      <c r="A166" s="73">
        <v>44744</v>
      </c>
      <c r="B166" s="74" t="s">
        <v>21437</v>
      </c>
      <c r="C166" s="75" t="s">
        <v>49</v>
      </c>
      <c r="D166" s="81">
        <v>5321.6</v>
      </c>
      <c r="E166" s="151">
        <v>44744</v>
      </c>
      <c r="F166" s="81">
        <v>5321.6</v>
      </c>
      <c r="G166" s="156">
        <f>Tabla18[[#This Row],[Importe]]-Tabla18[[#This Row],[Pagado]]</f>
        <v>0</v>
      </c>
      <c r="H166" s="75" t="s">
        <v>10</v>
      </c>
    </row>
    <row r="167" spans="1:8" x14ac:dyDescent="0.25">
      <c r="A167" s="148">
        <v>44744</v>
      </c>
      <c r="B167" s="149" t="s">
        <v>21438</v>
      </c>
      <c r="C167" s="153" t="s">
        <v>924</v>
      </c>
      <c r="D167" s="154">
        <v>6550.5</v>
      </c>
      <c r="E167" s="155">
        <v>44744</v>
      </c>
      <c r="F167" s="154">
        <v>6550.5</v>
      </c>
      <c r="G167" s="156">
        <f>Tabla18[[#This Row],[Importe]]-Tabla18[[#This Row],[Pagado]]</f>
        <v>0</v>
      </c>
      <c r="H167" s="153" t="s">
        <v>10</v>
      </c>
    </row>
    <row r="168" spans="1:8" x14ac:dyDescent="0.25">
      <c r="A168" s="73">
        <v>44744</v>
      </c>
      <c r="B168" s="74" t="s">
        <v>21439</v>
      </c>
      <c r="C168" s="75" t="s">
        <v>56</v>
      </c>
      <c r="D168" s="81">
        <v>9657</v>
      </c>
      <c r="E168" s="151">
        <v>44744</v>
      </c>
      <c r="F168" s="81">
        <v>9657</v>
      </c>
      <c r="G168" s="156">
        <f>Tabla18[[#This Row],[Importe]]-Tabla18[[#This Row],[Pagado]]</f>
        <v>0</v>
      </c>
      <c r="H168" s="75" t="s">
        <v>10</v>
      </c>
    </row>
    <row r="169" spans="1:8" x14ac:dyDescent="0.25">
      <c r="A169" s="148">
        <v>44744</v>
      </c>
      <c r="B169" s="149" t="s">
        <v>21440</v>
      </c>
      <c r="C169" s="153" t="s">
        <v>11033</v>
      </c>
      <c r="D169" s="154">
        <v>1771</v>
      </c>
      <c r="E169" s="155">
        <v>44744</v>
      </c>
      <c r="F169" s="154">
        <v>1771</v>
      </c>
      <c r="G169" s="156">
        <f>Tabla18[[#This Row],[Importe]]-Tabla18[[#This Row],[Pagado]]</f>
        <v>0</v>
      </c>
      <c r="H169" s="153" t="s">
        <v>10</v>
      </c>
    </row>
    <row r="170" spans="1:8" x14ac:dyDescent="0.25">
      <c r="A170" s="73">
        <v>44744</v>
      </c>
      <c r="B170" s="74" t="s">
        <v>21441</v>
      </c>
      <c r="C170" s="75" t="s">
        <v>60</v>
      </c>
      <c r="D170" s="81">
        <v>5209.6000000000004</v>
      </c>
      <c r="E170" s="151">
        <v>44745</v>
      </c>
      <c r="F170" s="81">
        <v>5209.6000000000004</v>
      </c>
      <c r="G170" s="156">
        <f>Tabla18[[#This Row],[Importe]]-Tabla18[[#This Row],[Pagado]]</f>
        <v>0</v>
      </c>
      <c r="H170" s="75" t="s">
        <v>10</v>
      </c>
    </row>
    <row r="171" spans="1:8" x14ac:dyDescent="0.25">
      <c r="A171" s="148">
        <v>44744</v>
      </c>
      <c r="B171" s="149" t="s">
        <v>21442</v>
      </c>
      <c r="C171" s="153" t="s">
        <v>111</v>
      </c>
      <c r="D171" s="154">
        <v>5902.4</v>
      </c>
      <c r="E171" s="155">
        <v>44746</v>
      </c>
      <c r="F171" s="154">
        <v>5902.4</v>
      </c>
      <c r="G171" s="156">
        <f>Tabla18[[#This Row],[Importe]]-Tabla18[[#This Row],[Pagado]]</f>
        <v>0</v>
      </c>
      <c r="H171" s="153" t="s">
        <v>10</v>
      </c>
    </row>
    <row r="172" spans="1:8" ht="31.5" x14ac:dyDescent="0.25">
      <c r="A172" s="73">
        <v>44744</v>
      </c>
      <c r="B172" s="74" t="s">
        <v>21443</v>
      </c>
      <c r="C172" s="75" t="s">
        <v>275</v>
      </c>
      <c r="D172" s="81">
        <v>199121.48</v>
      </c>
      <c r="E172" s="147" t="s">
        <v>21444</v>
      </c>
      <c r="F172" s="81">
        <f>193168.17+5953.31</f>
        <v>199121.48</v>
      </c>
      <c r="G172" s="156">
        <f>Tabla18[[#This Row],[Importe]]-Tabla18[[#This Row],[Pagado]]</f>
        <v>0</v>
      </c>
      <c r="H172" s="75" t="s">
        <v>10</v>
      </c>
    </row>
    <row r="173" spans="1:8" x14ac:dyDescent="0.25">
      <c r="A173" s="148">
        <v>44744</v>
      </c>
      <c r="B173" s="149" t="s">
        <v>21445</v>
      </c>
      <c r="C173" s="153" t="s">
        <v>33</v>
      </c>
      <c r="D173" s="154">
        <v>2948.8</v>
      </c>
      <c r="E173" s="155">
        <v>44744</v>
      </c>
      <c r="F173" s="154">
        <v>2948.8</v>
      </c>
      <c r="G173" s="156">
        <f>Tabla18[[#This Row],[Importe]]-Tabla18[[#This Row],[Pagado]]</f>
        <v>0</v>
      </c>
      <c r="H173" s="153" t="s">
        <v>10</v>
      </c>
    </row>
    <row r="174" spans="1:8" x14ac:dyDescent="0.25">
      <c r="A174" s="73">
        <v>44744</v>
      </c>
      <c r="B174" s="74" t="s">
        <v>21446</v>
      </c>
      <c r="C174" s="75" t="s">
        <v>129</v>
      </c>
      <c r="D174" s="81">
        <v>5654.4</v>
      </c>
      <c r="E174" s="151">
        <v>44744</v>
      </c>
      <c r="F174" s="81">
        <v>5654.4</v>
      </c>
      <c r="G174" s="156">
        <f>Tabla18[[#This Row],[Importe]]-Tabla18[[#This Row],[Pagado]]</f>
        <v>0</v>
      </c>
      <c r="H174" s="75" t="s">
        <v>10</v>
      </c>
    </row>
    <row r="175" spans="1:8" x14ac:dyDescent="0.25">
      <c r="A175" s="148">
        <v>44744</v>
      </c>
      <c r="B175" s="149" t="s">
        <v>21447</v>
      </c>
      <c r="C175" s="153" t="s">
        <v>127</v>
      </c>
      <c r="D175" s="154">
        <v>7177.2</v>
      </c>
      <c r="E175" s="155">
        <v>44744</v>
      </c>
      <c r="F175" s="154">
        <v>7177.2</v>
      </c>
      <c r="G175" s="156">
        <f>Tabla18[[#This Row],[Importe]]-Tabla18[[#This Row],[Pagado]]</f>
        <v>0</v>
      </c>
      <c r="H175" s="153" t="s">
        <v>10</v>
      </c>
    </row>
    <row r="176" spans="1:8" x14ac:dyDescent="0.25">
      <c r="A176" s="73">
        <v>44744</v>
      </c>
      <c r="B176" s="74" t="s">
        <v>21448</v>
      </c>
      <c r="C176" s="75" t="s">
        <v>140</v>
      </c>
      <c r="D176" s="81">
        <v>1768.6</v>
      </c>
      <c r="E176" s="151">
        <v>44744</v>
      </c>
      <c r="F176" s="81">
        <v>1768.6</v>
      </c>
      <c r="G176" s="156">
        <f>Tabla18[[#This Row],[Importe]]-Tabla18[[#This Row],[Pagado]]</f>
        <v>0</v>
      </c>
      <c r="H176" s="75" t="s">
        <v>10</v>
      </c>
    </row>
    <row r="177" spans="1:8" x14ac:dyDescent="0.25">
      <c r="A177" s="148">
        <v>44744</v>
      </c>
      <c r="B177" s="149" t="s">
        <v>21449</v>
      </c>
      <c r="C177" s="153" t="s">
        <v>339</v>
      </c>
      <c r="D177" s="154">
        <v>870</v>
      </c>
      <c r="E177" s="155">
        <v>44744</v>
      </c>
      <c r="F177" s="154">
        <v>870</v>
      </c>
      <c r="G177" s="156">
        <f>Tabla18[[#This Row],[Importe]]-Tabla18[[#This Row],[Pagado]]</f>
        <v>0</v>
      </c>
      <c r="H177" s="153" t="s">
        <v>10</v>
      </c>
    </row>
    <row r="178" spans="1:8" x14ac:dyDescent="0.25">
      <c r="A178" s="73">
        <v>44744</v>
      </c>
      <c r="B178" s="74" t="s">
        <v>21450</v>
      </c>
      <c r="C178" s="75" t="s">
        <v>196</v>
      </c>
      <c r="D178" s="81">
        <v>142079.78</v>
      </c>
      <c r="E178" s="151">
        <v>44750</v>
      </c>
      <c r="F178" s="81">
        <v>142079.78</v>
      </c>
      <c r="G178" s="156">
        <f>Tabla18[[#This Row],[Importe]]-Tabla18[[#This Row],[Pagado]]</f>
        <v>0</v>
      </c>
      <c r="H178" s="75" t="s">
        <v>10</v>
      </c>
    </row>
    <row r="179" spans="1:8" x14ac:dyDescent="0.25">
      <c r="A179" s="148">
        <v>44744</v>
      </c>
      <c r="B179" s="149" t="s">
        <v>21451</v>
      </c>
      <c r="C179" s="153" t="s">
        <v>16</v>
      </c>
      <c r="D179" s="154">
        <v>6165.8</v>
      </c>
      <c r="E179" s="155">
        <v>44744</v>
      </c>
      <c r="F179" s="154">
        <v>6165.8</v>
      </c>
      <c r="G179" s="156">
        <f>Tabla18[[#This Row],[Importe]]-Tabla18[[#This Row],[Pagado]]</f>
        <v>0</v>
      </c>
      <c r="H179" s="153" t="s">
        <v>10</v>
      </c>
    </row>
    <row r="180" spans="1:8" x14ac:dyDescent="0.25">
      <c r="A180" s="73">
        <v>44744</v>
      </c>
      <c r="B180" s="74" t="s">
        <v>21452</v>
      </c>
      <c r="C180" s="75" t="s">
        <v>31</v>
      </c>
      <c r="D180" s="81">
        <v>2619.6</v>
      </c>
      <c r="E180" s="151">
        <v>44744</v>
      </c>
      <c r="F180" s="81">
        <v>2619.6</v>
      </c>
      <c r="G180" s="156">
        <f>Tabla18[[#This Row],[Importe]]-Tabla18[[#This Row],[Pagado]]</f>
        <v>0</v>
      </c>
      <c r="H180" s="75" t="s">
        <v>10</v>
      </c>
    </row>
    <row r="181" spans="1:8" x14ac:dyDescent="0.25">
      <c r="A181" s="148">
        <v>44744</v>
      </c>
      <c r="B181" s="149" t="s">
        <v>21453</v>
      </c>
      <c r="C181" s="153" t="s">
        <v>1302</v>
      </c>
      <c r="D181" s="154">
        <v>9889.5</v>
      </c>
      <c r="E181" s="155">
        <v>44744</v>
      </c>
      <c r="F181" s="154">
        <v>9889.5</v>
      </c>
      <c r="G181" s="156">
        <f>Tabla18[[#This Row],[Importe]]-Tabla18[[#This Row],[Pagado]]</f>
        <v>0</v>
      </c>
      <c r="H181" s="153" t="s">
        <v>10</v>
      </c>
    </row>
    <row r="182" spans="1:8" x14ac:dyDescent="0.25">
      <c r="A182" s="73">
        <v>44744</v>
      </c>
      <c r="B182" s="74" t="s">
        <v>21454</v>
      </c>
      <c r="C182" s="75" t="s">
        <v>555</v>
      </c>
      <c r="D182" s="81">
        <v>39900</v>
      </c>
      <c r="E182" s="151">
        <v>44744</v>
      </c>
      <c r="F182" s="81">
        <v>39900</v>
      </c>
      <c r="G182" s="156">
        <f>Tabla18[[#This Row],[Importe]]-Tabla18[[#This Row],[Pagado]]</f>
        <v>0</v>
      </c>
      <c r="H182" s="75" t="s">
        <v>10</v>
      </c>
    </row>
    <row r="183" spans="1:8" x14ac:dyDescent="0.25">
      <c r="A183" s="148">
        <v>44744</v>
      </c>
      <c r="B183" s="149" t="s">
        <v>21455</v>
      </c>
      <c r="C183" s="153" t="s">
        <v>289</v>
      </c>
      <c r="D183" s="154">
        <v>6981.7</v>
      </c>
      <c r="E183" s="155">
        <v>44744</v>
      </c>
      <c r="F183" s="154">
        <v>6981.7</v>
      </c>
      <c r="G183" s="156">
        <f>Tabla18[[#This Row],[Importe]]-Tabla18[[#This Row],[Pagado]]</f>
        <v>0</v>
      </c>
      <c r="H183" s="153" t="s">
        <v>10</v>
      </c>
    </row>
    <row r="184" spans="1:8" x14ac:dyDescent="0.25">
      <c r="A184" s="73">
        <v>44744</v>
      </c>
      <c r="B184" s="74" t="s">
        <v>21456</v>
      </c>
      <c r="C184" s="75" t="s">
        <v>131</v>
      </c>
      <c r="D184" s="81">
        <v>10281.6</v>
      </c>
      <c r="E184" s="151">
        <v>44744</v>
      </c>
      <c r="F184" s="81">
        <v>10281.6</v>
      </c>
      <c r="G184" s="156">
        <f>Tabla18[[#This Row],[Importe]]-Tabla18[[#This Row],[Pagado]]</f>
        <v>0</v>
      </c>
      <c r="H184" s="75" t="s">
        <v>10</v>
      </c>
    </row>
    <row r="185" spans="1:8" x14ac:dyDescent="0.25">
      <c r="A185" s="148">
        <v>44744</v>
      </c>
      <c r="B185" s="149" t="s">
        <v>21457</v>
      </c>
      <c r="C185" s="153" t="s">
        <v>12202</v>
      </c>
      <c r="D185" s="154">
        <v>5740</v>
      </c>
      <c r="E185" s="155">
        <v>44744</v>
      </c>
      <c r="F185" s="154">
        <v>5740</v>
      </c>
      <c r="G185" s="156">
        <f>Tabla18[[#This Row],[Importe]]-Tabla18[[#This Row],[Pagado]]</f>
        <v>0</v>
      </c>
      <c r="H185" s="153" t="s">
        <v>10</v>
      </c>
    </row>
    <row r="186" spans="1:8" x14ac:dyDescent="0.25">
      <c r="A186" s="73">
        <v>44744</v>
      </c>
      <c r="B186" s="74" t="s">
        <v>21458</v>
      </c>
      <c r="C186" s="75" t="s">
        <v>804</v>
      </c>
      <c r="D186" s="81">
        <v>13758.7</v>
      </c>
      <c r="E186" s="151">
        <v>44744</v>
      </c>
      <c r="F186" s="81">
        <v>13758.7</v>
      </c>
      <c r="G186" s="156">
        <f>Tabla18[[#This Row],[Importe]]-Tabla18[[#This Row],[Pagado]]</f>
        <v>0</v>
      </c>
      <c r="H186" s="75" t="s">
        <v>10</v>
      </c>
    </row>
    <row r="187" spans="1:8" x14ac:dyDescent="0.25">
      <c r="A187" s="148">
        <v>44744</v>
      </c>
      <c r="B187" s="149" t="s">
        <v>21459</v>
      </c>
      <c r="C187" s="153" t="s">
        <v>1378</v>
      </c>
      <c r="D187" s="154">
        <v>38908</v>
      </c>
      <c r="E187" s="155">
        <v>44744</v>
      </c>
      <c r="F187" s="154">
        <v>38908</v>
      </c>
      <c r="G187" s="156">
        <f>Tabla18[[#This Row],[Importe]]-Tabla18[[#This Row],[Pagado]]</f>
        <v>0</v>
      </c>
      <c r="H187" s="153" t="s">
        <v>10</v>
      </c>
    </row>
    <row r="188" spans="1:8" x14ac:dyDescent="0.25">
      <c r="A188" s="73">
        <v>44744</v>
      </c>
      <c r="B188" s="74" t="s">
        <v>21460</v>
      </c>
      <c r="C188" s="75" t="s">
        <v>173</v>
      </c>
      <c r="D188" s="81">
        <v>1189.9000000000001</v>
      </c>
      <c r="E188" s="151">
        <v>44744</v>
      </c>
      <c r="F188" s="81">
        <v>1189.9000000000001</v>
      </c>
      <c r="G188" s="156">
        <f>Tabla18[[#This Row],[Importe]]-Tabla18[[#This Row],[Pagado]]</f>
        <v>0</v>
      </c>
      <c r="H188" s="75" t="s">
        <v>10</v>
      </c>
    </row>
    <row r="189" spans="1:8" x14ac:dyDescent="0.25">
      <c r="A189" s="148">
        <v>44744</v>
      </c>
      <c r="B189" s="149" t="s">
        <v>21461</v>
      </c>
      <c r="C189" s="153" t="s">
        <v>45</v>
      </c>
      <c r="D189" s="154">
        <v>12147.6</v>
      </c>
      <c r="E189" s="155">
        <v>44744</v>
      </c>
      <c r="F189" s="154">
        <v>12147.6</v>
      </c>
      <c r="G189" s="156">
        <f>Tabla18[[#This Row],[Importe]]-Tabla18[[#This Row],[Pagado]]</f>
        <v>0</v>
      </c>
      <c r="H189" s="153" t="s">
        <v>10</v>
      </c>
    </row>
    <row r="190" spans="1:8" x14ac:dyDescent="0.25">
      <c r="A190" s="73">
        <v>44744</v>
      </c>
      <c r="B190" s="74" t="s">
        <v>21462</v>
      </c>
      <c r="C190" s="75" t="s">
        <v>698</v>
      </c>
      <c r="D190" s="81">
        <v>5795.8</v>
      </c>
      <c r="E190" s="151">
        <v>44744</v>
      </c>
      <c r="F190" s="81">
        <v>5795.8</v>
      </c>
      <c r="G190" s="156">
        <f>Tabla18[[#This Row],[Importe]]-Tabla18[[#This Row],[Pagado]]</f>
        <v>0</v>
      </c>
      <c r="H190" s="75" t="s">
        <v>10</v>
      </c>
    </row>
    <row r="191" spans="1:8" x14ac:dyDescent="0.25">
      <c r="A191" s="148">
        <v>44744</v>
      </c>
      <c r="B191" s="149" t="s">
        <v>21463</v>
      </c>
      <c r="C191" s="153" t="s">
        <v>29</v>
      </c>
      <c r="D191" s="154">
        <v>8136</v>
      </c>
      <c r="E191" s="155">
        <v>44744</v>
      </c>
      <c r="F191" s="154">
        <v>8136</v>
      </c>
      <c r="G191" s="156">
        <f>Tabla18[[#This Row],[Importe]]-Tabla18[[#This Row],[Pagado]]</f>
        <v>0</v>
      </c>
      <c r="H191" s="153" t="s">
        <v>10</v>
      </c>
    </row>
    <row r="192" spans="1:8" x14ac:dyDescent="0.25">
      <c r="A192" s="73">
        <v>44744</v>
      </c>
      <c r="B192" s="74" t="s">
        <v>21464</v>
      </c>
      <c r="C192" s="75" t="s">
        <v>326</v>
      </c>
      <c r="D192" s="81">
        <v>1466.5</v>
      </c>
      <c r="E192" s="151">
        <v>44744</v>
      </c>
      <c r="F192" s="81">
        <v>1466.5</v>
      </c>
      <c r="G192" s="156">
        <f>Tabla18[[#This Row],[Importe]]-Tabla18[[#This Row],[Pagado]]</f>
        <v>0</v>
      </c>
      <c r="H192" s="75" t="s">
        <v>10</v>
      </c>
    </row>
    <row r="193" spans="1:8" x14ac:dyDescent="0.25">
      <c r="A193" s="148">
        <v>44744</v>
      </c>
      <c r="B193" s="149" t="s">
        <v>21465</v>
      </c>
      <c r="C193" s="153" t="s">
        <v>230</v>
      </c>
      <c r="D193" s="154">
        <v>548</v>
      </c>
      <c r="E193" s="155">
        <v>44744</v>
      </c>
      <c r="F193" s="154">
        <v>548</v>
      </c>
      <c r="G193" s="156">
        <f>Tabla18[[#This Row],[Importe]]-Tabla18[[#This Row],[Pagado]]</f>
        <v>0</v>
      </c>
      <c r="H193" s="153" t="s">
        <v>10</v>
      </c>
    </row>
    <row r="194" spans="1:8" x14ac:dyDescent="0.25">
      <c r="A194" s="73">
        <v>44744</v>
      </c>
      <c r="B194" s="74" t="s">
        <v>21466</v>
      </c>
      <c r="C194" s="75" t="s">
        <v>31</v>
      </c>
      <c r="D194" s="81">
        <v>2873.6</v>
      </c>
      <c r="E194" s="151">
        <v>44744</v>
      </c>
      <c r="F194" s="81">
        <v>2873.6</v>
      </c>
      <c r="G194" s="156">
        <f>Tabla18[[#This Row],[Importe]]-Tabla18[[#This Row],[Pagado]]</f>
        <v>0</v>
      </c>
      <c r="H194" s="75" t="s">
        <v>10</v>
      </c>
    </row>
    <row r="195" spans="1:8" x14ac:dyDescent="0.25">
      <c r="A195" s="148">
        <v>44744</v>
      </c>
      <c r="B195" s="149" t="s">
        <v>21467</v>
      </c>
      <c r="C195" s="153" t="s">
        <v>62</v>
      </c>
      <c r="D195" s="154">
        <v>3735</v>
      </c>
      <c r="E195" s="155">
        <v>44744</v>
      </c>
      <c r="F195" s="154">
        <v>3735</v>
      </c>
      <c r="G195" s="156">
        <f>Tabla18[[#This Row],[Importe]]-Tabla18[[#This Row],[Pagado]]</f>
        <v>0</v>
      </c>
      <c r="H195" s="153" t="s">
        <v>10</v>
      </c>
    </row>
    <row r="196" spans="1:8" x14ac:dyDescent="0.25">
      <c r="A196" s="73">
        <v>44744</v>
      </c>
      <c r="B196" s="74" t="s">
        <v>21468</v>
      </c>
      <c r="C196" s="75" t="s">
        <v>409</v>
      </c>
      <c r="D196" s="81">
        <v>9876.6</v>
      </c>
      <c r="E196" s="151">
        <v>44748</v>
      </c>
      <c r="F196" s="81">
        <v>9876.6</v>
      </c>
      <c r="G196" s="156">
        <f>Tabla18[[#This Row],[Importe]]-Tabla18[[#This Row],[Pagado]]</f>
        <v>0</v>
      </c>
      <c r="H196" s="75" t="s">
        <v>10</v>
      </c>
    </row>
    <row r="197" spans="1:8" x14ac:dyDescent="0.25">
      <c r="A197" s="148">
        <v>44744</v>
      </c>
      <c r="B197" s="149" t="s">
        <v>21469</v>
      </c>
      <c r="C197" s="153" t="s">
        <v>1003</v>
      </c>
      <c r="D197" s="154">
        <v>6741</v>
      </c>
      <c r="E197" s="155">
        <v>44745</v>
      </c>
      <c r="F197" s="154">
        <v>6741</v>
      </c>
      <c r="G197" s="156">
        <f>Tabla18[[#This Row],[Importe]]-Tabla18[[#This Row],[Pagado]]</f>
        <v>0</v>
      </c>
      <c r="H197" s="153" t="s">
        <v>10</v>
      </c>
    </row>
    <row r="198" spans="1:8" x14ac:dyDescent="0.25">
      <c r="A198" s="73">
        <v>44744</v>
      </c>
      <c r="B198" s="74" t="s">
        <v>21470</v>
      </c>
      <c r="C198" s="75" t="s">
        <v>22</v>
      </c>
      <c r="D198" s="81">
        <v>11834.4</v>
      </c>
      <c r="E198" s="151">
        <v>44745</v>
      </c>
      <c r="F198" s="81">
        <v>11834.4</v>
      </c>
      <c r="G198" s="156">
        <f>Tabla18[[#This Row],[Importe]]-Tabla18[[#This Row],[Pagado]]</f>
        <v>0</v>
      </c>
      <c r="H198" s="75" t="s">
        <v>10</v>
      </c>
    </row>
    <row r="199" spans="1:8" x14ac:dyDescent="0.25">
      <c r="A199" s="148">
        <v>44744</v>
      </c>
      <c r="B199" s="149" t="s">
        <v>21471</v>
      </c>
      <c r="C199" s="153" t="s">
        <v>654</v>
      </c>
      <c r="D199" s="154">
        <v>24468</v>
      </c>
      <c r="E199" s="155">
        <v>44746</v>
      </c>
      <c r="F199" s="154">
        <v>24468</v>
      </c>
      <c r="G199" s="156">
        <f>Tabla18[[#This Row],[Importe]]-Tabla18[[#This Row],[Pagado]]</f>
        <v>0</v>
      </c>
      <c r="H199" s="153" t="s">
        <v>10</v>
      </c>
    </row>
    <row r="200" spans="1:8" x14ac:dyDescent="0.25">
      <c r="A200" s="73">
        <v>44744</v>
      </c>
      <c r="B200" s="74" t="s">
        <v>21472</v>
      </c>
      <c r="C200" s="75" t="s">
        <v>53</v>
      </c>
      <c r="D200" s="81">
        <v>6208.6</v>
      </c>
      <c r="E200" s="151">
        <v>44744</v>
      </c>
      <c r="F200" s="81">
        <v>6208.6</v>
      </c>
      <c r="G200" s="156">
        <f>Tabla18[[#This Row],[Importe]]-Tabla18[[#This Row],[Pagado]]</f>
        <v>0</v>
      </c>
      <c r="H200" s="75" t="s">
        <v>10</v>
      </c>
    </row>
    <row r="201" spans="1:8" x14ac:dyDescent="0.25">
      <c r="A201" s="148">
        <v>44744</v>
      </c>
      <c r="B201" s="149" t="s">
        <v>21473</v>
      </c>
      <c r="C201" s="153" t="s">
        <v>62</v>
      </c>
      <c r="D201" s="154">
        <v>377</v>
      </c>
      <c r="E201" s="155">
        <v>44744</v>
      </c>
      <c r="F201" s="154">
        <v>377</v>
      </c>
      <c r="G201" s="156">
        <f>Tabla18[[#This Row],[Importe]]-Tabla18[[#This Row],[Pagado]]</f>
        <v>0</v>
      </c>
      <c r="H201" s="153" t="s">
        <v>10</v>
      </c>
    </row>
    <row r="202" spans="1:8" x14ac:dyDescent="0.25">
      <c r="A202" s="73">
        <v>44744</v>
      </c>
      <c r="B202" s="74" t="s">
        <v>21474</v>
      </c>
      <c r="C202" s="75" t="s">
        <v>142</v>
      </c>
      <c r="D202" s="81">
        <v>60853.03</v>
      </c>
      <c r="E202" s="151">
        <v>44799</v>
      </c>
      <c r="F202" s="81">
        <v>60853.03</v>
      </c>
      <c r="G202" s="156">
        <f>Tabla18[[#This Row],[Importe]]-Tabla18[[#This Row],[Pagado]]</f>
        <v>0</v>
      </c>
      <c r="H202" s="75" t="s">
        <v>10</v>
      </c>
    </row>
    <row r="203" spans="1:8" x14ac:dyDescent="0.25">
      <c r="A203" s="148">
        <v>44744</v>
      </c>
      <c r="B203" s="149" t="s">
        <v>21475</v>
      </c>
      <c r="C203" s="153" t="s">
        <v>392</v>
      </c>
      <c r="D203" s="154">
        <v>487.5</v>
      </c>
      <c r="E203" s="155">
        <v>44751</v>
      </c>
      <c r="F203" s="154">
        <v>487.5</v>
      </c>
      <c r="G203" s="156">
        <f>Tabla18[[#This Row],[Importe]]-Tabla18[[#This Row],[Pagado]]</f>
        <v>0</v>
      </c>
      <c r="H203" s="153" t="s">
        <v>10</v>
      </c>
    </row>
    <row r="204" spans="1:8" x14ac:dyDescent="0.25">
      <c r="A204" s="73">
        <v>44744</v>
      </c>
      <c r="B204" s="74" t="s">
        <v>21476</v>
      </c>
      <c r="C204" s="75" t="s">
        <v>392</v>
      </c>
      <c r="D204" s="81">
        <v>22735.4</v>
      </c>
      <c r="E204" s="151">
        <v>44751</v>
      </c>
      <c r="F204" s="81">
        <v>22735.4</v>
      </c>
      <c r="G204" s="156">
        <f>Tabla18[[#This Row],[Importe]]-Tabla18[[#This Row],[Pagado]]</f>
        <v>0</v>
      </c>
      <c r="H204" s="75" t="s">
        <v>10</v>
      </c>
    </row>
    <row r="205" spans="1:8" x14ac:dyDescent="0.25">
      <c r="A205" s="148">
        <v>44744</v>
      </c>
      <c r="B205" s="149" t="s">
        <v>21477</v>
      </c>
      <c r="C205" s="153" t="s">
        <v>319</v>
      </c>
      <c r="D205" s="154">
        <v>11152.7</v>
      </c>
      <c r="E205" s="155">
        <v>44745</v>
      </c>
      <c r="F205" s="154">
        <v>11152.7</v>
      </c>
      <c r="G205" s="156">
        <f>Tabla18[[#This Row],[Importe]]-Tabla18[[#This Row],[Pagado]]</f>
        <v>0</v>
      </c>
      <c r="H205" s="153" t="s">
        <v>10</v>
      </c>
    </row>
    <row r="206" spans="1:8" x14ac:dyDescent="0.25">
      <c r="A206" s="73">
        <v>44744</v>
      </c>
      <c r="B206" s="74" t="s">
        <v>21478</v>
      </c>
      <c r="C206" s="75" t="s">
        <v>319</v>
      </c>
      <c r="D206" s="81">
        <v>1162</v>
      </c>
      <c r="E206" s="151">
        <v>44745</v>
      </c>
      <c r="F206" s="81">
        <v>1162</v>
      </c>
      <c r="G206" s="156">
        <f>Tabla18[[#This Row],[Importe]]-Tabla18[[#This Row],[Pagado]]</f>
        <v>0</v>
      </c>
      <c r="H206" s="75" t="s">
        <v>10</v>
      </c>
    </row>
    <row r="207" spans="1:8" x14ac:dyDescent="0.25">
      <c r="A207" s="148">
        <v>44744</v>
      </c>
      <c r="B207" s="149" t="s">
        <v>21479</v>
      </c>
      <c r="C207" s="153" t="s">
        <v>216</v>
      </c>
      <c r="D207" s="154">
        <v>2448</v>
      </c>
      <c r="E207" s="155">
        <v>44744</v>
      </c>
      <c r="F207" s="154">
        <v>2448</v>
      </c>
      <c r="G207" s="156">
        <f>Tabla18[[#This Row],[Importe]]-Tabla18[[#This Row],[Pagado]]</f>
        <v>0</v>
      </c>
      <c r="H207" s="153" t="s">
        <v>10</v>
      </c>
    </row>
    <row r="208" spans="1:8" x14ac:dyDescent="0.25">
      <c r="A208" s="73">
        <v>44744</v>
      </c>
      <c r="B208" s="74" t="s">
        <v>21480</v>
      </c>
      <c r="C208" s="75" t="s">
        <v>520</v>
      </c>
      <c r="D208" s="81">
        <v>22197</v>
      </c>
      <c r="E208" s="151">
        <v>44745</v>
      </c>
      <c r="F208" s="81">
        <v>22197</v>
      </c>
      <c r="G208" s="156">
        <f>Tabla18[[#This Row],[Importe]]-Tabla18[[#This Row],[Pagado]]</f>
        <v>0</v>
      </c>
      <c r="H208" s="75" t="s">
        <v>10</v>
      </c>
    </row>
    <row r="209" spans="1:8" x14ac:dyDescent="0.25">
      <c r="A209" s="148">
        <v>44744</v>
      </c>
      <c r="B209" s="149" t="s">
        <v>21481</v>
      </c>
      <c r="C209" s="153" t="s">
        <v>151</v>
      </c>
      <c r="D209" s="154">
        <v>18278.400000000001</v>
      </c>
      <c r="E209" s="155">
        <v>44745</v>
      </c>
      <c r="F209" s="154">
        <v>18278.400000000001</v>
      </c>
      <c r="G209" s="156">
        <f>Tabla18[[#This Row],[Importe]]-Tabla18[[#This Row],[Pagado]]</f>
        <v>0</v>
      </c>
      <c r="H209" s="153" t="s">
        <v>10</v>
      </c>
    </row>
    <row r="210" spans="1:8" x14ac:dyDescent="0.25">
      <c r="A210" s="73">
        <v>44744</v>
      </c>
      <c r="B210" s="74" t="s">
        <v>21482</v>
      </c>
      <c r="C210" s="75" t="s">
        <v>214</v>
      </c>
      <c r="D210" s="81">
        <v>1663.2</v>
      </c>
      <c r="E210" s="151">
        <v>44744</v>
      </c>
      <c r="F210" s="81">
        <v>1663.2</v>
      </c>
      <c r="G210" s="156">
        <f>Tabla18[[#This Row],[Importe]]-Tabla18[[#This Row],[Pagado]]</f>
        <v>0</v>
      </c>
      <c r="H210" s="75" t="s">
        <v>10</v>
      </c>
    </row>
    <row r="211" spans="1:8" x14ac:dyDescent="0.25">
      <c r="A211" s="148">
        <v>44744</v>
      </c>
      <c r="B211" s="149" t="s">
        <v>21483</v>
      </c>
      <c r="C211" s="153" t="s">
        <v>966</v>
      </c>
      <c r="D211" s="154">
        <v>1852.32</v>
      </c>
      <c r="E211" s="155">
        <v>44745</v>
      </c>
      <c r="F211" s="154">
        <v>1852.32</v>
      </c>
      <c r="G211" s="156">
        <f>Tabla18[[#This Row],[Importe]]-Tabla18[[#This Row],[Pagado]]</f>
        <v>0</v>
      </c>
      <c r="H211" s="153" t="s">
        <v>10</v>
      </c>
    </row>
    <row r="212" spans="1:8" x14ac:dyDescent="0.25">
      <c r="A212" s="73">
        <v>44744</v>
      </c>
      <c r="B212" s="74" t="s">
        <v>21484</v>
      </c>
      <c r="C212" s="75" t="s">
        <v>518</v>
      </c>
      <c r="D212" s="81">
        <v>1277.5</v>
      </c>
      <c r="E212" s="151">
        <v>44745</v>
      </c>
      <c r="F212" s="81">
        <v>1277.5</v>
      </c>
      <c r="G212" s="156">
        <f>Tabla18[[#This Row],[Importe]]-Tabla18[[#This Row],[Pagado]]</f>
        <v>0</v>
      </c>
      <c r="H212" s="75" t="s">
        <v>10</v>
      </c>
    </row>
    <row r="213" spans="1:8" x14ac:dyDescent="0.25">
      <c r="A213" s="148">
        <v>44744</v>
      </c>
      <c r="B213" s="149" t="s">
        <v>21485</v>
      </c>
      <c r="C213" s="153" t="s">
        <v>159</v>
      </c>
      <c r="D213" s="154">
        <v>5710.6</v>
      </c>
      <c r="E213" s="155">
        <v>44745</v>
      </c>
      <c r="F213" s="154">
        <v>5710.6</v>
      </c>
      <c r="G213" s="156">
        <f>Tabla18[[#This Row],[Importe]]-Tabla18[[#This Row],[Pagado]]</f>
        <v>0</v>
      </c>
      <c r="H213" s="153" t="s">
        <v>10</v>
      </c>
    </row>
    <row r="214" spans="1:8" x14ac:dyDescent="0.25">
      <c r="A214" s="73">
        <v>44744</v>
      </c>
      <c r="B214" s="74" t="s">
        <v>21486</v>
      </c>
      <c r="C214" s="75" t="s">
        <v>484</v>
      </c>
      <c r="D214" s="81">
        <v>3818.1</v>
      </c>
      <c r="E214" s="151">
        <v>44744</v>
      </c>
      <c r="F214" s="81">
        <v>3818.1</v>
      </c>
      <c r="G214" s="156">
        <f>Tabla18[[#This Row],[Importe]]-Tabla18[[#This Row],[Pagado]]</f>
        <v>0</v>
      </c>
      <c r="H214" s="75" t="s">
        <v>10</v>
      </c>
    </row>
    <row r="215" spans="1:8" x14ac:dyDescent="0.25">
      <c r="A215" s="148">
        <v>44744</v>
      </c>
      <c r="B215" s="149" t="s">
        <v>21487</v>
      </c>
      <c r="C215" s="153" t="s">
        <v>157</v>
      </c>
      <c r="D215" s="154">
        <v>8361.4</v>
      </c>
      <c r="E215" s="155">
        <v>44745</v>
      </c>
      <c r="F215" s="154">
        <v>8361.4</v>
      </c>
      <c r="G215" s="156">
        <f>Tabla18[[#This Row],[Importe]]-Tabla18[[#This Row],[Pagado]]</f>
        <v>0</v>
      </c>
      <c r="H215" s="153" t="s">
        <v>10</v>
      </c>
    </row>
    <row r="216" spans="1:8" x14ac:dyDescent="0.25">
      <c r="A216" s="73">
        <v>44744</v>
      </c>
      <c r="B216" s="74" t="s">
        <v>21488</v>
      </c>
      <c r="C216" s="75" t="s">
        <v>31</v>
      </c>
      <c r="D216" s="81">
        <v>640.79999999999995</v>
      </c>
      <c r="E216" s="151">
        <v>44744</v>
      </c>
      <c r="F216" s="81">
        <v>640.79999999999995</v>
      </c>
      <c r="G216" s="156">
        <f>Tabla18[[#This Row],[Importe]]-Tabla18[[#This Row],[Pagado]]</f>
        <v>0</v>
      </c>
      <c r="H216" s="75" t="s">
        <v>10</v>
      </c>
    </row>
    <row r="217" spans="1:8" x14ac:dyDescent="0.25">
      <c r="A217" s="148">
        <v>44744</v>
      </c>
      <c r="B217" s="149" t="s">
        <v>21489</v>
      </c>
      <c r="C217" s="153" t="s">
        <v>525</v>
      </c>
      <c r="D217" s="154">
        <v>3056.2</v>
      </c>
      <c r="E217" s="155">
        <v>44745</v>
      </c>
      <c r="F217" s="154">
        <v>3056.2</v>
      </c>
      <c r="G217" s="156">
        <f>Tabla18[[#This Row],[Importe]]-Tabla18[[#This Row],[Pagado]]</f>
        <v>0</v>
      </c>
      <c r="H217" s="153" t="s">
        <v>10</v>
      </c>
    </row>
    <row r="218" spans="1:8" x14ac:dyDescent="0.25">
      <c r="A218" s="73">
        <v>44744</v>
      </c>
      <c r="B218" s="74" t="s">
        <v>21490</v>
      </c>
      <c r="C218" s="75" t="s">
        <v>9827</v>
      </c>
      <c r="D218" s="81">
        <v>8848</v>
      </c>
      <c r="E218" s="151">
        <v>44744</v>
      </c>
      <c r="F218" s="81">
        <v>8848</v>
      </c>
      <c r="G218" s="156">
        <f>Tabla18[[#This Row],[Importe]]-Tabla18[[#This Row],[Pagado]]</f>
        <v>0</v>
      </c>
      <c r="H218" s="75" t="s">
        <v>10</v>
      </c>
    </row>
    <row r="219" spans="1:8" x14ac:dyDescent="0.25">
      <c r="A219" s="148">
        <v>44744</v>
      </c>
      <c r="B219" s="149" t="s">
        <v>21491</v>
      </c>
      <c r="C219" s="153" t="s">
        <v>9827</v>
      </c>
      <c r="D219" s="154">
        <v>488.4</v>
      </c>
      <c r="E219" s="155">
        <v>44744</v>
      </c>
      <c r="F219" s="154">
        <v>488.4</v>
      </c>
      <c r="G219" s="156">
        <f>Tabla18[[#This Row],[Importe]]-Tabla18[[#This Row],[Pagado]]</f>
        <v>0</v>
      </c>
      <c r="H219" s="153" t="s">
        <v>10</v>
      </c>
    </row>
    <row r="220" spans="1:8" x14ac:dyDescent="0.25">
      <c r="A220" s="73">
        <v>44744</v>
      </c>
      <c r="B220" s="74" t="s">
        <v>21492</v>
      </c>
      <c r="C220" s="75" t="s">
        <v>58</v>
      </c>
      <c r="D220" s="81">
        <v>3959.8</v>
      </c>
      <c r="E220" s="151">
        <v>44744</v>
      </c>
      <c r="F220" s="81">
        <v>3959.8</v>
      </c>
      <c r="G220" s="156">
        <f>Tabla18[[#This Row],[Importe]]-Tabla18[[#This Row],[Pagado]]</f>
        <v>0</v>
      </c>
      <c r="H220" s="75" t="s">
        <v>10</v>
      </c>
    </row>
    <row r="221" spans="1:8" x14ac:dyDescent="0.25">
      <c r="A221" s="148">
        <v>44744</v>
      </c>
      <c r="B221" s="149" t="s">
        <v>21493</v>
      </c>
      <c r="C221" s="153" t="s">
        <v>670</v>
      </c>
      <c r="D221" s="154">
        <v>4854.3999999999996</v>
      </c>
      <c r="E221" s="155">
        <v>44744</v>
      </c>
      <c r="F221" s="154">
        <v>4854.3999999999996</v>
      </c>
      <c r="G221" s="156">
        <f>Tabla18[[#This Row],[Importe]]-Tabla18[[#This Row],[Pagado]]</f>
        <v>0</v>
      </c>
      <c r="H221" s="153" t="s">
        <v>10</v>
      </c>
    </row>
    <row r="222" spans="1:8" x14ac:dyDescent="0.25">
      <c r="A222" s="73">
        <v>44744</v>
      </c>
      <c r="B222" s="74" t="s">
        <v>21494</v>
      </c>
      <c r="C222" s="75" t="s">
        <v>79</v>
      </c>
      <c r="D222" s="81">
        <v>23016.799999999999</v>
      </c>
      <c r="E222" s="151">
        <v>44744</v>
      </c>
      <c r="F222" s="81">
        <v>23016.799999999999</v>
      </c>
      <c r="G222" s="156">
        <f>Tabla18[[#This Row],[Importe]]-Tabla18[[#This Row],[Pagado]]</f>
        <v>0</v>
      </c>
      <c r="H222" s="75" t="s">
        <v>10</v>
      </c>
    </row>
    <row r="223" spans="1:8" x14ac:dyDescent="0.25">
      <c r="A223" s="148">
        <v>44744</v>
      </c>
      <c r="B223" s="149" t="s">
        <v>21495</v>
      </c>
      <c r="C223" s="153" t="s">
        <v>31</v>
      </c>
      <c r="D223" s="154">
        <v>1099.7</v>
      </c>
      <c r="E223" s="155">
        <v>44744</v>
      </c>
      <c r="F223" s="154">
        <v>1099.7</v>
      </c>
      <c r="G223" s="156">
        <f>Tabla18[[#This Row],[Importe]]-Tabla18[[#This Row],[Pagado]]</f>
        <v>0</v>
      </c>
      <c r="H223" s="153" t="s">
        <v>10</v>
      </c>
    </row>
    <row r="224" spans="1:8" x14ac:dyDescent="0.25">
      <c r="A224" s="73">
        <v>44744</v>
      </c>
      <c r="B224" s="74" t="s">
        <v>21496</v>
      </c>
      <c r="C224" s="75" t="s">
        <v>67</v>
      </c>
      <c r="D224" s="81">
        <v>3089.6</v>
      </c>
      <c r="E224" s="151">
        <v>44744</v>
      </c>
      <c r="F224" s="81">
        <v>3089.6</v>
      </c>
      <c r="G224" s="156">
        <f>Tabla18[[#This Row],[Importe]]-Tabla18[[#This Row],[Pagado]]</f>
        <v>0</v>
      </c>
      <c r="H224" s="75" t="s">
        <v>10</v>
      </c>
    </row>
    <row r="225" spans="1:8" x14ac:dyDescent="0.25">
      <c r="A225" s="148">
        <v>44744</v>
      </c>
      <c r="B225" s="149" t="s">
        <v>21497</v>
      </c>
      <c r="C225" s="153" t="s">
        <v>107</v>
      </c>
      <c r="D225" s="154">
        <v>31283.200000000001</v>
      </c>
      <c r="E225" s="155">
        <v>44744</v>
      </c>
      <c r="F225" s="154">
        <v>31283.200000000001</v>
      </c>
      <c r="G225" s="156">
        <f>Tabla18[[#This Row],[Importe]]-Tabla18[[#This Row],[Pagado]]</f>
        <v>0</v>
      </c>
      <c r="H225" s="153" t="s">
        <v>10</v>
      </c>
    </row>
    <row r="226" spans="1:8" x14ac:dyDescent="0.25">
      <c r="A226" s="73">
        <v>44744</v>
      </c>
      <c r="B226" s="74" t="s">
        <v>21498</v>
      </c>
      <c r="C226" s="75" t="s">
        <v>12202</v>
      </c>
      <c r="D226" s="81">
        <v>4100</v>
      </c>
      <c r="E226" s="151">
        <v>44744</v>
      </c>
      <c r="F226" s="81">
        <v>4100</v>
      </c>
      <c r="G226" s="156">
        <f>Tabla18[[#This Row],[Importe]]-Tabla18[[#This Row],[Pagado]]</f>
        <v>0</v>
      </c>
      <c r="H226" s="75" t="s">
        <v>10</v>
      </c>
    </row>
    <row r="227" spans="1:8" x14ac:dyDescent="0.25">
      <c r="A227" s="148">
        <v>44744</v>
      </c>
      <c r="B227" s="149" t="s">
        <v>21499</v>
      </c>
      <c r="C227" s="153" t="s">
        <v>421</v>
      </c>
      <c r="D227" s="154">
        <v>2174.9</v>
      </c>
      <c r="E227" s="155">
        <v>44744</v>
      </c>
      <c r="F227" s="154">
        <v>2174.9</v>
      </c>
      <c r="G227" s="156">
        <f>Tabla18[[#This Row],[Importe]]-Tabla18[[#This Row],[Pagado]]</f>
        <v>0</v>
      </c>
      <c r="H227" s="153" t="s">
        <v>10</v>
      </c>
    </row>
    <row r="228" spans="1:8" x14ac:dyDescent="0.25">
      <c r="A228" s="73">
        <v>44744</v>
      </c>
      <c r="B228" s="74" t="s">
        <v>21500</v>
      </c>
      <c r="C228" s="75" t="s">
        <v>7444</v>
      </c>
      <c r="D228" s="81">
        <v>15080</v>
      </c>
      <c r="E228" s="151">
        <v>44749</v>
      </c>
      <c r="F228" s="81">
        <v>15080</v>
      </c>
      <c r="G228" s="156">
        <f>Tabla18[[#This Row],[Importe]]-Tabla18[[#This Row],[Pagado]]</f>
        <v>0</v>
      </c>
      <c r="H228" s="75" t="s">
        <v>10</v>
      </c>
    </row>
    <row r="229" spans="1:8" x14ac:dyDescent="0.25">
      <c r="A229" s="148">
        <v>44744</v>
      </c>
      <c r="B229" s="149" t="s">
        <v>21501</v>
      </c>
      <c r="C229" s="153" t="s">
        <v>414</v>
      </c>
      <c r="D229" s="154">
        <v>21672</v>
      </c>
      <c r="E229" s="155">
        <v>44744</v>
      </c>
      <c r="F229" s="154">
        <v>21672</v>
      </c>
      <c r="G229" s="156">
        <f>Tabla18[[#This Row],[Importe]]-Tabla18[[#This Row],[Pagado]]</f>
        <v>0</v>
      </c>
      <c r="H229" s="153" t="s">
        <v>10</v>
      </c>
    </row>
    <row r="230" spans="1:8" x14ac:dyDescent="0.25">
      <c r="A230" s="73">
        <v>44744</v>
      </c>
      <c r="B230" s="74" t="s">
        <v>21502</v>
      </c>
      <c r="C230" s="75" t="s">
        <v>414</v>
      </c>
      <c r="D230" s="81">
        <v>291330</v>
      </c>
      <c r="E230" s="151">
        <v>44809</v>
      </c>
      <c r="F230" s="81">
        <v>291330</v>
      </c>
      <c r="G230" s="156">
        <f>Tabla18[[#This Row],[Importe]]-Tabla18[[#This Row],[Pagado]]</f>
        <v>0</v>
      </c>
      <c r="H230" s="75" t="s">
        <v>10</v>
      </c>
    </row>
    <row r="231" spans="1:8" x14ac:dyDescent="0.25">
      <c r="A231" s="148">
        <v>44744</v>
      </c>
      <c r="B231" s="149" t="s">
        <v>21503</v>
      </c>
      <c r="C231" s="153" t="s">
        <v>181</v>
      </c>
      <c r="D231" s="154">
        <v>19405.8</v>
      </c>
      <c r="E231" s="155">
        <v>44745</v>
      </c>
      <c r="F231" s="154">
        <v>19405.8</v>
      </c>
      <c r="G231" s="156">
        <f>Tabla18[[#This Row],[Importe]]-Tabla18[[#This Row],[Pagado]]</f>
        <v>0</v>
      </c>
      <c r="H231" s="153" t="s">
        <v>10</v>
      </c>
    </row>
    <row r="232" spans="1:8" x14ac:dyDescent="0.25">
      <c r="A232" s="73">
        <v>44744</v>
      </c>
      <c r="B232" s="74" t="s">
        <v>21504</v>
      </c>
      <c r="C232" s="75" t="s">
        <v>200</v>
      </c>
      <c r="D232" s="81">
        <v>3569.7</v>
      </c>
      <c r="E232" s="151">
        <v>44745</v>
      </c>
      <c r="F232" s="81">
        <v>3569.7</v>
      </c>
      <c r="G232" s="156">
        <f>Tabla18[[#This Row],[Importe]]-Tabla18[[#This Row],[Pagado]]</f>
        <v>0</v>
      </c>
      <c r="H232" s="75" t="s">
        <v>10</v>
      </c>
    </row>
    <row r="233" spans="1:8" x14ac:dyDescent="0.25">
      <c r="A233" s="148">
        <v>44744</v>
      </c>
      <c r="B233" s="149" t="s">
        <v>21505</v>
      </c>
      <c r="C233" s="153" t="s">
        <v>426</v>
      </c>
      <c r="D233" s="154">
        <v>250.8</v>
      </c>
      <c r="E233" s="155">
        <v>44745</v>
      </c>
      <c r="F233" s="154">
        <v>250.8</v>
      </c>
      <c r="G233" s="156">
        <f>Tabla18[[#This Row],[Importe]]-Tabla18[[#This Row],[Pagado]]</f>
        <v>0</v>
      </c>
      <c r="H233" s="153" t="s">
        <v>10</v>
      </c>
    </row>
    <row r="234" spans="1:8" x14ac:dyDescent="0.25">
      <c r="A234" s="73">
        <v>44744</v>
      </c>
      <c r="B234" s="74" t="s">
        <v>21506</v>
      </c>
      <c r="C234" s="75" t="s">
        <v>576</v>
      </c>
      <c r="D234" s="81">
        <v>320</v>
      </c>
      <c r="E234" s="151">
        <v>44745</v>
      </c>
      <c r="F234" s="81">
        <v>320</v>
      </c>
      <c r="G234" s="156">
        <f>Tabla18[[#This Row],[Importe]]-Tabla18[[#This Row],[Pagado]]</f>
        <v>0</v>
      </c>
      <c r="H234" s="75" t="s">
        <v>10</v>
      </c>
    </row>
    <row r="235" spans="1:8" x14ac:dyDescent="0.25">
      <c r="A235" s="148">
        <v>44744</v>
      </c>
      <c r="B235" s="149" t="s">
        <v>21507</v>
      </c>
      <c r="C235" s="153" t="s">
        <v>35</v>
      </c>
      <c r="D235" s="154">
        <v>3821.6</v>
      </c>
      <c r="E235" s="155">
        <v>44744</v>
      </c>
      <c r="F235" s="154">
        <v>3821.6</v>
      </c>
      <c r="G235" s="156">
        <f>Tabla18[[#This Row],[Importe]]-Tabla18[[#This Row],[Pagado]]</f>
        <v>0</v>
      </c>
      <c r="H235" s="153" t="s">
        <v>10</v>
      </c>
    </row>
    <row r="236" spans="1:8" ht="31.5" x14ac:dyDescent="0.25">
      <c r="A236" s="73">
        <v>44744</v>
      </c>
      <c r="B236" s="74" t="s">
        <v>21508</v>
      </c>
      <c r="C236" s="75" t="s">
        <v>2151</v>
      </c>
      <c r="D236" s="81">
        <v>5114.8999999999996</v>
      </c>
      <c r="E236" s="147" t="s">
        <v>21509</v>
      </c>
      <c r="F236" s="81">
        <f>4114.9+1000</f>
        <v>5114.8999999999996</v>
      </c>
      <c r="G236" s="156">
        <f>Tabla18[[#This Row],[Importe]]-Tabla18[[#This Row],[Pagado]]</f>
        <v>0</v>
      </c>
      <c r="H236" s="75" t="s">
        <v>10</v>
      </c>
    </row>
    <row r="237" spans="1:8" x14ac:dyDescent="0.25">
      <c r="A237" s="148">
        <v>44744</v>
      </c>
      <c r="B237" s="149" t="s">
        <v>21510</v>
      </c>
      <c r="C237" s="153" t="s">
        <v>9</v>
      </c>
      <c r="D237" s="154">
        <v>564.20000000000005</v>
      </c>
      <c r="E237" s="155">
        <v>44744</v>
      </c>
      <c r="F237" s="154">
        <v>564.20000000000005</v>
      </c>
      <c r="G237" s="156">
        <f>Tabla18[[#This Row],[Importe]]-Tabla18[[#This Row],[Pagado]]</f>
        <v>0</v>
      </c>
      <c r="H237" s="153" t="s">
        <v>10</v>
      </c>
    </row>
    <row r="238" spans="1:8" x14ac:dyDescent="0.25">
      <c r="A238" s="73">
        <v>44744</v>
      </c>
      <c r="B238" s="74" t="s">
        <v>21511</v>
      </c>
      <c r="C238" s="75" t="s">
        <v>175</v>
      </c>
      <c r="D238" s="81">
        <v>9538.2000000000007</v>
      </c>
      <c r="E238" s="151">
        <v>44745</v>
      </c>
      <c r="F238" s="81">
        <v>9538.2000000000007</v>
      </c>
      <c r="G238" s="156">
        <f>Tabla18[[#This Row],[Importe]]-Tabla18[[#This Row],[Pagado]]</f>
        <v>0</v>
      </c>
      <c r="H238" s="75" t="s">
        <v>10</v>
      </c>
    </row>
    <row r="239" spans="1:8" x14ac:dyDescent="0.25">
      <c r="A239" s="148">
        <v>44744</v>
      </c>
      <c r="B239" s="149" t="s">
        <v>21512</v>
      </c>
      <c r="C239" s="153" t="s">
        <v>31</v>
      </c>
      <c r="D239" s="154">
        <v>2188</v>
      </c>
      <c r="E239" s="155">
        <v>44744</v>
      </c>
      <c r="F239" s="154">
        <v>2188</v>
      </c>
      <c r="G239" s="156">
        <f>Tabla18[[#This Row],[Importe]]-Tabla18[[#This Row],[Pagado]]</f>
        <v>0</v>
      </c>
      <c r="H239" s="153" t="s">
        <v>10</v>
      </c>
    </row>
    <row r="240" spans="1:8" x14ac:dyDescent="0.25">
      <c r="A240" s="73">
        <v>44744</v>
      </c>
      <c r="B240" s="74" t="s">
        <v>21513</v>
      </c>
      <c r="C240" s="75" t="s">
        <v>273</v>
      </c>
      <c r="D240" s="81">
        <v>2402.4</v>
      </c>
      <c r="E240" s="151">
        <v>44745</v>
      </c>
      <c r="F240" s="81">
        <v>2402.4</v>
      </c>
      <c r="G240" s="156">
        <f>Tabla18[[#This Row],[Importe]]-Tabla18[[#This Row],[Pagado]]</f>
        <v>0</v>
      </c>
      <c r="H240" s="75" t="s">
        <v>10</v>
      </c>
    </row>
    <row r="241" spans="1:8" x14ac:dyDescent="0.25">
      <c r="A241" s="148">
        <v>44744</v>
      </c>
      <c r="B241" s="149" t="s">
        <v>21514</v>
      </c>
      <c r="C241" s="153" t="s">
        <v>296</v>
      </c>
      <c r="D241" s="154">
        <v>2456</v>
      </c>
      <c r="E241" s="155">
        <v>44744</v>
      </c>
      <c r="F241" s="154">
        <v>2456</v>
      </c>
      <c r="G241" s="156">
        <f>Tabla18[[#This Row],[Importe]]-Tabla18[[#This Row],[Pagado]]</f>
        <v>0</v>
      </c>
      <c r="H241" s="153" t="s">
        <v>10</v>
      </c>
    </row>
    <row r="242" spans="1:8" x14ac:dyDescent="0.25">
      <c r="A242" s="73">
        <v>44744</v>
      </c>
      <c r="B242" s="74" t="s">
        <v>21515</v>
      </c>
      <c r="C242" s="75" t="s">
        <v>857</v>
      </c>
      <c r="D242" s="81">
        <v>1272</v>
      </c>
      <c r="E242" s="151">
        <v>44744</v>
      </c>
      <c r="F242" s="81">
        <v>1272</v>
      </c>
      <c r="G242" s="156">
        <f>Tabla18[[#This Row],[Importe]]-Tabla18[[#This Row],[Pagado]]</f>
        <v>0</v>
      </c>
      <c r="H242" s="75" t="s">
        <v>10</v>
      </c>
    </row>
    <row r="243" spans="1:8" x14ac:dyDescent="0.25">
      <c r="A243" s="148">
        <v>44744</v>
      </c>
      <c r="B243" s="149" t="s">
        <v>21516</v>
      </c>
      <c r="C243" s="153" t="s">
        <v>21517</v>
      </c>
      <c r="D243" s="154">
        <v>0</v>
      </c>
      <c r="E243" s="158" t="s">
        <v>189</v>
      </c>
      <c r="F243" s="154">
        <v>0</v>
      </c>
      <c r="G243" s="156">
        <f>Tabla18[[#This Row],[Importe]]-Tabla18[[#This Row],[Pagado]]</f>
        <v>0</v>
      </c>
      <c r="H243" s="159" t="s">
        <v>21518</v>
      </c>
    </row>
    <row r="244" spans="1:8" x14ac:dyDescent="0.25">
      <c r="A244" s="73">
        <v>44744</v>
      </c>
      <c r="B244" s="74" t="s">
        <v>21519</v>
      </c>
      <c r="C244" s="75" t="s">
        <v>9993</v>
      </c>
      <c r="D244" s="81">
        <v>56999.91</v>
      </c>
      <c r="E244" s="151">
        <v>44744</v>
      </c>
      <c r="F244" s="81">
        <v>56999.91</v>
      </c>
      <c r="G244" s="156">
        <f>Tabla18[[#This Row],[Importe]]-Tabla18[[#This Row],[Pagado]]</f>
        <v>0</v>
      </c>
      <c r="H244" s="75" t="s">
        <v>10</v>
      </c>
    </row>
    <row r="245" spans="1:8" x14ac:dyDescent="0.25">
      <c r="A245" s="148">
        <v>44744</v>
      </c>
      <c r="B245" s="149" t="s">
        <v>21520</v>
      </c>
      <c r="C245" s="153" t="s">
        <v>284</v>
      </c>
      <c r="D245" s="154">
        <v>15912</v>
      </c>
      <c r="E245" s="155">
        <v>44745</v>
      </c>
      <c r="F245" s="154">
        <v>15912</v>
      </c>
      <c r="G245" s="156">
        <f>Tabla18[[#This Row],[Importe]]-Tabla18[[#This Row],[Pagado]]</f>
        <v>0</v>
      </c>
      <c r="H245" s="153" t="s">
        <v>10</v>
      </c>
    </row>
    <row r="246" spans="1:8" x14ac:dyDescent="0.25">
      <c r="A246" s="73">
        <v>44744</v>
      </c>
      <c r="B246" s="74" t="s">
        <v>21521</v>
      </c>
      <c r="C246" s="75" t="s">
        <v>5345</v>
      </c>
      <c r="D246" s="81">
        <v>7351.2</v>
      </c>
      <c r="E246" s="151">
        <v>44745</v>
      </c>
      <c r="F246" s="81">
        <v>7351.2</v>
      </c>
      <c r="G246" s="156">
        <f>Tabla18[[#This Row],[Importe]]-Tabla18[[#This Row],[Pagado]]</f>
        <v>0</v>
      </c>
      <c r="H246" s="75" t="s">
        <v>10</v>
      </c>
    </row>
    <row r="247" spans="1:8" x14ac:dyDescent="0.25">
      <c r="A247" s="148">
        <v>44744</v>
      </c>
      <c r="B247" s="149" t="s">
        <v>21522</v>
      </c>
      <c r="C247" s="153" t="s">
        <v>280</v>
      </c>
      <c r="D247" s="154">
        <v>2224.8000000000002</v>
      </c>
      <c r="E247" s="155">
        <v>44745</v>
      </c>
      <c r="F247" s="154">
        <v>2224.8000000000002</v>
      </c>
      <c r="G247" s="156">
        <f>Tabla18[[#This Row],[Importe]]-Tabla18[[#This Row],[Pagado]]</f>
        <v>0</v>
      </c>
      <c r="H247" s="153" t="s">
        <v>10</v>
      </c>
    </row>
    <row r="248" spans="1:8" x14ac:dyDescent="0.25">
      <c r="A248" s="73">
        <v>44744</v>
      </c>
      <c r="B248" s="74" t="s">
        <v>21523</v>
      </c>
      <c r="C248" s="75" t="s">
        <v>282</v>
      </c>
      <c r="D248" s="81">
        <v>2419.1999999999998</v>
      </c>
      <c r="E248" s="151">
        <v>44745</v>
      </c>
      <c r="F248" s="81">
        <v>2419.1999999999998</v>
      </c>
      <c r="G248" s="156">
        <f>Tabla18[[#This Row],[Importe]]-Tabla18[[#This Row],[Pagado]]</f>
        <v>0</v>
      </c>
      <c r="H248" s="75" t="s">
        <v>10</v>
      </c>
    </row>
    <row r="249" spans="1:8" x14ac:dyDescent="0.25">
      <c r="A249" s="148">
        <v>44744</v>
      </c>
      <c r="B249" s="149" t="s">
        <v>21524</v>
      </c>
      <c r="C249" s="153" t="s">
        <v>1350</v>
      </c>
      <c r="D249" s="154">
        <v>975.2</v>
      </c>
      <c r="E249" s="155">
        <v>44745</v>
      </c>
      <c r="F249" s="154">
        <v>975.2</v>
      </c>
      <c r="G249" s="156">
        <f>Tabla18[[#This Row],[Importe]]-Tabla18[[#This Row],[Pagado]]</f>
        <v>0</v>
      </c>
      <c r="H249" s="153" t="s">
        <v>10</v>
      </c>
    </row>
    <row r="250" spans="1:8" x14ac:dyDescent="0.25">
      <c r="A250" s="73">
        <v>44744</v>
      </c>
      <c r="B250" s="74" t="s">
        <v>21525</v>
      </c>
      <c r="C250" s="75" t="s">
        <v>179</v>
      </c>
      <c r="D250" s="81">
        <v>1771.2</v>
      </c>
      <c r="E250" s="151">
        <v>44745</v>
      </c>
      <c r="F250" s="81">
        <v>1771.2</v>
      </c>
      <c r="G250" s="156">
        <f>Tabla18[[#This Row],[Importe]]-Tabla18[[#This Row],[Pagado]]</f>
        <v>0</v>
      </c>
      <c r="H250" s="75" t="s">
        <v>10</v>
      </c>
    </row>
    <row r="251" spans="1:8" x14ac:dyDescent="0.25">
      <c r="A251" s="148">
        <v>44744</v>
      </c>
      <c r="B251" s="149" t="s">
        <v>21526</v>
      </c>
      <c r="C251" s="153" t="s">
        <v>431</v>
      </c>
      <c r="D251" s="154">
        <v>885.6</v>
      </c>
      <c r="E251" s="155">
        <v>44745</v>
      </c>
      <c r="F251" s="154">
        <v>885.6</v>
      </c>
      <c r="G251" s="156">
        <f>Tabla18[[#This Row],[Importe]]-Tabla18[[#This Row],[Pagado]]</f>
        <v>0</v>
      </c>
      <c r="H251" s="153" t="s">
        <v>10</v>
      </c>
    </row>
    <row r="252" spans="1:8" x14ac:dyDescent="0.25">
      <c r="A252" s="73">
        <v>44744</v>
      </c>
      <c r="B252" s="74" t="s">
        <v>21527</v>
      </c>
      <c r="C252" s="75" t="s">
        <v>135</v>
      </c>
      <c r="D252" s="81">
        <v>1028.5999999999999</v>
      </c>
      <c r="E252" s="151">
        <v>44745</v>
      </c>
      <c r="F252" s="81">
        <v>1028.5999999999999</v>
      </c>
      <c r="G252" s="156">
        <f>Tabla18[[#This Row],[Importe]]-Tabla18[[#This Row],[Pagado]]</f>
        <v>0</v>
      </c>
      <c r="H252" s="75" t="s">
        <v>10</v>
      </c>
    </row>
    <row r="253" spans="1:8" x14ac:dyDescent="0.25">
      <c r="A253" s="148">
        <v>44744</v>
      </c>
      <c r="B253" s="149" t="s">
        <v>21528</v>
      </c>
      <c r="C253" s="153" t="s">
        <v>10819</v>
      </c>
      <c r="D253" s="154">
        <v>1518.4</v>
      </c>
      <c r="E253" s="155">
        <v>44745</v>
      </c>
      <c r="F253" s="154">
        <v>1518.4</v>
      </c>
      <c r="G253" s="156">
        <f>Tabla18[[#This Row],[Importe]]-Tabla18[[#This Row],[Pagado]]</f>
        <v>0</v>
      </c>
      <c r="H253" s="153" t="s">
        <v>10</v>
      </c>
    </row>
    <row r="254" spans="1:8" x14ac:dyDescent="0.25">
      <c r="A254" s="73">
        <v>44744</v>
      </c>
      <c r="B254" s="74" t="s">
        <v>21529</v>
      </c>
      <c r="C254" s="75" t="s">
        <v>142</v>
      </c>
      <c r="D254" s="81">
        <v>5205</v>
      </c>
      <c r="E254" s="151">
        <v>44799</v>
      </c>
      <c r="F254" s="81">
        <v>5205</v>
      </c>
      <c r="G254" s="156">
        <f>Tabla18[[#This Row],[Importe]]-Tabla18[[#This Row],[Pagado]]</f>
        <v>0</v>
      </c>
      <c r="H254" s="75" t="s">
        <v>10</v>
      </c>
    </row>
    <row r="255" spans="1:8" x14ac:dyDescent="0.25">
      <c r="A255" s="148">
        <v>44744</v>
      </c>
      <c r="B255" s="149" t="s">
        <v>21530</v>
      </c>
      <c r="C255" s="153" t="s">
        <v>10840</v>
      </c>
      <c r="D255" s="154">
        <v>4758</v>
      </c>
      <c r="E255" s="155">
        <v>44744</v>
      </c>
      <c r="F255" s="154">
        <v>4758</v>
      </c>
      <c r="G255" s="156">
        <f>Tabla18[[#This Row],[Importe]]-Tabla18[[#This Row],[Pagado]]</f>
        <v>0</v>
      </c>
      <c r="H255" s="153" t="s">
        <v>10</v>
      </c>
    </row>
    <row r="256" spans="1:8" x14ac:dyDescent="0.25">
      <c r="A256" s="73">
        <v>44744</v>
      </c>
      <c r="B256" s="74" t="s">
        <v>21531</v>
      </c>
      <c r="C256" s="75" t="s">
        <v>10190</v>
      </c>
      <c r="D256" s="81">
        <v>18158.400000000001</v>
      </c>
      <c r="E256" s="151">
        <v>44745</v>
      </c>
      <c r="F256" s="81">
        <v>18158.400000000001</v>
      </c>
      <c r="G256" s="156">
        <f>Tabla18[[#This Row],[Importe]]-Tabla18[[#This Row],[Pagado]]</f>
        <v>0</v>
      </c>
      <c r="H256" s="75" t="s">
        <v>10</v>
      </c>
    </row>
    <row r="257" spans="1:8" x14ac:dyDescent="0.25">
      <c r="A257" s="148">
        <v>44744</v>
      </c>
      <c r="B257" s="149" t="s">
        <v>21532</v>
      </c>
      <c r="C257" s="153" t="s">
        <v>31</v>
      </c>
      <c r="D257" s="154">
        <v>7406.4</v>
      </c>
      <c r="E257" s="155">
        <v>44744</v>
      </c>
      <c r="F257" s="154">
        <v>7406.4</v>
      </c>
      <c r="G257" s="156">
        <f>Tabla18[[#This Row],[Importe]]-Tabla18[[#This Row],[Pagado]]</f>
        <v>0</v>
      </c>
      <c r="H257" s="153" t="s">
        <v>10</v>
      </c>
    </row>
    <row r="258" spans="1:8" x14ac:dyDescent="0.25">
      <c r="A258" s="73">
        <v>44744</v>
      </c>
      <c r="B258" s="74" t="s">
        <v>21533</v>
      </c>
      <c r="C258" s="75" t="s">
        <v>442</v>
      </c>
      <c r="D258" s="81">
        <v>11542.6</v>
      </c>
      <c r="E258" s="151">
        <v>44744</v>
      </c>
      <c r="F258" s="81">
        <v>11542.6</v>
      </c>
      <c r="G258" s="156">
        <f>Tabla18[[#This Row],[Importe]]-Tabla18[[#This Row],[Pagado]]</f>
        <v>0</v>
      </c>
      <c r="H258" s="75" t="s">
        <v>10</v>
      </c>
    </row>
    <row r="259" spans="1:8" x14ac:dyDescent="0.25">
      <c r="A259" s="148">
        <v>44744</v>
      </c>
      <c r="B259" s="149" t="s">
        <v>21534</v>
      </c>
      <c r="C259" s="153" t="s">
        <v>407</v>
      </c>
      <c r="D259" s="154">
        <v>1684.8</v>
      </c>
      <c r="E259" s="155">
        <v>44746</v>
      </c>
      <c r="F259" s="154">
        <v>1684.8</v>
      </c>
      <c r="G259" s="156">
        <f>Tabla18[[#This Row],[Importe]]-Tabla18[[#This Row],[Pagado]]</f>
        <v>0</v>
      </c>
      <c r="H259" s="153" t="s">
        <v>10</v>
      </c>
    </row>
    <row r="260" spans="1:8" x14ac:dyDescent="0.25">
      <c r="A260" s="73">
        <v>44744</v>
      </c>
      <c r="B260" s="74" t="s">
        <v>21535</v>
      </c>
      <c r="C260" s="75" t="s">
        <v>31</v>
      </c>
      <c r="D260" s="81">
        <v>3055.2</v>
      </c>
      <c r="E260" s="151">
        <v>44744</v>
      </c>
      <c r="F260" s="81">
        <v>3055.2</v>
      </c>
      <c r="G260" s="156">
        <f>Tabla18[[#This Row],[Importe]]-Tabla18[[#This Row],[Pagado]]</f>
        <v>0</v>
      </c>
      <c r="H260" s="75" t="s">
        <v>10</v>
      </c>
    </row>
    <row r="261" spans="1:8" x14ac:dyDescent="0.25">
      <c r="A261" s="148">
        <v>44744</v>
      </c>
      <c r="B261" s="149" t="s">
        <v>21536</v>
      </c>
      <c r="C261" s="153" t="s">
        <v>51</v>
      </c>
      <c r="D261" s="154">
        <v>3672</v>
      </c>
      <c r="E261" s="155">
        <v>44744</v>
      </c>
      <c r="F261" s="154">
        <v>3672</v>
      </c>
      <c r="G261" s="156">
        <f>Tabla18[[#This Row],[Importe]]-Tabla18[[#This Row],[Pagado]]</f>
        <v>0</v>
      </c>
      <c r="H261" s="153" t="s">
        <v>10</v>
      </c>
    </row>
    <row r="262" spans="1:8" x14ac:dyDescent="0.25">
      <c r="A262" s="73">
        <v>44744</v>
      </c>
      <c r="B262" s="74" t="s">
        <v>21537</v>
      </c>
      <c r="C262" s="75" t="s">
        <v>7098</v>
      </c>
      <c r="D262" s="81">
        <v>400</v>
      </c>
      <c r="E262" s="151">
        <v>44745</v>
      </c>
      <c r="F262" s="81">
        <v>400</v>
      </c>
      <c r="G262" s="156">
        <f>Tabla18[[#This Row],[Importe]]-Tabla18[[#This Row],[Pagado]]</f>
        <v>0</v>
      </c>
      <c r="H262" s="75" t="s">
        <v>10</v>
      </c>
    </row>
    <row r="263" spans="1:8" x14ac:dyDescent="0.25">
      <c r="A263" s="148">
        <v>44744</v>
      </c>
      <c r="B263" s="149" t="s">
        <v>21538</v>
      </c>
      <c r="C263" s="153" t="s">
        <v>67</v>
      </c>
      <c r="D263" s="154">
        <v>309</v>
      </c>
      <c r="E263" s="155">
        <v>44744</v>
      </c>
      <c r="F263" s="154">
        <v>309</v>
      </c>
      <c r="G263" s="156">
        <f>Tabla18[[#This Row],[Importe]]-Tabla18[[#This Row],[Pagado]]</f>
        <v>0</v>
      </c>
      <c r="H263" s="153" t="s">
        <v>10</v>
      </c>
    </row>
    <row r="264" spans="1:8" x14ac:dyDescent="0.25">
      <c r="A264" s="73">
        <v>44744</v>
      </c>
      <c r="B264" s="74" t="s">
        <v>21539</v>
      </c>
      <c r="C264" s="75" t="s">
        <v>14</v>
      </c>
      <c r="D264" s="81">
        <v>25244.2</v>
      </c>
      <c r="E264" s="151">
        <v>44745</v>
      </c>
      <c r="F264" s="81">
        <v>25244.2</v>
      </c>
      <c r="G264" s="156">
        <f>Tabla18[[#This Row],[Importe]]-Tabla18[[#This Row],[Pagado]]</f>
        <v>0</v>
      </c>
      <c r="H264" s="75" t="s">
        <v>10</v>
      </c>
    </row>
    <row r="265" spans="1:8" x14ac:dyDescent="0.25">
      <c r="A265" s="148">
        <v>44744</v>
      </c>
      <c r="B265" s="149" t="s">
        <v>21540</v>
      </c>
      <c r="C265" s="153" t="s">
        <v>1706</v>
      </c>
      <c r="D265" s="154">
        <v>7800</v>
      </c>
      <c r="E265" s="155">
        <v>44745</v>
      </c>
      <c r="F265" s="154">
        <v>7800</v>
      </c>
      <c r="G265" s="156">
        <f>Tabla18[[#This Row],[Importe]]-Tabla18[[#This Row],[Pagado]]</f>
        <v>0</v>
      </c>
      <c r="H265" s="153" t="s">
        <v>10</v>
      </c>
    </row>
    <row r="266" spans="1:8" x14ac:dyDescent="0.25">
      <c r="A266" s="73">
        <v>44744</v>
      </c>
      <c r="B266" s="74" t="s">
        <v>21541</v>
      </c>
      <c r="C266" s="75" t="s">
        <v>275</v>
      </c>
      <c r="D266" s="81">
        <v>50075.99</v>
      </c>
      <c r="E266" s="151">
        <v>44764</v>
      </c>
      <c r="F266" s="81">
        <v>50075.99</v>
      </c>
      <c r="G266" s="156">
        <f>Tabla18[[#This Row],[Importe]]-Tabla18[[#This Row],[Pagado]]</f>
        <v>0</v>
      </c>
      <c r="H266" s="75" t="s">
        <v>10</v>
      </c>
    </row>
    <row r="267" spans="1:8" x14ac:dyDescent="0.25">
      <c r="A267" s="148">
        <v>44745</v>
      </c>
      <c r="B267" s="149" t="s">
        <v>21542</v>
      </c>
      <c r="C267" s="153" t="s">
        <v>475</v>
      </c>
      <c r="D267" s="154">
        <v>55692.800000000003</v>
      </c>
      <c r="E267" s="155">
        <v>44746</v>
      </c>
      <c r="F267" s="154">
        <v>55692.800000000003</v>
      </c>
      <c r="G267" s="156">
        <f>Tabla18[[#This Row],[Importe]]-Tabla18[[#This Row],[Pagado]]</f>
        <v>0</v>
      </c>
      <c r="H267" s="153" t="s">
        <v>10</v>
      </c>
    </row>
    <row r="268" spans="1:8" x14ac:dyDescent="0.25">
      <c r="A268" s="73">
        <v>44745</v>
      </c>
      <c r="B268" s="74" t="s">
        <v>21543</v>
      </c>
      <c r="C268" s="75" t="s">
        <v>33</v>
      </c>
      <c r="D268" s="81">
        <v>13328</v>
      </c>
      <c r="E268" s="151">
        <v>44745</v>
      </c>
      <c r="F268" s="81">
        <v>13328</v>
      </c>
      <c r="G268" s="156">
        <f>Tabla18[[#This Row],[Importe]]-Tabla18[[#This Row],[Pagado]]</f>
        <v>0</v>
      </c>
      <c r="H268" s="75" t="s">
        <v>10</v>
      </c>
    </row>
    <row r="269" spans="1:8" x14ac:dyDescent="0.25">
      <c r="A269" s="148">
        <v>44745</v>
      </c>
      <c r="B269" s="149" t="s">
        <v>21544</v>
      </c>
      <c r="C269" s="153" t="s">
        <v>481</v>
      </c>
      <c r="D269" s="154">
        <v>1574.6</v>
      </c>
      <c r="E269" s="155">
        <v>44745</v>
      </c>
      <c r="F269" s="154">
        <v>1574.6</v>
      </c>
      <c r="G269" s="156">
        <f>Tabla18[[#This Row],[Importe]]-Tabla18[[#This Row],[Pagado]]</f>
        <v>0</v>
      </c>
      <c r="H269" s="153" t="s">
        <v>10</v>
      </c>
    </row>
    <row r="270" spans="1:8" x14ac:dyDescent="0.25">
      <c r="A270" s="73">
        <v>44745</v>
      </c>
      <c r="B270" s="74" t="s">
        <v>21545</v>
      </c>
      <c r="C270" s="75" t="s">
        <v>9</v>
      </c>
      <c r="D270" s="81">
        <v>11771.3</v>
      </c>
      <c r="E270" s="151">
        <v>44745</v>
      </c>
      <c r="F270" s="81">
        <v>11771.3</v>
      </c>
      <c r="G270" s="156">
        <f>Tabla18[[#This Row],[Importe]]-Tabla18[[#This Row],[Pagado]]</f>
        <v>0</v>
      </c>
      <c r="H270" s="75" t="s">
        <v>10</v>
      </c>
    </row>
    <row r="271" spans="1:8" x14ac:dyDescent="0.25">
      <c r="A271" s="148">
        <v>44745</v>
      </c>
      <c r="B271" s="149" t="s">
        <v>21546</v>
      </c>
      <c r="C271" s="153" t="s">
        <v>1187</v>
      </c>
      <c r="D271" s="154">
        <v>1105.2</v>
      </c>
      <c r="E271" s="155">
        <v>44745</v>
      </c>
      <c r="F271" s="154">
        <v>1105.2</v>
      </c>
      <c r="G271" s="156">
        <f>Tabla18[[#This Row],[Importe]]-Tabla18[[#This Row],[Pagado]]</f>
        <v>0</v>
      </c>
      <c r="H271" s="153" t="s">
        <v>10</v>
      </c>
    </row>
    <row r="272" spans="1:8" x14ac:dyDescent="0.25">
      <c r="A272" s="73">
        <v>44745</v>
      </c>
      <c r="B272" s="74" t="s">
        <v>21547</v>
      </c>
      <c r="C272" s="75" t="s">
        <v>105</v>
      </c>
      <c r="D272" s="81">
        <v>2299.5</v>
      </c>
      <c r="E272" s="151">
        <v>44745</v>
      </c>
      <c r="F272" s="81">
        <v>2299.5</v>
      </c>
      <c r="G272" s="156">
        <f>Tabla18[[#This Row],[Importe]]-Tabla18[[#This Row],[Pagado]]</f>
        <v>0</v>
      </c>
      <c r="H272" s="75" t="s">
        <v>10</v>
      </c>
    </row>
    <row r="273" spans="1:8" x14ac:dyDescent="0.25">
      <c r="A273" s="148">
        <v>44745</v>
      </c>
      <c r="B273" s="149" t="s">
        <v>21548</v>
      </c>
      <c r="C273" s="153" t="s">
        <v>348</v>
      </c>
      <c r="D273" s="154">
        <v>1022</v>
      </c>
      <c r="E273" s="155">
        <v>44745</v>
      </c>
      <c r="F273" s="154">
        <v>1022</v>
      </c>
      <c r="G273" s="156">
        <f>Tabla18[[#This Row],[Importe]]-Tabla18[[#This Row],[Pagado]]</f>
        <v>0</v>
      </c>
      <c r="H273" s="153" t="s">
        <v>10</v>
      </c>
    </row>
    <row r="274" spans="1:8" x14ac:dyDescent="0.25">
      <c r="A274" s="73">
        <v>44745</v>
      </c>
      <c r="B274" s="74" t="s">
        <v>21549</v>
      </c>
      <c r="C274" s="75" t="s">
        <v>22</v>
      </c>
      <c r="D274" s="81">
        <v>80599.399999999994</v>
      </c>
      <c r="E274" s="151">
        <v>44746</v>
      </c>
      <c r="F274" s="81">
        <v>80599.399999999994</v>
      </c>
      <c r="G274" s="156">
        <f>Tabla18[[#This Row],[Importe]]-Tabla18[[#This Row],[Pagado]]</f>
        <v>0</v>
      </c>
      <c r="H274" s="75" t="s">
        <v>10</v>
      </c>
    </row>
    <row r="275" spans="1:8" x14ac:dyDescent="0.25">
      <c r="A275" s="148">
        <v>44745</v>
      </c>
      <c r="B275" s="149" t="s">
        <v>21550</v>
      </c>
      <c r="C275" s="153" t="s">
        <v>16</v>
      </c>
      <c r="D275" s="154">
        <v>11259.4</v>
      </c>
      <c r="E275" s="155">
        <v>44745</v>
      </c>
      <c r="F275" s="154">
        <v>11259.4</v>
      </c>
      <c r="G275" s="156">
        <f>Tabla18[[#This Row],[Importe]]-Tabla18[[#This Row],[Pagado]]</f>
        <v>0</v>
      </c>
      <c r="H275" s="153" t="s">
        <v>10</v>
      </c>
    </row>
    <row r="276" spans="1:8" x14ac:dyDescent="0.25">
      <c r="A276" s="73">
        <v>44745</v>
      </c>
      <c r="B276" s="74" t="s">
        <v>21551</v>
      </c>
      <c r="C276" s="75" t="s">
        <v>56</v>
      </c>
      <c r="D276" s="81">
        <v>8310</v>
      </c>
      <c r="E276" s="151">
        <v>44745</v>
      </c>
      <c r="F276" s="81">
        <v>8310</v>
      </c>
      <c r="G276" s="156">
        <f>Tabla18[[#This Row],[Importe]]-Tabla18[[#This Row],[Pagado]]</f>
        <v>0</v>
      </c>
      <c r="H276" s="75" t="s">
        <v>10</v>
      </c>
    </row>
    <row r="277" spans="1:8" x14ac:dyDescent="0.25">
      <c r="A277" s="148">
        <v>44745</v>
      </c>
      <c r="B277" s="149" t="s">
        <v>21552</v>
      </c>
      <c r="C277" s="153" t="s">
        <v>12</v>
      </c>
      <c r="D277" s="154">
        <v>7714</v>
      </c>
      <c r="E277" s="155">
        <v>44745</v>
      </c>
      <c r="F277" s="154">
        <v>7714</v>
      </c>
      <c r="G277" s="156">
        <f>Tabla18[[#This Row],[Importe]]-Tabla18[[#This Row],[Pagado]]</f>
        <v>0</v>
      </c>
      <c r="H277" s="153" t="s">
        <v>10</v>
      </c>
    </row>
    <row r="278" spans="1:8" x14ac:dyDescent="0.25">
      <c r="A278" s="73">
        <v>44745</v>
      </c>
      <c r="B278" s="74" t="s">
        <v>21553</v>
      </c>
      <c r="C278" s="75" t="s">
        <v>24</v>
      </c>
      <c r="D278" s="81">
        <v>3714.8</v>
      </c>
      <c r="E278" s="151">
        <v>44745</v>
      </c>
      <c r="F278" s="81">
        <v>3714.8</v>
      </c>
      <c r="G278" s="156">
        <f>Tabla18[[#This Row],[Importe]]-Tabla18[[#This Row],[Pagado]]</f>
        <v>0</v>
      </c>
      <c r="H278" s="75" t="s">
        <v>10</v>
      </c>
    </row>
    <row r="279" spans="1:8" x14ac:dyDescent="0.25">
      <c r="A279" s="148">
        <v>44745</v>
      </c>
      <c r="B279" s="149" t="s">
        <v>21554</v>
      </c>
      <c r="C279" s="153" t="s">
        <v>56</v>
      </c>
      <c r="D279" s="154">
        <v>1467.2</v>
      </c>
      <c r="E279" s="155">
        <v>44745</v>
      </c>
      <c r="F279" s="154">
        <v>1467.2</v>
      </c>
      <c r="G279" s="156">
        <f>Tabla18[[#This Row],[Importe]]-Tabla18[[#This Row],[Pagado]]</f>
        <v>0</v>
      </c>
      <c r="H279" s="153" t="s">
        <v>10</v>
      </c>
    </row>
    <row r="280" spans="1:8" x14ac:dyDescent="0.25">
      <c r="A280" s="73">
        <v>44745</v>
      </c>
      <c r="B280" s="74" t="s">
        <v>21555</v>
      </c>
      <c r="C280" s="75" t="s">
        <v>49</v>
      </c>
      <c r="D280" s="81">
        <v>5171.6000000000004</v>
      </c>
      <c r="E280" s="151">
        <v>44745</v>
      </c>
      <c r="F280" s="81">
        <v>5171.6000000000004</v>
      </c>
      <c r="G280" s="156">
        <f>Tabla18[[#This Row],[Importe]]-Tabla18[[#This Row],[Pagado]]</f>
        <v>0</v>
      </c>
      <c r="H280" s="75" t="s">
        <v>10</v>
      </c>
    </row>
    <row r="281" spans="1:8" x14ac:dyDescent="0.25">
      <c r="A281" s="148">
        <v>44745</v>
      </c>
      <c r="B281" s="149" t="s">
        <v>21556</v>
      </c>
      <c r="C281" s="153" t="s">
        <v>20</v>
      </c>
      <c r="D281" s="154">
        <v>1519.6</v>
      </c>
      <c r="E281" s="155">
        <v>44745</v>
      </c>
      <c r="F281" s="154">
        <v>1519.6</v>
      </c>
      <c r="G281" s="156">
        <f>Tabla18[[#This Row],[Importe]]-Tabla18[[#This Row],[Pagado]]</f>
        <v>0</v>
      </c>
      <c r="H281" s="153" t="s">
        <v>10</v>
      </c>
    </row>
    <row r="282" spans="1:8" x14ac:dyDescent="0.25">
      <c r="A282" s="73">
        <v>44745</v>
      </c>
      <c r="B282" s="74" t="s">
        <v>21557</v>
      </c>
      <c r="C282" s="75" t="s">
        <v>29</v>
      </c>
      <c r="D282" s="81">
        <v>10756.8</v>
      </c>
      <c r="E282" s="151">
        <v>44745</v>
      </c>
      <c r="F282" s="81">
        <v>10756.8</v>
      </c>
      <c r="G282" s="156">
        <f>Tabla18[[#This Row],[Importe]]-Tabla18[[#This Row],[Pagado]]</f>
        <v>0</v>
      </c>
      <c r="H282" s="75" t="s">
        <v>10</v>
      </c>
    </row>
    <row r="283" spans="1:8" x14ac:dyDescent="0.25">
      <c r="A283" s="148">
        <v>44745</v>
      </c>
      <c r="B283" s="149" t="s">
        <v>21558</v>
      </c>
      <c r="C283" s="153" t="s">
        <v>20</v>
      </c>
      <c r="D283" s="154">
        <v>9042.4</v>
      </c>
      <c r="E283" s="155">
        <v>44745</v>
      </c>
      <c r="F283" s="154">
        <v>9042.4</v>
      </c>
      <c r="G283" s="156">
        <f>Tabla18[[#This Row],[Importe]]-Tabla18[[#This Row],[Pagado]]</f>
        <v>0</v>
      </c>
      <c r="H283" s="153" t="s">
        <v>10</v>
      </c>
    </row>
    <row r="284" spans="1:8" x14ac:dyDescent="0.25">
      <c r="A284" s="73">
        <v>44745</v>
      </c>
      <c r="B284" s="74" t="s">
        <v>21559</v>
      </c>
      <c r="C284" s="75" t="s">
        <v>37</v>
      </c>
      <c r="D284" s="81">
        <v>2123.8000000000002</v>
      </c>
      <c r="E284" s="151">
        <v>44745</v>
      </c>
      <c r="F284" s="81">
        <v>2123.8000000000002</v>
      </c>
      <c r="G284" s="156">
        <f>Tabla18[[#This Row],[Importe]]-Tabla18[[#This Row],[Pagado]]</f>
        <v>0</v>
      </c>
      <c r="H284" s="75" t="s">
        <v>10</v>
      </c>
    </row>
    <row r="285" spans="1:8" x14ac:dyDescent="0.25">
      <c r="A285" s="148">
        <v>44745</v>
      </c>
      <c r="B285" s="149" t="s">
        <v>21560</v>
      </c>
      <c r="C285" s="153" t="s">
        <v>1003</v>
      </c>
      <c r="D285" s="154">
        <v>12436.2</v>
      </c>
      <c r="E285" s="155">
        <v>44749</v>
      </c>
      <c r="F285" s="154">
        <v>12436.2</v>
      </c>
      <c r="G285" s="156">
        <f>Tabla18[[#This Row],[Importe]]-Tabla18[[#This Row],[Pagado]]</f>
        <v>0</v>
      </c>
      <c r="H285" s="153" t="s">
        <v>10</v>
      </c>
    </row>
    <row r="286" spans="1:8" x14ac:dyDescent="0.25">
      <c r="A286" s="73">
        <v>44745</v>
      </c>
      <c r="B286" s="74" t="s">
        <v>21561</v>
      </c>
      <c r="C286" s="75" t="s">
        <v>6528</v>
      </c>
      <c r="D286" s="81">
        <v>9560.7999999999993</v>
      </c>
      <c r="E286" s="151">
        <v>44745</v>
      </c>
      <c r="F286" s="81">
        <v>9560.7999999999993</v>
      </c>
      <c r="G286" s="156">
        <f>Tabla18[[#This Row],[Importe]]-Tabla18[[#This Row],[Pagado]]</f>
        <v>0</v>
      </c>
      <c r="H286" s="75" t="s">
        <v>10</v>
      </c>
    </row>
    <row r="287" spans="1:8" x14ac:dyDescent="0.25">
      <c r="A287" s="148">
        <v>44745</v>
      </c>
      <c r="B287" s="149" t="s">
        <v>21562</v>
      </c>
      <c r="C287" s="153" t="s">
        <v>45</v>
      </c>
      <c r="D287" s="154">
        <v>8997</v>
      </c>
      <c r="E287" s="155">
        <v>44745</v>
      </c>
      <c r="F287" s="154">
        <v>8997</v>
      </c>
      <c r="G287" s="156">
        <f>Tabla18[[#This Row],[Importe]]-Tabla18[[#This Row],[Pagado]]</f>
        <v>0</v>
      </c>
      <c r="H287" s="153" t="s">
        <v>10</v>
      </c>
    </row>
    <row r="288" spans="1:8" x14ac:dyDescent="0.25">
      <c r="A288" s="73">
        <v>44745</v>
      </c>
      <c r="B288" s="74" t="s">
        <v>21563</v>
      </c>
      <c r="C288" s="75" t="s">
        <v>216</v>
      </c>
      <c r="D288" s="81">
        <v>3254.4</v>
      </c>
      <c r="E288" s="151">
        <v>44745</v>
      </c>
      <c r="F288" s="81">
        <v>3254.4</v>
      </c>
      <c r="G288" s="156">
        <f>Tabla18[[#This Row],[Importe]]-Tabla18[[#This Row],[Pagado]]</f>
        <v>0</v>
      </c>
      <c r="H288" s="75" t="s">
        <v>10</v>
      </c>
    </row>
    <row r="289" spans="1:8" x14ac:dyDescent="0.25">
      <c r="A289" s="148">
        <v>44745</v>
      </c>
      <c r="B289" s="149" t="s">
        <v>21564</v>
      </c>
      <c r="C289" s="153" t="s">
        <v>191</v>
      </c>
      <c r="D289" s="154">
        <v>180.4</v>
      </c>
      <c r="E289" s="155">
        <v>44745</v>
      </c>
      <c r="F289" s="154">
        <v>180.4</v>
      </c>
      <c r="G289" s="156">
        <f>Tabla18[[#This Row],[Importe]]-Tabla18[[#This Row],[Pagado]]</f>
        <v>0</v>
      </c>
      <c r="H289" s="153" t="s">
        <v>10</v>
      </c>
    </row>
    <row r="290" spans="1:8" x14ac:dyDescent="0.25">
      <c r="A290" s="73">
        <v>44745</v>
      </c>
      <c r="B290" s="74" t="s">
        <v>21565</v>
      </c>
      <c r="C290" s="75" t="s">
        <v>2139</v>
      </c>
      <c r="D290" s="81">
        <v>1719.5</v>
      </c>
      <c r="E290" s="151">
        <v>44745</v>
      </c>
      <c r="F290" s="81">
        <v>1719.5</v>
      </c>
      <c r="G290" s="156">
        <f>Tabla18[[#This Row],[Importe]]-Tabla18[[#This Row],[Pagado]]</f>
        <v>0</v>
      </c>
      <c r="H290" s="75" t="s">
        <v>10</v>
      </c>
    </row>
    <row r="291" spans="1:8" x14ac:dyDescent="0.25">
      <c r="A291" s="148">
        <v>44745</v>
      </c>
      <c r="B291" s="149" t="s">
        <v>21566</v>
      </c>
      <c r="C291" s="153" t="s">
        <v>4136</v>
      </c>
      <c r="D291" s="154">
        <v>2103.3000000000002</v>
      </c>
      <c r="E291" s="155">
        <v>44745</v>
      </c>
      <c r="F291" s="154">
        <v>2103.3000000000002</v>
      </c>
      <c r="G291" s="156">
        <f>Tabla18[[#This Row],[Importe]]-Tabla18[[#This Row],[Pagado]]</f>
        <v>0</v>
      </c>
      <c r="H291" s="153" t="s">
        <v>10</v>
      </c>
    </row>
    <row r="292" spans="1:8" x14ac:dyDescent="0.25">
      <c r="A292" s="73">
        <v>44745</v>
      </c>
      <c r="B292" s="74" t="s">
        <v>21567</v>
      </c>
      <c r="C292" s="75" t="s">
        <v>296</v>
      </c>
      <c r="D292" s="81">
        <v>5584.4</v>
      </c>
      <c r="E292" s="151">
        <v>44745</v>
      </c>
      <c r="F292" s="81">
        <v>5584.4</v>
      </c>
      <c r="G292" s="156">
        <f>Tabla18[[#This Row],[Importe]]-Tabla18[[#This Row],[Pagado]]</f>
        <v>0</v>
      </c>
      <c r="H292" s="75" t="s">
        <v>10</v>
      </c>
    </row>
    <row r="293" spans="1:8" x14ac:dyDescent="0.25">
      <c r="A293" s="148">
        <v>44745</v>
      </c>
      <c r="B293" s="149" t="s">
        <v>21568</v>
      </c>
      <c r="C293" s="153" t="s">
        <v>382</v>
      </c>
      <c r="D293" s="154">
        <v>6891.2</v>
      </c>
      <c r="E293" s="155">
        <v>44745</v>
      </c>
      <c r="F293" s="154">
        <v>6891.2</v>
      </c>
      <c r="G293" s="156">
        <f>Tabla18[[#This Row],[Importe]]-Tabla18[[#This Row],[Pagado]]</f>
        <v>0</v>
      </c>
      <c r="H293" s="153" t="s">
        <v>10</v>
      </c>
    </row>
    <row r="294" spans="1:8" x14ac:dyDescent="0.25">
      <c r="A294" s="73">
        <v>44745</v>
      </c>
      <c r="B294" s="74" t="s">
        <v>21569</v>
      </c>
      <c r="C294" s="75" t="s">
        <v>244</v>
      </c>
      <c r="D294" s="81">
        <v>1036.5999999999999</v>
      </c>
      <c r="E294" s="151">
        <v>44745</v>
      </c>
      <c r="F294" s="81">
        <v>1036.5999999999999</v>
      </c>
      <c r="G294" s="156">
        <f>Tabla18[[#This Row],[Importe]]-Tabla18[[#This Row],[Pagado]]</f>
        <v>0</v>
      </c>
      <c r="H294" s="75" t="s">
        <v>10</v>
      </c>
    </row>
    <row r="295" spans="1:8" x14ac:dyDescent="0.25">
      <c r="A295" s="148">
        <v>44745</v>
      </c>
      <c r="B295" s="149" t="s">
        <v>21570</v>
      </c>
      <c r="C295" s="153" t="s">
        <v>31</v>
      </c>
      <c r="D295" s="154">
        <v>590.4</v>
      </c>
      <c r="E295" s="155">
        <v>44745</v>
      </c>
      <c r="F295" s="154">
        <v>590.4</v>
      </c>
      <c r="G295" s="156">
        <f>Tabla18[[#This Row],[Importe]]-Tabla18[[#This Row],[Pagado]]</f>
        <v>0</v>
      </c>
      <c r="H295" s="153" t="s">
        <v>10</v>
      </c>
    </row>
    <row r="296" spans="1:8" x14ac:dyDescent="0.25">
      <c r="A296" s="73">
        <v>44745</v>
      </c>
      <c r="B296" s="74" t="s">
        <v>21571</v>
      </c>
      <c r="C296" s="75" t="s">
        <v>67</v>
      </c>
      <c r="D296" s="81">
        <v>4111.2</v>
      </c>
      <c r="E296" s="151">
        <v>44745</v>
      </c>
      <c r="F296" s="81">
        <v>4111.2</v>
      </c>
      <c r="G296" s="156">
        <f>Tabla18[[#This Row],[Importe]]-Tabla18[[#This Row],[Pagado]]</f>
        <v>0</v>
      </c>
      <c r="H296" s="75" t="s">
        <v>10</v>
      </c>
    </row>
    <row r="297" spans="1:8" x14ac:dyDescent="0.25">
      <c r="A297" s="148">
        <v>44745</v>
      </c>
      <c r="B297" s="149" t="s">
        <v>21572</v>
      </c>
      <c r="C297" s="153" t="s">
        <v>67</v>
      </c>
      <c r="D297" s="154">
        <v>274.39999999999998</v>
      </c>
      <c r="E297" s="155">
        <v>44745</v>
      </c>
      <c r="F297" s="154">
        <v>274.39999999999998</v>
      </c>
      <c r="G297" s="156">
        <f>Tabla18[[#This Row],[Importe]]-Tabla18[[#This Row],[Pagado]]</f>
        <v>0</v>
      </c>
      <c r="H297" s="153" t="s">
        <v>10</v>
      </c>
    </row>
    <row r="298" spans="1:8" x14ac:dyDescent="0.25">
      <c r="A298" s="73">
        <v>44745</v>
      </c>
      <c r="B298" s="74" t="s">
        <v>21573</v>
      </c>
      <c r="C298" s="75" t="s">
        <v>58</v>
      </c>
      <c r="D298" s="81">
        <v>3171.28</v>
      </c>
      <c r="E298" s="151">
        <v>44745</v>
      </c>
      <c r="F298" s="81">
        <v>3171.28</v>
      </c>
      <c r="G298" s="156">
        <f>Tabla18[[#This Row],[Importe]]-Tabla18[[#This Row],[Pagado]]</f>
        <v>0</v>
      </c>
      <c r="H298" s="75" t="s">
        <v>10</v>
      </c>
    </row>
    <row r="299" spans="1:8" x14ac:dyDescent="0.25">
      <c r="A299" s="148">
        <v>44745</v>
      </c>
      <c r="B299" s="149" t="s">
        <v>21574</v>
      </c>
      <c r="C299" s="153" t="s">
        <v>71</v>
      </c>
      <c r="D299" s="154">
        <v>4392.8</v>
      </c>
      <c r="E299" s="155">
        <v>44745</v>
      </c>
      <c r="F299" s="154">
        <v>4392.8</v>
      </c>
      <c r="G299" s="156">
        <f>Tabla18[[#This Row],[Importe]]-Tabla18[[#This Row],[Pagado]]</f>
        <v>0</v>
      </c>
      <c r="H299" s="153" t="s">
        <v>10</v>
      </c>
    </row>
    <row r="300" spans="1:8" x14ac:dyDescent="0.25">
      <c r="A300" s="73">
        <v>44745</v>
      </c>
      <c r="B300" s="74" t="s">
        <v>21575</v>
      </c>
      <c r="C300" s="75" t="s">
        <v>56</v>
      </c>
      <c r="D300" s="81">
        <v>2265</v>
      </c>
      <c r="E300" s="151">
        <v>44745</v>
      </c>
      <c r="F300" s="81">
        <v>2265</v>
      </c>
      <c r="G300" s="156">
        <f>Tabla18[[#This Row],[Importe]]-Tabla18[[#This Row],[Pagado]]</f>
        <v>0</v>
      </c>
      <c r="H300" s="75" t="s">
        <v>10</v>
      </c>
    </row>
    <row r="301" spans="1:8" x14ac:dyDescent="0.25">
      <c r="A301" s="148">
        <v>44745</v>
      </c>
      <c r="B301" s="149" t="s">
        <v>21576</v>
      </c>
      <c r="C301" s="153" t="s">
        <v>31</v>
      </c>
      <c r="D301" s="154">
        <v>584.6</v>
      </c>
      <c r="E301" s="155">
        <v>44745</v>
      </c>
      <c r="F301" s="154">
        <v>584.6</v>
      </c>
      <c r="G301" s="156">
        <f>Tabla18[[#This Row],[Importe]]-Tabla18[[#This Row],[Pagado]]</f>
        <v>0</v>
      </c>
      <c r="H301" s="153" t="s">
        <v>10</v>
      </c>
    </row>
    <row r="302" spans="1:8" x14ac:dyDescent="0.25">
      <c r="A302" s="73">
        <v>44745</v>
      </c>
      <c r="B302" s="74" t="s">
        <v>21577</v>
      </c>
      <c r="C302" s="75" t="s">
        <v>365</v>
      </c>
      <c r="D302" s="81">
        <v>758.1</v>
      </c>
      <c r="E302" s="151">
        <v>44745</v>
      </c>
      <c r="F302" s="81">
        <v>758.1</v>
      </c>
      <c r="G302" s="156">
        <f>Tabla18[[#This Row],[Importe]]-Tabla18[[#This Row],[Pagado]]</f>
        <v>0</v>
      </c>
      <c r="H302" s="75" t="s">
        <v>10</v>
      </c>
    </row>
    <row r="303" spans="1:8" x14ac:dyDescent="0.25">
      <c r="A303" s="148">
        <v>44745</v>
      </c>
      <c r="B303" s="149" t="s">
        <v>21578</v>
      </c>
      <c r="C303" s="153" t="s">
        <v>365</v>
      </c>
      <c r="D303" s="154">
        <v>2652.8</v>
      </c>
      <c r="E303" s="155">
        <v>44745</v>
      </c>
      <c r="F303" s="154">
        <v>2652.8</v>
      </c>
      <c r="G303" s="156">
        <f>Tabla18[[#This Row],[Importe]]-Tabla18[[#This Row],[Pagado]]</f>
        <v>0</v>
      </c>
      <c r="H303" s="153" t="s">
        <v>10</v>
      </c>
    </row>
    <row r="304" spans="1:8" x14ac:dyDescent="0.25">
      <c r="A304" s="73">
        <v>44745</v>
      </c>
      <c r="B304" s="74" t="s">
        <v>21579</v>
      </c>
      <c r="C304" s="75" t="s">
        <v>15039</v>
      </c>
      <c r="D304" s="81">
        <v>2025.1</v>
      </c>
      <c r="E304" s="151">
        <v>44745</v>
      </c>
      <c r="F304" s="81">
        <v>2025.1</v>
      </c>
      <c r="G304" s="156">
        <f>Tabla18[[#This Row],[Importe]]-Tabla18[[#This Row],[Pagado]]</f>
        <v>0</v>
      </c>
      <c r="H304" s="75" t="s">
        <v>10</v>
      </c>
    </row>
    <row r="305" spans="1:8" x14ac:dyDescent="0.25">
      <c r="A305" s="148">
        <v>44745</v>
      </c>
      <c r="B305" s="149" t="s">
        <v>21580</v>
      </c>
      <c r="C305" s="153" t="s">
        <v>16</v>
      </c>
      <c r="D305" s="154">
        <v>2878.5</v>
      </c>
      <c r="E305" s="155">
        <v>44745</v>
      </c>
      <c r="F305" s="154">
        <v>2878.5</v>
      </c>
      <c r="G305" s="156">
        <f>Tabla18[[#This Row],[Importe]]-Tabla18[[#This Row],[Pagado]]</f>
        <v>0</v>
      </c>
      <c r="H305" s="153" t="s">
        <v>10</v>
      </c>
    </row>
    <row r="306" spans="1:8" x14ac:dyDescent="0.25">
      <c r="A306" s="73">
        <v>44745</v>
      </c>
      <c r="B306" s="74" t="s">
        <v>21581</v>
      </c>
      <c r="C306" s="75" t="s">
        <v>69</v>
      </c>
      <c r="D306" s="81">
        <v>2815.2</v>
      </c>
      <c r="E306" s="151">
        <v>44745</v>
      </c>
      <c r="F306" s="81">
        <v>2815.2</v>
      </c>
      <c r="G306" s="156">
        <f>Tabla18[[#This Row],[Importe]]-Tabla18[[#This Row],[Pagado]]</f>
        <v>0</v>
      </c>
      <c r="H306" s="75" t="s">
        <v>10</v>
      </c>
    </row>
    <row r="307" spans="1:8" x14ac:dyDescent="0.25">
      <c r="A307" s="148">
        <v>44745</v>
      </c>
      <c r="B307" s="149" t="s">
        <v>21582</v>
      </c>
      <c r="C307" s="153" t="s">
        <v>296</v>
      </c>
      <c r="D307" s="154">
        <v>2227.4</v>
      </c>
      <c r="E307" s="155">
        <v>44745</v>
      </c>
      <c r="F307" s="154">
        <v>2227.4</v>
      </c>
      <c r="G307" s="156">
        <f>Tabla18[[#This Row],[Importe]]-Tabla18[[#This Row],[Pagado]]</f>
        <v>0</v>
      </c>
      <c r="H307" s="153" t="s">
        <v>10</v>
      </c>
    </row>
    <row r="308" spans="1:8" x14ac:dyDescent="0.25">
      <c r="A308" s="73">
        <v>44745</v>
      </c>
      <c r="B308" s="74" t="s">
        <v>21583</v>
      </c>
      <c r="C308" s="75" t="s">
        <v>53</v>
      </c>
      <c r="D308" s="81">
        <v>672</v>
      </c>
      <c r="E308" s="151">
        <v>44745</v>
      </c>
      <c r="F308" s="81">
        <v>672</v>
      </c>
      <c r="G308" s="156">
        <f>Tabla18[[#This Row],[Importe]]-Tabla18[[#This Row],[Pagado]]</f>
        <v>0</v>
      </c>
      <c r="H308" s="75" t="s">
        <v>10</v>
      </c>
    </row>
    <row r="309" spans="1:8" x14ac:dyDescent="0.25">
      <c r="A309" s="148">
        <v>44745</v>
      </c>
      <c r="B309" s="149" t="s">
        <v>21584</v>
      </c>
      <c r="C309" s="153" t="s">
        <v>35</v>
      </c>
      <c r="D309" s="154">
        <v>577.20000000000005</v>
      </c>
      <c r="E309" s="155">
        <v>44745</v>
      </c>
      <c r="F309" s="154">
        <v>577.20000000000005</v>
      </c>
      <c r="G309" s="156">
        <f>Tabla18[[#This Row],[Importe]]-Tabla18[[#This Row],[Pagado]]</f>
        <v>0</v>
      </c>
      <c r="H309" s="153" t="s">
        <v>10</v>
      </c>
    </row>
    <row r="310" spans="1:8" x14ac:dyDescent="0.25">
      <c r="A310" s="73">
        <v>44745</v>
      </c>
      <c r="B310" s="74" t="s">
        <v>21585</v>
      </c>
      <c r="C310" s="75" t="s">
        <v>373</v>
      </c>
      <c r="D310" s="81">
        <v>2029.2</v>
      </c>
      <c r="E310" s="151">
        <v>44745</v>
      </c>
      <c r="F310" s="81">
        <v>2029.2</v>
      </c>
      <c r="G310" s="156">
        <f>Tabla18[[#This Row],[Importe]]-Tabla18[[#This Row],[Pagado]]</f>
        <v>0</v>
      </c>
      <c r="H310" s="75" t="s">
        <v>10</v>
      </c>
    </row>
    <row r="311" spans="1:8" x14ac:dyDescent="0.25">
      <c r="A311" s="148">
        <v>44745</v>
      </c>
      <c r="B311" s="149" t="s">
        <v>21586</v>
      </c>
      <c r="C311" s="153" t="s">
        <v>67</v>
      </c>
      <c r="D311" s="154">
        <v>1150.2</v>
      </c>
      <c r="E311" s="155">
        <v>44745</v>
      </c>
      <c r="F311" s="154">
        <v>1150.2</v>
      </c>
      <c r="G311" s="156">
        <f>Tabla18[[#This Row],[Importe]]-Tabla18[[#This Row],[Pagado]]</f>
        <v>0</v>
      </c>
      <c r="H311" s="153" t="s">
        <v>10</v>
      </c>
    </row>
    <row r="312" spans="1:8" x14ac:dyDescent="0.25">
      <c r="A312" s="73">
        <v>44745</v>
      </c>
      <c r="B312" s="74" t="s">
        <v>21587</v>
      </c>
      <c r="C312" s="75" t="s">
        <v>67</v>
      </c>
      <c r="D312" s="81">
        <v>141</v>
      </c>
      <c r="E312" s="151">
        <v>44745</v>
      </c>
      <c r="F312" s="81">
        <v>141</v>
      </c>
      <c r="G312" s="156">
        <f>Tabla18[[#This Row],[Importe]]-Tabla18[[#This Row],[Pagado]]</f>
        <v>0</v>
      </c>
      <c r="H312" s="75" t="s">
        <v>10</v>
      </c>
    </row>
    <row r="313" spans="1:8" x14ac:dyDescent="0.25">
      <c r="A313" s="148">
        <v>44745</v>
      </c>
      <c r="B313" s="149" t="s">
        <v>21588</v>
      </c>
      <c r="C313" s="153" t="s">
        <v>31</v>
      </c>
      <c r="D313" s="154">
        <v>619.20000000000005</v>
      </c>
      <c r="E313" s="155">
        <v>44745</v>
      </c>
      <c r="F313" s="154">
        <v>619.20000000000005</v>
      </c>
      <c r="G313" s="156">
        <f>Tabla18[[#This Row],[Importe]]-Tabla18[[#This Row],[Pagado]]</f>
        <v>0</v>
      </c>
      <c r="H313" s="153" t="s">
        <v>10</v>
      </c>
    </row>
    <row r="314" spans="1:8" x14ac:dyDescent="0.25">
      <c r="A314" s="73">
        <v>44745</v>
      </c>
      <c r="B314" s="74" t="s">
        <v>21589</v>
      </c>
      <c r="C314" s="75" t="s">
        <v>4136</v>
      </c>
      <c r="D314" s="81">
        <v>803.7</v>
      </c>
      <c r="E314" s="151">
        <v>44745</v>
      </c>
      <c r="F314" s="81">
        <v>803.7</v>
      </c>
      <c r="G314" s="156">
        <f>Tabla18[[#This Row],[Importe]]-Tabla18[[#This Row],[Pagado]]</f>
        <v>0</v>
      </c>
      <c r="H314" s="75" t="s">
        <v>10</v>
      </c>
    </row>
    <row r="315" spans="1:8" x14ac:dyDescent="0.25">
      <c r="A315" s="148">
        <v>44745</v>
      </c>
      <c r="B315" s="149" t="s">
        <v>21590</v>
      </c>
      <c r="C315" s="153" t="s">
        <v>289</v>
      </c>
      <c r="D315" s="154">
        <v>11381.7</v>
      </c>
      <c r="E315" s="155">
        <v>44746</v>
      </c>
      <c r="F315" s="154">
        <v>11381.7</v>
      </c>
      <c r="G315" s="156">
        <f>Tabla18[[#This Row],[Importe]]-Tabla18[[#This Row],[Pagado]]</f>
        <v>0</v>
      </c>
      <c r="H315" s="153" t="s">
        <v>10</v>
      </c>
    </row>
    <row r="316" spans="1:8" x14ac:dyDescent="0.25">
      <c r="A316" s="73">
        <v>44746</v>
      </c>
      <c r="B316" s="74" t="s">
        <v>21591</v>
      </c>
      <c r="C316" s="75" t="s">
        <v>85</v>
      </c>
      <c r="D316" s="81">
        <v>1781.6</v>
      </c>
      <c r="E316" s="151">
        <v>44746</v>
      </c>
      <c r="F316" s="81">
        <v>1781.6</v>
      </c>
      <c r="G316" s="156">
        <f>Tabla18[[#This Row],[Importe]]-Tabla18[[#This Row],[Pagado]]</f>
        <v>0</v>
      </c>
      <c r="H316" s="75" t="s">
        <v>10</v>
      </c>
    </row>
    <row r="317" spans="1:8" x14ac:dyDescent="0.25">
      <c r="A317" s="148">
        <v>44746</v>
      </c>
      <c r="B317" s="149" t="s">
        <v>21592</v>
      </c>
      <c r="C317" s="153" t="s">
        <v>75</v>
      </c>
      <c r="D317" s="154">
        <v>8020.8</v>
      </c>
      <c r="E317" s="155">
        <v>44746</v>
      </c>
      <c r="F317" s="154">
        <v>8020.8</v>
      </c>
      <c r="G317" s="156">
        <f>Tabla18[[#This Row],[Importe]]-Tabla18[[#This Row],[Pagado]]</f>
        <v>0</v>
      </c>
      <c r="H317" s="153" t="s">
        <v>10</v>
      </c>
    </row>
    <row r="318" spans="1:8" x14ac:dyDescent="0.25">
      <c r="A318" s="73">
        <v>44746</v>
      </c>
      <c r="B318" s="74" t="s">
        <v>21593</v>
      </c>
      <c r="C318" s="75" t="s">
        <v>87</v>
      </c>
      <c r="D318" s="81">
        <v>3536</v>
      </c>
      <c r="E318" s="151">
        <v>44746</v>
      </c>
      <c r="F318" s="81">
        <v>3536</v>
      </c>
      <c r="G318" s="156">
        <f>Tabla18[[#This Row],[Importe]]-Tabla18[[#This Row],[Pagado]]</f>
        <v>0</v>
      </c>
      <c r="H318" s="75" t="s">
        <v>10</v>
      </c>
    </row>
    <row r="319" spans="1:8" x14ac:dyDescent="0.25">
      <c r="A319" s="148">
        <v>44746</v>
      </c>
      <c r="B319" s="149" t="s">
        <v>21594</v>
      </c>
      <c r="C319" s="153" t="s">
        <v>314</v>
      </c>
      <c r="D319" s="154">
        <v>1807.2</v>
      </c>
      <c r="E319" s="155">
        <v>44746</v>
      </c>
      <c r="F319" s="154">
        <v>1807.2</v>
      </c>
      <c r="G319" s="156">
        <f>Tabla18[[#This Row],[Importe]]-Tabla18[[#This Row],[Pagado]]</f>
        <v>0</v>
      </c>
      <c r="H319" s="153" t="s">
        <v>10</v>
      </c>
    </row>
    <row r="320" spans="1:8" ht="31.5" x14ac:dyDescent="0.25">
      <c r="A320" s="73">
        <v>44746</v>
      </c>
      <c r="B320" s="74" t="s">
        <v>21595</v>
      </c>
      <c r="C320" s="75" t="s">
        <v>475</v>
      </c>
      <c r="D320" s="81">
        <v>125862.39999999999</v>
      </c>
      <c r="E320" s="147" t="s">
        <v>21596</v>
      </c>
      <c r="F320" s="81">
        <f>109000+16862.4</f>
        <v>125862.39999999999</v>
      </c>
      <c r="G320" s="156">
        <f>Tabla18[[#This Row],[Importe]]-Tabla18[[#This Row],[Pagado]]</f>
        <v>0</v>
      </c>
      <c r="H320" s="75" t="s">
        <v>10</v>
      </c>
    </row>
    <row r="321" spans="1:8" x14ac:dyDescent="0.25">
      <c r="A321" s="148">
        <v>44746</v>
      </c>
      <c r="B321" s="149" t="s">
        <v>21597</v>
      </c>
      <c r="C321" s="153" t="s">
        <v>18</v>
      </c>
      <c r="D321" s="154">
        <v>1987.5</v>
      </c>
      <c r="E321" s="155">
        <v>44746</v>
      </c>
      <c r="F321" s="154">
        <v>1987.5</v>
      </c>
      <c r="G321" s="156">
        <f>Tabla18[[#This Row],[Importe]]-Tabla18[[#This Row],[Pagado]]</f>
        <v>0</v>
      </c>
      <c r="H321" s="153" t="s">
        <v>10</v>
      </c>
    </row>
    <row r="322" spans="1:8" x14ac:dyDescent="0.25">
      <c r="A322" s="73">
        <v>44746</v>
      </c>
      <c r="B322" s="74" t="s">
        <v>21598</v>
      </c>
      <c r="C322" s="75" t="s">
        <v>97</v>
      </c>
      <c r="D322" s="81">
        <v>11027.2</v>
      </c>
      <c r="E322" s="151">
        <v>44747</v>
      </c>
      <c r="F322" s="81">
        <v>11027.2</v>
      </c>
      <c r="G322" s="156">
        <f>Tabla18[[#This Row],[Importe]]-Tabla18[[#This Row],[Pagado]]</f>
        <v>0</v>
      </c>
      <c r="H322" s="75" t="s">
        <v>10</v>
      </c>
    </row>
    <row r="323" spans="1:8" x14ac:dyDescent="0.25">
      <c r="A323" s="148">
        <v>44746</v>
      </c>
      <c r="B323" s="149" t="s">
        <v>21599</v>
      </c>
      <c r="C323" s="153" t="s">
        <v>93</v>
      </c>
      <c r="D323" s="154">
        <v>5505.6</v>
      </c>
      <c r="E323" s="155">
        <v>44748</v>
      </c>
      <c r="F323" s="154">
        <v>5505.6</v>
      </c>
      <c r="G323" s="156">
        <f>Tabla18[[#This Row],[Importe]]-Tabla18[[#This Row],[Pagado]]</f>
        <v>0</v>
      </c>
      <c r="H323" s="153" t="s">
        <v>10</v>
      </c>
    </row>
    <row r="324" spans="1:8" x14ac:dyDescent="0.25">
      <c r="A324" s="73">
        <v>44746</v>
      </c>
      <c r="B324" s="74" t="s">
        <v>21600</v>
      </c>
      <c r="C324" s="75" t="s">
        <v>60</v>
      </c>
      <c r="D324" s="81">
        <v>4896</v>
      </c>
      <c r="E324" s="151">
        <v>44749</v>
      </c>
      <c r="F324" s="81">
        <v>4896</v>
      </c>
      <c r="G324" s="156">
        <f>Tabla18[[#This Row],[Importe]]-Tabla18[[#This Row],[Pagado]]</f>
        <v>0</v>
      </c>
      <c r="H324" s="75" t="s">
        <v>10</v>
      </c>
    </row>
    <row r="325" spans="1:8" x14ac:dyDescent="0.25">
      <c r="A325" s="148">
        <v>44746</v>
      </c>
      <c r="B325" s="149" t="s">
        <v>21601</v>
      </c>
      <c r="C325" s="153" t="s">
        <v>2563</v>
      </c>
      <c r="D325" s="154">
        <v>5158.3999999999996</v>
      </c>
      <c r="E325" s="155">
        <v>44747</v>
      </c>
      <c r="F325" s="154">
        <v>5158.3999999999996</v>
      </c>
      <c r="G325" s="156">
        <f>Tabla18[[#This Row],[Importe]]-Tabla18[[#This Row],[Pagado]]</f>
        <v>0</v>
      </c>
      <c r="H325" s="153" t="s">
        <v>10</v>
      </c>
    </row>
    <row r="326" spans="1:8" x14ac:dyDescent="0.25">
      <c r="A326" s="73">
        <v>44746</v>
      </c>
      <c r="B326" s="74" t="s">
        <v>21602</v>
      </c>
      <c r="C326" s="75" t="s">
        <v>109</v>
      </c>
      <c r="D326" s="81">
        <v>5666.8</v>
      </c>
      <c r="E326" s="151">
        <v>44747</v>
      </c>
      <c r="F326" s="81">
        <v>5666.8</v>
      </c>
      <c r="G326" s="156">
        <f>Tabla18[[#This Row],[Importe]]-Tabla18[[#This Row],[Pagado]]</f>
        <v>0</v>
      </c>
      <c r="H326" s="75" t="s">
        <v>10</v>
      </c>
    </row>
    <row r="327" spans="1:8" x14ac:dyDescent="0.25">
      <c r="A327" s="148">
        <v>44746</v>
      </c>
      <c r="B327" s="149" t="s">
        <v>21603</v>
      </c>
      <c r="C327" s="153" t="s">
        <v>353</v>
      </c>
      <c r="D327" s="154">
        <v>1162.8</v>
      </c>
      <c r="E327" s="155">
        <v>44746</v>
      </c>
      <c r="F327" s="154">
        <v>1162.8</v>
      </c>
      <c r="G327" s="156">
        <f>Tabla18[[#This Row],[Importe]]-Tabla18[[#This Row],[Pagado]]</f>
        <v>0</v>
      </c>
      <c r="H327" s="153" t="s">
        <v>10</v>
      </c>
    </row>
    <row r="328" spans="1:8" ht="31.5" x14ac:dyDescent="0.25">
      <c r="A328" s="73">
        <v>44746</v>
      </c>
      <c r="B328" s="74" t="s">
        <v>21604</v>
      </c>
      <c r="C328" s="75" t="s">
        <v>111</v>
      </c>
      <c r="D328" s="81">
        <v>5902.4</v>
      </c>
      <c r="E328" s="147" t="s">
        <v>21605</v>
      </c>
      <c r="F328" s="81">
        <f>5100+802.4</f>
        <v>5902.4</v>
      </c>
      <c r="G328" s="156">
        <f>Tabla18[[#This Row],[Importe]]-Tabla18[[#This Row],[Pagado]]</f>
        <v>0</v>
      </c>
      <c r="H328" s="75" t="s">
        <v>10</v>
      </c>
    </row>
    <row r="329" spans="1:8" x14ac:dyDescent="0.25">
      <c r="A329" s="148">
        <v>44746</v>
      </c>
      <c r="B329" s="149" t="s">
        <v>21606</v>
      </c>
      <c r="C329" s="153" t="s">
        <v>64</v>
      </c>
      <c r="D329" s="154">
        <v>5427.2</v>
      </c>
      <c r="E329" s="155">
        <v>44747</v>
      </c>
      <c r="F329" s="154">
        <v>5427.2</v>
      </c>
      <c r="G329" s="156">
        <f>Tabla18[[#This Row],[Importe]]-Tabla18[[#This Row],[Pagado]]</f>
        <v>0</v>
      </c>
      <c r="H329" s="153" t="s">
        <v>10</v>
      </c>
    </row>
    <row r="330" spans="1:8" x14ac:dyDescent="0.25">
      <c r="A330" s="73">
        <v>44746</v>
      </c>
      <c r="B330" s="74" t="s">
        <v>21607</v>
      </c>
      <c r="C330" s="75" t="s">
        <v>105</v>
      </c>
      <c r="D330" s="81">
        <v>4953.8</v>
      </c>
      <c r="E330" s="151">
        <v>44747</v>
      </c>
      <c r="F330" s="81">
        <v>4953.8</v>
      </c>
      <c r="G330" s="156">
        <f>Tabla18[[#This Row],[Importe]]-Tabla18[[#This Row],[Pagado]]</f>
        <v>0</v>
      </c>
      <c r="H330" s="75" t="s">
        <v>10</v>
      </c>
    </row>
    <row r="331" spans="1:8" x14ac:dyDescent="0.25">
      <c r="A331" s="148">
        <v>44746</v>
      </c>
      <c r="B331" s="149" t="s">
        <v>21608</v>
      </c>
      <c r="C331" s="153" t="s">
        <v>99</v>
      </c>
      <c r="D331" s="154">
        <v>4364.8</v>
      </c>
      <c r="E331" s="155">
        <v>44747</v>
      </c>
      <c r="F331" s="154">
        <v>4364.8</v>
      </c>
      <c r="G331" s="156">
        <f>Tabla18[[#This Row],[Importe]]-Tabla18[[#This Row],[Pagado]]</f>
        <v>0</v>
      </c>
      <c r="H331" s="153" t="s">
        <v>10</v>
      </c>
    </row>
    <row r="332" spans="1:8" x14ac:dyDescent="0.25">
      <c r="A332" s="73">
        <v>44746</v>
      </c>
      <c r="B332" s="74" t="s">
        <v>21609</v>
      </c>
      <c r="C332" s="75" t="s">
        <v>2151</v>
      </c>
      <c r="D332" s="81">
        <v>16281.6</v>
      </c>
      <c r="E332" s="151">
        <v>44747</v>
      </c>
      <c r="F332" s="81">
        <v>16281.6</v>
      </c>
      <c r="G332" s="156">
        <f>Tabla18[[#This Row],[Importe]]-Tabla18[[#This Row],[Pagado]]</f>
        <v>0</v>
      </c>
      <c r="H332" s="75" t="s">
        <v>10</v>
      </c>
    </row>
    <row r="333" spans="1:8" x14ac:dyDescent="0.25">
      <c r="A333" s="148">
        <v>44746</v>
      </c>
      <c r="B333" s="149" t="s">
        <v>21610</v>
      </c>
      <c r="C333" s="153" t="s">
        <v>89</v>
      </c>
      <c r="D333" s="154">
        <v>7996.8</v>
      </c>
      <c r="E333" s="155">
        <v>44747</v>
      </c>
      <c r="F333" s="154">
        <v>7996.8</v>
      </c>
      <c r="G333" s="156">
        <f>Tabla18[[#This Row],[Importe]]-Tabla18[[#This Row],[Pagado]]</f>
        <v>0</v>
      </c>
      <c r="H333" s="153" t="s">
        <v>10</v>
      </c>
    </row>
    <row r="334" spans="1:8" x14ac:dyDescent="0.25">
      <c r="A334" s="73">
        <v>44746</v>
      </c>
      <c r="B334" s="74" t="s">
        <v>21611</v>
      </c>
      <c r="C334" s="75" t="s">
        <v>10586</v>
      </c>
      <c r="D334" s="81">
        <v>5877.6</v>
      </c>
      <c r="E334" s="151">
        <v>44748</v>
      </c>
      <c r="F334" s="81">
        <v>5877.6</v>
      </c>
      <c r="G334" s="156">
        <f>Tabla18[[#This Row],[Importe]]-Tabla18[[#This Row],[Pagado]]</f>
        <v>0</v>
      </c>
      <c r="H334" s="75" t="s">
        <v>10</v>
      </c>
    </row>
    <row r="335" spans="1:8" x14ac:dyDescent="0.25">
      <c r="A335" s="148">
        <v>44746</v>
      </c>
      <c r="B335" s="149" t="s">
        <v>21612</v>
      </c>
      <c r="C335" s="153" t="s">
        <v>116</v>
      </c>
      <c r="D335" s="154">
        <v>3427.2</v>
      </c>
      <c r="E335" s="155">
        <v>44747</v>
      </c>
      <c r="F335" s="154">
        <v>3427.2</v>
      </c>
      <c r="G335" s="156">
        <f>Tabla18[[#This Row],[Importe]]-Tabla18[[#This Row],[Pagado]]</f>
        <v>0</v>
      </c>
      <c r="H335" s="153" t="s">
        <v>10</v>
      </c>
    </row>
    <row r="336" spans="1:8" x14ac:dyDescent="0.25">
      <c r="A336" s="73">
        <v>44746</v>
      </c>
      <c r="B336" s="74" t="s">
        <v>21613</v>
      </c>
      <c r="C336" s="75" t="s">
        <v>114</v>
      </c>
      <c r="D336" s="81">
        <v>11922.6</v>
      </c>
      <c r="E336" s="151">
        <v>44747</v>
      </c>
      <c r="F336" s="81">
        <v>11922.6</v>
      </c>
      <c r="G336" s="156">
        <f>Tabla18[[#This Row],[Importe]]-Tabla18[[#This Row],[Pagado]]</f>
        <v>0</v>
      </c>
      <c r="H336" s="75" t="s">
        <v>10</v>
      </c>
    </row>
    <row r="337" spans="1:8" x14ac:dyDescent="0.25">
      <c r="A337" s="148">
        <v>44746</v>
      </c>
      <c r="B337" s="149" t="s">
        <v>21614</v>
      </c>
      <c r="C337" s="153" t="s">
        <v>2151</v>
      </c>
      <c r="D337" s="154">
        <v>7033.6</v>
      </c>
      <c r="E337" s="155">
        <v>44746</v>
      </c>
      <c r="F337" s="154">
        <v>7033.6</v>
      </c>
      <c r="G337" s="156">
        <f>Tabla18[[#This Row],[Importe]]-Tabla18[[#This Row],[Pagado]]</f>
        <v>0</v>
      </c>
      <c r="H337" s="153" t="s">
        <v>10</v>
      </c>
    </row>
    <row r="338" spans="1:8" x14ac:dyDescent="0.25">
      <c r="A338" s="73">
        <v>44746</v>
      </c>
      <c r="B338" s="74" t="s">
        <v>21615</v>
      </c>
      <c r="C338" s="75" t="s">
        <v>345</v>
      </c>
      <c r="D338" s="81">
        <v>319</v>
      </c>
      <c r="E338" s="151">
        <v>44746</v>
      </c>
      <c r="F338" s="81">
        <v>319</v>
      </c>
      <c r="G338" s="156">
        <f>Tabla18[[#This Row],[Importe]]-Tabla18[[#This Row],[Pagado]]</f>
        <v>0</v>
      </c>
      <c r="H338" s="75" t="s">
        <v>10</v>
      </c>
    </row>
    <row r="339" spans="1:8" x14ac:dyDescent="0.25">
      <c r="A339" s="148">
        <v>44746</v>
      </c>
      <c r="B339" s="149" t="s">
        <v>21616</v>
      </c>
      <c r="C339" s="153" t="s">
        <v>105</v>
      </c>
      <c r="D339" s="154">
        <v>1428</v>
      </c>
      <c r="E339" s="155">
        <v>44747</v>
      </c>
      <c r="F339" s="154">
        <v>1428</v>
      </c>
      <c r="G339" s="156">
        <f>Tabla18[[#This Row],[Importe]]-Tabla18[[#This Row],[Pagado]]</f>
        <v>0</v>
      </c>
      <c r="H339" s="153" t="s">
        <v>10</v>
      </c>
    </row>
    <row r="340" spans="1:8" x14ac:dyDescent="0.25">
      <c r="A340" s="73">
        <v>44746</v>
      </c>
      <c r="B340" s="74" t="s">
        <v>21617</v>
      </c>
      <c r="C340" s="75" t="s">
        <v>348</v>
      </c>
      <c r="D340" s="81">
        <v>2828</v>
      </c>
      <c r="E340" s="151">
        <v>44746</v>
      </c>
      <c r="F340" s="81">
        <v>2828</v>
      </c>
      <c r="G340" s="156">
        <f>Tabla18[[#This Row],[Importe]]-Tabla18[[#This Row],[Pagado]]</f>
        <v>0</v>
      </c>
      <c r="H340" s="75" t="s">
        <v>10</v>
      </c>
    </row>
    <row r="341" spans="1:8" x14ac:dyDescent="0.25">
      <c r="A341" s="148">
        <v>44746</v>
      </c>
      <c r="B341" s="149" t="s">
        <v>21618</v>
      </c>
      <c r="C341" s="153" t="s">
        <v>22</v>
      </c>
      <c r="D341" s="154">
        <v>71586.399999999994</v>
      </c>
      <c r="E341" s="155">
        <v>44747</v>
      </c>
      <c r="F341" s="154">
        <v>71586.399999999994</v>
      </c>
      <c r="G341" s="156">
        <f>Tabla18[[#This Row],[Importe]]-Tabla18[[#This Row],[Pagado]]</f>
        <v>0</v>
      </c>
      <c r="H341" s="153" t="s">
        <v>10</v>
      </c>
    </row>
    <row r="342" spans="1:8" x14ac:dyDescent="0.25">
      <c r="A342" s="73">
        <v>44746</v>
      </c>
      <c r="B342" s="74" t="s">
        <v>21619</v>
      </c>
      <c r="C342" s="75" t="s">
        <v>407</v>
      </c>
      <c r="D342" s="81">
        <v>9400</v>
      </c>
      <c r="E342" s="151">
        <v>44746</v>
      </c>
      <c r="F342" s="81">
        <v>9400</v>
      </c>
      <c r="G342" s="156">
        <f>Tabla18[[#This Row],[Importe]]-Tabla18[[#This Row],[Pagado]]</f>
        <v>0</v>
      </c>
      <c r="H342" s="75" t="s">
        <v>10</v>
      </c>
    </row>
    <row r="343" spans="1:8" x14ac:dyDescent="0.25">
      <c r="A343" s="148">
        <v>44746</v>
      </c>
      <c r="B343" s="149" t="s">
        <v>21620</v>
      </c>
      <c r="C343" s="153" t="s">
        <v>83</v>
      </c>
      <c r="D343" s="154">
        <v>11792.46</v>
      </c>
      <c r="E343" s="155">
        <v>44746</v>
      </c>
      <c r="F343" s="154">
        <v>11792.46</v>
      </c>
      <c r="G343" s="156">
        <f>Tabla18[[#This Row],[Importe]]-Tabla18[[#This Row],[Pagado]]</f>
        <v>0</v>
      </c>
      <c r="H343" s="153" t="s">
        <v>10</v>
      </c>
    </row>
    <row r="344" spans="1:8" x14ac:dyDescent="0.25">
      <c r="A344" s="73">
        <v>44746</v>
      </c>
      <c r="B344" s="74" t="s">
        <v>21621</v>
      </c>
      <c r="C344" s="75" t="s">
        <v>9</v>
      </c>
      <c r="D344" s="81">
        <v>7376.4</v>
      </c>
      <c r="E344" s="151">
        <v>44746</v>
      </c>
      <c r="F344" s="81">
        <v>7376.4</v>
      </c>
      <c r="G344" s="156">
        <f>Tabla18[[#This Row],[Importe]]-Tabla18[[#This Row],[Pagado]]</f>
        <v>0</v>
      </c>
      <c r="H344" s="75" t="s">
        <v>10</v>
      </c>
    </row>
    <row r="345" spans="1:8" x14ac:dyDescent="0.25">
      <c r="A345" s="148">
        <v>44746</v>
      </c>
      <c r="B345" s="149" t="s">
        <v>21622</v>
      </c>
      <c r="C345" s="153" t="s">
        <v>93</v>
      </c>
      <c r="D345" s="154">
        <v>3626</v>
      </c>
      <c r="E345" s="155">
        <v>44749</v>
      </c>
      <c r="F345" s="154">
        <v>3626</v>
      </c>
      <c r="G345" s="156">
        <f>Tabla18[[#This Row],[Importe]]-Tabla18[[#This Row],[Pagado]]</f>
        <v>0</v>
      </c>
      <c r="H345" s="153" t="s">
        <v>10</v>
      </c>
    </row>
    <row r="346" spans="1:8" x14ac:dyDescent="0.25">
      <c r="A346" s="73">
        <v>44746</v>
      </c>
      <c r="B346" s="74" t="s">
        <v>21623</v>
      </c>
      <c r="C346" s="75" t="s">
        <v>99</v>
      </c>
      <c r="D346" s="81">
        <v>1620.6</v>
      </c>
      <c r="E346" s="151">
        <v>44748</v>
      </c>
      <c r="F346" s="81">
        <v>1620.6</v>
      </c>
      <c r="G346" s="156">
        <f>Tabla18[[#This Row],[Importe]]-Tabla18[[#This Row],[Pagado]]</f>
        <v>0</v>
      </c>
      <c r="H346" s="75" t="s">
        <v>10</v>
      </c>
    </row>
    <row r="347" spans="1:8" x14ac:dyDescent="0.25">
      <c r="A347" s="148">
        <v>44746</v>
      </c>
      <c r="B347" s="149" t="s">
        <v>21624</v>
      </c>
      <c r="C347" s="153" t="s">
        <v>12202</v>
      </c>
      <c r="D347" s="154">
        <v>2460</v>
      </c>
      <c r="E347" s="155">
        <v>44746</v>
      </c>
      <c r="F347" s="154">
        <v>2460</v>
      </c>
      <c r="G347" s="156">
        <f>Tabla18[[#This Row],[Importe]]-Tabla18[[#This Row],[Pagado]]</f>
        <v>0</v>
      </c>
      <c r="H347" s="153" t="s">
        <v>10</v>
      </c>
    </row>
    <row r="348" spans="1:8" x14ac:dyDescent="0.25">
      <c r="A348" s="73">
        <v>44746</v>
      </c>
      <c r="B348" s="74" t="s">
        <v>21625</v>
      </c>
      <c r="C348" s="75" t="s">
        <v>21626</v>
      </c>
      <c r="D348" s="81">
        <v>0</v>
      </c>
      <c r="E348" s="157" t="s">
        <v>189</v>
      </c>
      <c r="F348" s="81">
        <v>0</v>
      </c>
      <c r="G348" s="156">
        <f>Tabla18[[#This Row],[Importe]]-Tabla18[[#This Row],[Pagado]]</f>
        <v>0</v>
      </c>
      <c r="H348" s="75" t="s">
        <v>189</v>
      </c>
    </row>
    <row r="349" spans="1:8" x14ac:dyDescent="0.25">
      <c r="A349" s="148">
        <v>44746</v>
      </c>
      <c r="B349" s="149" t="s">
        <v>21627</v>
      </c>
      <c r="C349" s="153" t="s">
        <v>31</v>
      </c>
      <c r="D349" s="154">
        <v>2710.5</v>
      </c>
      <c r="E349" s="155">
        <v>44746</v>
      </c>
      <c r="F349" s="154">
        <v>2710.5</v>
      </c>
      <c r="G349" s="156">
        <f>Tabla18[[#This Row],[Importe]]-Tabla18[[#This Row],[Pagado]]</f>
        <v>0</v>
      </c>
      <c r="H349" s="153" t="s">
        <v>10</v>
      </c>
    </row>
    <row r="350" spans="1:8" x14ac:dyDescent="0.25">
      <c r="A350" s="73">
        <v>44746</v>
      </c>
      <c r="B350" s="74" t="s">
        <v>21628</v>
      </c>
      <c r="C350" s="75" t="s">
        <v>107</v>
      </c>
      <c r="D350" s="81">
        <v>9196.7999999999993</v>
      </c>
      <c r="E350" s="151">
        <v>44746</v>
      </c>
      <c r="F350" s="81">
        <v>9196.7999999999993</v>
      </c>
      <c r="G350" s="156">
        <f>Tabla18[[#This Row],[Importe]]-Tabla18[[#This Row],[Pagado]]</f>
        <v>0</v>
      </c>
      <c r="H350" s="75" t="s">
        <v>10</v>
      </c>
    </row>
    <row r="351" spans="1:8" x14ac:dyDescent="0.25">
      <c r="A351" s="148">
        <v>44746</v>
      </c>
      <c r="B351" s="149" t="s">
        <v>21629</v>
      </c>
      <c r="C351" s="153" t="s">
        <v>31</v>
      </c>
      <c r="D351" s="154">
        <v>5799.6</v>
      </c>
      <c r="E351" s="155">
        <v>44746</v>
      </c>
      <c r="F351" s="154">
        <v>5799.6</v>
      </c>
      <c r="G351" s="156">
        <f>Tabla18[[#This Row],[Importe]]-Tabla18[[#This Row],[Pagado]]</f>
        <v>0</v>
      </c>
      <c r="H351" s="153" t="s">
        <v>10</v>
      </c>
    </row>
    <row r="352" spans="1:8" x14ac:dyDescent="0.25">
      <c r="A352" s="73">
        <v>44746</v>
      </c>
      <c r="B352" s="74" t="s">
        <v>21630</v>
      </c>
      <c r="C352" s="75" t="s">
        <v>146</v>
      </c>
      <c r="D352" s="81">
        <v>3628.1</v>
      </c>
      <c r="E352" s="151">
        <v>44746</v>
      </c>
      <c r="F352" s="81">
        <v>3628.1</v>
      </c>
      <c r="G352" s="156">
        <f>Tabla18[[#This Row],[Importe]]-Tabla18[[#This Row],[Pagado]]</f>
        <v>0</v>
      </c>
      <c r="H352" s="75" t="s">
        <v>10</v>
      </c>
    </row>
    <row r="353" spans="1:8" x14ac:dyDescent="0.25">
      <c r="A353" s="148">
        <v>44746</v>
      </c>
      <c r="B353" s="149" t="s">
        <v>21631</v>
      </c>
      <c r="C353" s="153" t="s">
        <v>664</v>
      </c>
      <c r="D353" s="154">
        <v>7002.1</v>
      </c>
      <c r="E353" s="155">
        <v>44746</v>
      </c>
      <c r="F353" s="154">
        <v>7002.1</v>
      </c>
      <c r="G353" s="156">
        <f>Tabla18[[#This Row],[Importe]]-Tabla18[[#This Row],[Pagado]]</f>
        <v>0</v>
      </c>
      <c r="H353" s="153" t="s">
        <v>10</v>
      </c>
    </row>
    <row r="354" spans="1:8" x14ac:dyDescent="0.25">
      <c r="A354" s="73">
        <v>44746</v>
      </c>
      <c r="B354" s="74" t="s">
        <v>21632</v>
      </c>
      <c r="C354" s="75" t="s">
        <v>27</v>
      </c>
      <c r="D354" s="81">
        <v>3587.3</v>
      </c>
      <c r="E354" s="151">
        <v>44746</v>
      </c>
      <c r="F354" s="81">
        <v>3587.3</v>
      </c>
      <c r="G354" s="156">
        <f>Tabla18[[#This Row],[Importe]]-Tabla18[[#This Row],[Pagado]]</f>
        <v>0</v>
      </c>
      <c r="H354" s="75" t="s">
        <v>10</v>
      </c>
    </row>
    <row r="355" spans="1:8" x14ac:dyDescent="0.25">
      <c r="A355" s="148">
        <v>44746</v>
      </c>
      <c r="B355" s="149" t="s">
        <v>21633</v>
      </c>
      <c r="C355" s="153" t="s">
        <v>214</v>
      </c>
      <c r="D355" s="154">
        <v>10609.6</v>
      </c>
      <c r="E355" s="155">
        <v>44746</v>
      </c>
      <c r="F355" s="154">
        <v>10609.6</v>
      </c>
      <c r="G355" s="156">
        <f>Tabla18[[#This Row],[Importe]]-Tabla18[[#This Row],[Pagado]]</f>
        <v>0</v>
      </c>
      <c r="H355" s="153" t="s">
        <v>10</v>
      </c>
    </row>
    <row r="356" spans="1:8" x14ac:dyDescent="0.25">
      <c r="A356" s="73">
        <v>44746</v>
      </c>
      <c r="B356" s="74" t="s">
        <v>21634</v>
      </c>
      <c r="C356" s="75" t="s">
        <v>924</v>
      </c>
      <c r="D356" s="81">
        <v>13984.3</v>
      </c>
      <c r="E356" s="151">
        <v>44746</v>
      </c>
      <c r="F356" s="81">
        <v>13984.3</v>
      </c>
      <c r="G356" s="156">
        <f>Tabla18[[#This Row],[Importe]]-Tabla18[[#This Row],[Pagado]]</f>
        <v>0</v>
      </c>
      <c r="H356" s="75" t="s">
        <v>10</v>
      </c>
    </row>
    <row r="357" spans="1:8" x14ac:dyDescent="0.25">
      <c r="A357" s="148">
        <v>44746</v>
      </c>
      <c r="B357" s="149" t="s">
        <v>21635</v>
      </c>
      <c r="C357" s="153" t="s">
        <v>357</v>
      </c>
      <c r="D357" s="154">
        <v>688.2</v>
      </c>
      <c r="E357" s="155">
        <v>44746</v>
      </c>
      <c r="F357" s="154">
        <v>688.2</v>
      </c>
      <c r="G357" s="156">
        <f>Tabla18[[#This Row],[Importe]]-Tabla18[[#This Row],[Pagado]]</f>
        <v>0</v>
      </c>
      <c r="H357" s="153" t="s">
        <v>10</v>
      </c>
    </row>
    <row r="358" spans="1:8" x14ac:dyDescent="0.25">
      <c r="A358" s="73">
        <v>44746</v>
      </c>
      <c r="B358" s="74" t="s">
        <v>21636</v>
      </c>
      <c r="C358" s="75" t="s">
        <v>140</v>
      </c>
      <c r="D358" s="81">
        <v>5167.5</v>
      </c>
      <c r="E358" s="151">
        <v>44746</v>
      </c>
      <c r="F358" s="81">
        <v>5167.5</v>
      </c>
      <c r="G358" s="156">
        <f>Tabla18[[#This Row],[Importe]]-Tabla18[[#This Row],[Pagado]]</f>
        <v>0</v>
      </c>
      <c r="H358" s="75" t="s">
        <v>10</v>
      </c>
    </row>
    <row r="359" spans="1:8" x14ac:dyDescent="0.25">
      <c r="A359" s="148">
        <v>44746</v>
      </c>
      <c r="B359" s="149" t="s">
        <v>21637</v>
      </c>
      <c r="C359" s="153" t="s">
        <v>127</v>
      </c>
      <c r="D359" s="154">
        <v>5992.5</v>
      </c>
      <c r="E359" s="155">
        <v>44746</v>
      </c>
      <c r="F359" s="154">
        <v>5992.5</v>
      </c>
      <c r="G359" s="156">
        <f>Tabla18[[#This Row],[Importe]]-Tabla18[[#This Row],[Pagado]]</f>
        <v>0</v>
      </c>
      <c r="H359" s="153" t="s">
        <v>10</v>
      </c>
    </row>
    <row r="360" spans="1:8" x14ac:dyDescent="0.25">
      <c r="A360" s="73">
        <v>44746</v>
      </c>
      <c r="B360" s="74" t="s">
        <v>21638</v>
      </c>
      <c r="C360" s="75" t="s">
        <v>129</v>
      </c>
      <c r="D360" s="81">
        <v>5623.7</v>
      </c>
      <c r="E360" s="151">
        <v>44746</v>
      </c>
      <c r="F360" s="81">
        <v>5623.7</v>
      </c>
      <c r="G360" s="156">
        <f>Tabla18[[#This Row],[Importe]]-Tabla18[[#This Row],[Pagado]]</f>
        <v>0</v>
      </c>
      <c r="H360" s="75" t="s">
        <v>10</v>
      </c>
    </row>
    <row r="361" spans="1:8" x14ac:dyDescent="0.25">
      <c r="A361" s="148">
        <v>44746</v>
      </c>
      <c r="B361" s="149" t="s">
        <v>21639</v>
      </c>
      <c r="C361" s="153" t="s">
        <v>137</v>
      </c>
      <c r="D361" s="154">
        <v>3700</v>
      </c>
      <c r="E361" s="155">
        <v>44746</v>
      </c>
      <c r="F361" s="154">
        <v>3700</v>
      </c>
      <c r="G361" s="156">
        <f>Tabla18[[#This Row],[Importe]]-Tabla18[[#This Row],[Pagado]]</f>
        <v>0</v>
      </c>
      <c r="H361" s="153" t="s">
        <v>10</v>
      </c>
    </row>
    <row r="362" spans="1:8" x14ac:dyDescent="0.25">
      <c r="A362" s="73">
        <v>44746</v>
      </c>
      <c r="B362" s="74" t="s">
        <v>21640</v>
      </c>
      <c r="C362" s="75" t="s">
        <v>11033</v>
      </c>
      <c r="D362" s="81">
        <v>3898.8</v>
      </c>
      <c r="E362" s="151">
        <v>44746</v>
      </c>
      <c r="F362" s="81">
        <v>3898.8</v>
      </c>
      <c r="G362" s="156">
        <f>Tabla18[[#This Row],[Importe]]-Tabla18[[#This Row],[Pagado]]</f>
        <v>0</v>
      </c>
      <c r="H362" s="75" t="s">
        <v>10</v>
      </c>
    </row>
    <row r="363" spans="1:8" x14ac:dyDescent="0.25">
      <c r="A363" s="148">
        <v>44746</v>
      </c>
      <c r="B363" s="149" t="s">
        <v>21641</v>
      </c>
      <c r="C363" s="153" t="s">
        <v>333</v>
      </c>
      <c r="D363" s="154">
        <v>1429.06</v>
      </c>
      <c r="E363" s="155">
        <v>44746</v>
      </c>
      <c r="F363" s="154">
        <v>1429.06</v>
      </c>
      <c r="G363" s="156">
        <f>Tabla18[[#This Row],[Importe]]-Tabla18[[#This Row],[Pagado]]</f>
        <v>0</v>
      </c>
      <c r="H363" s="153" t="s">
        <v>10</v>
      </c>
    </row>
    <row r="364" spans="1:8" x14ac:dyDescent="0.25">
      <c r="A364" s="73">
        <v>44746</v>
      </c>
      <c r="B364" s="74" t="s">
        <v>21642</v>
      </c>
      <c r="C364" s="75" t="s">
        <v>16</v>
      </c>
      <c r="D364" s="81">
        <v>5882.4</v>
      </c>
      <c r="E364" s="151">
        <v>44746</v>
      </c>
      <c r="F364" s="81">
        <v>5882.4</v>
      </c>
      <c r="G364" s="156">
        <f>Tabla18[[#This Row],[Importe]]-Tabla18[[#This Row],[Pagado]]</f>
        <v>0</v>
      </c>
      <c r="H364" s="75" t="s">
        <v>10</v>
      </c>
    </row>
    <row r="365" spans="1:8" x14ac:dyDescent="0.25">
      <c r="A365" s="148">
        <v>44746</v>
      </c>
      <c r="B365" s="149" t="s">
        <v>21643</v>
      </c>
      <c r="C365" s="153" t="s">
        <v>212</v>
      </c>
      <c r="D365" s="154">
        <v>51595.199999999997</v>
      </c>
      <c r="E365" s="155">
        <v>44749</v>
      </c>
      <c r="F365" s="154">
        <v>51595.199999999997</v>
      </c>
      <c r="G365" s="156">
        <f>Tabla18[[#This Row],[Importe]]-Tabla18[[#This Row],[Pagado]]</f>
        <v>0</v>
      </c>
      <c r="H365" s="153" t="s">
        <v>10</v>
      </c>
    </row>
    <row r="366" spans="1:8" x14ac:dyDescent="0.25">
      <c r="A366" s="73">
        <v>44746</v>
      </c>
      <c r="B366" s="74" t="s">
        <v>21644</v>
      </c>
      <c r="C366" s="75" t="s">
        <v>49</v>
      </c>
      <c r="D366" s="81">
        <v>4672.8999999999996</v>
      </c>
      <c r="E366" s="151">
        <v>44746</v>
      </c>
      <c r="F366" s="81">
        <v>4672.8999999999996</v>
      </c>
      <c r="G366" s="156">
        <f>Tabla18[[#This Row],[Importe]]-Tabla18[[#This Row],[Pagado]]</f>
        <v>0</v>
      </c>
      <c r="H366" s="75" t="s">
        <v>10</v>
      </c>
    </row>
    <row r="367" spans="1:8" x14ac:dyDescent="0.25">
      <c r="A367" s="148">
        <v>44746</v>
      </c>
      <c r="B367" s="149" t="s">
        <v>21645</v>
      </c>
      <c r="C367" s="153" t="s">
        <v>365</v>
      </c>
      <c r="D367" s="154">
        <v>960</v>
      </c>
      <c r="E367" s="155">
        <v>44746</v>
      </c>
      <c r="F367" s="154">
        <v>960</v>
      </c>
      <c r="G367" s="156">
        <f>Tabla18[[#This Row],[Importe]]-Tabla18[[#This Row],[Pagado]]</f>
        <v>0</v>
      </c>
      <c r="H367" s="153" t="s">
        <v>10</v>
      </c>
    </row>
    <row r="368" spans="1:8" x14ac:dyDescent="0.25">
      <c r="A368" s="73">
        <v>44746</v>
      </c>
      <c r="B368" s="74" t="s">
        <v>21646</v>
      </c>
      <c r="C368" s="75" t="s">
        <v>154</v>
      </c>
      <c r="D368" s="81">
        <v>29663.9</v>
      </c>
      <c r="E368" s="151">
        <v>44749</v>
      </c>
      <c r="F368" s="81">
        <v>29663.9</v>
      </c>
      <c r="G368" s="156">
        <f>Tabla18[[#This Row],[Importe]]-Tabla18[[#This Row],[Pagado]]</f>
        <v>0</v>
      </c>
      <c r="H368" s="75" t="s">
        <v>10</v>
      </c>
    </row>
    <row r="369" spans="1:8" x14ac:dyDescent="0.25">
      <c r="A369" s="148">
        <v>44746</v>
      </c>
      <c r="B369" s="149" t="s">
        <v>21647</v>
      </c>
      <c r="C369" s="153" t="s">
        <v>173</v>
      </c>
      <c r="D369" s="154">
        <v>33552</v>
      </c>
      <c r="E369" s="155">
        <v>44747</v>
      </c>
      <c r="F369" s="154">
        <v>33552</v>
      </c>
      <c r="G369" s="156">
        <f>Tabla18[[#This Row],[Importe]]-Tabla18[[#This Row],[Pagado]]</f>
        <v>0</v>
      </c>
      <c r="H369" s="153" t="s">
        <v>10</v>
      </c>
    </row>
    <row r="370" spans="1:8" x14ac:dyDescent="0.25">
      <c r="A370" s="73">
        <v>44746</v>
      </c>
      <c r="B370" s="74" t="s">
        <v>21648</v>
      </c>
      <c r="C370" s="75" t="s">
        <v>218</v>
      </c>
      <c r="D370" s="81">
        <v>20124.5</v>
      </c>
      <c r="E370" s="151">
        <v>44750</v>
      </c>
      <c r="F370" s="81">
        <v>20124.5</v>
      </c>
      <c r="G370" s="156">
        <f>Tabla18[[#This Row],[Importe]]-Tabla18[[#This Row],[Pagado]]</f>
        <v>0</v>
      </c>
      <c r="H370" s="75" t="s">
        <v>10</v>
      </c>
    </row>
    <row r="371" spans="1:8" x14ac:dyDescent="0.25">
      <c r="A371" s="148">
        <v>44746</v>
      </c>
      <c r="B371" s="149" t="s">
        <v>21649</v>
      </c>
      <c r="C371" s="153" t="s">
        <v>224</v>
      </c>
      <c r="D371" s="154">
        <v>16152</v>
      </c>
      <c r="E371" s="155">
        <v>44760</v>
      </c>
      <c r="F371" s="154">
        <v>16152</v>
      </c>
      <c r="G371" s="156">
        <f>Tabla18[[#This Row],[Importe]]-Tabla18[[#This Row],[Pagado]]</f>
        <v>0</v>
      </c>
      <c r="H371" s="153" t="s">
        <v>10</v>
      </c>
    </row>
    <row r="372" spans="1:8" x14ac:dyDescent="0.25">
      <c r="A372" s="73">
        <v>44746</v>
      </c>
      <c r="B372" s="74" t="s">
        <v>21650</v>
      </c>
      <c r="C372" s="75" t="s">
        <v>142</v>
      </c>
      <c r="D372" s="81">
        <v>67911.399999999994</v>
      </c>
      <c r="E372" s="151">
        <v>44799</v>
      </c>
      <c r="F372" s="81">
        <v>67911.399999999994</v>
      </c>
      <c r="G372" s="156">
        <f>Tabla18[[#This Row],[Importe]]-Tabla18[[#This Row],[Pagado]]</f>
        <v>0</v>
      </c>
      <c r="H372" s="75" t="s">
        <v>10</v>
      </c>
    </row>
    <row r="373" spans="1:8" x14ac:dyDescent="0.25">
      <c r="A373" s="148">
        <v>44746</v>
      </c>
      <c r="B373" s="149" t="s">
        <v>21651</v>
      </c>
      <c r="C373" s="153" t="s">
        <v>206</v>
      </c>
      <c r="D373" s="154">
        <v>27468.6</v>
      </c>
      <c r="E373" s="155">
        <v>44750</v>
      </c>
      <c r="F373" s="154">
        <v>27468.6</v>
      </c>
      <c r="G373" s="156">
        <f>Tabla18[[#This Row],[Importe]]-Tabla18[[#This Row],[Pagado]]</f>
        <v>0</v>
      </c>
      <c r="H373" s="153" t="s">
        <v>10</v>
      </c>
    </row>
    <row r="374" spans="1:8" x14ac:dyDescent="0.25">
      <c r="A374" s="73">
        <v>44746</v>
      </c>
      <c r="B374" s="74" t="s">
        <v>21652</v>
      </c>
      <c r="C374" s="75" t="s">
        <v>208</v>
      </c>
      <c r="D374" s="81">
        <v>9122.7000000000007</v>
      </c>
      <c r="E374" s="151">
        <v>44749</v>
      </c>
      <c r="F374" s="81">
        <v>9122.7000000000007</v>
      </c>
      <c r="G374" s="156">
        <f>Tabla18[[#This Row],[Importe]]-Tabla18[[#This Row],[Pagado]]</f>
        <v>0</v>
      </c>
      <c r="H374" s="75" t="s">
        <v>10</v>
      </c>
    </row>
    <row r="375" spans="1:8" x14ac:dyDescent="0.25">
      <c r="A375" s="148">
        <v>44746</v>
      </c>
      <c r="B375" s="149" t="s">
        <v>21653</v>
      </c>
      <c r="C375" s="153" t="s">
        <v>312</v>
      </c>
      <c r="D375" s="154">
        <v>5415</v>
      </c>
      <c r="E375" s="155">
        <v>44746</v>
      </c>
      <c r="F375" s="154">
        <v>5415</v>
      </c>
      <c r="G375" s="156">
        <f>Tabla18[[#This Row],[Importe]]-Tabla18[[#This Row],[Pagado]]</f>
        <v>0</v>
      </c>
      <c r="H375" s="153" t="s">
        <v>10</v>
      </c>
    </row>
    <row r="376" spans="1:8" x14ac:dyDescent="0.25">
      <c r="A376" s="73">
        <v>44746</v>
      </c>
      <c r="B376" s="74" t="s">
        <v>21654</v>
      </c>
      <c r="C376" s="75" t="s">
        <v>142</v>
      </c>
      <c r="D376" s="81">
        <v>831.6</v>
      </c>
      <c r="E376" s="151">
        <v>44746</v>
      </c>
      <c r="F376" s="81">
        <v>831.6</v>
      </c>
      <c r="G376" s="156">
        <f>Tabla18[[#This Row],[Importe]]-Tabla18[[#This Row],[Pagado]]</f>
        <v>0</v>
      </c>
      <c r="H376" s="75" t="s">
        <v>10</v>
      </c>
    </row>
    <row r="377" spans="1:8" x14ac:dyDescent="0.25">
      <c r="A377" s="148">
        <v>44746</v>
      </c>
      <c r="B377" s="149" t="s">
        <v>21655</v>
      </c>
      <c r="C377" s="153" t="s">
        <v>198</v>
      </c>
      <c r="D377" s="154">
        <v>643.79999999999995</v>
      </c>
      <c r="E377" s="155">
        <v>44746</v>
      </c>
      <c r="F377" s="154">
        <v>643.79999999999995</v>
      </c>
      <c r="G377" s="156">
        <f>Tabla18[[#This Row],[Importe]]-Tabla18[[#This Row],[Pagado]]</f>
        <v>0</v>
      </c>
      <c r="H377" s="153" t="s">
        <v>10</v>
      </c>
    </row>
    <row r="378" spans="1:8" x14ac:dyDescent="0.25">
      <c r="A378" s="73">
        <v>44746</v>
      </c>
      <c r="B378" s="74" t="s">
        <v>21656</v>
      </c>
      <c r="C378" s="75" t="s">
        <v>161</v>
      </c>
      <c r="D378" s="81">
        <v>3833.2</v>
      </c>
      <c r="E378" s="151">
        <v>44746</v>
      </c>
      <c r="F378" s="81">
        <v>3833.2</v>
      </c>
      <c r="G378" s="156">
        <f>Tabla18[[#This Row],[Importe]]-Tabla18[[#This Row],[Pagado]]</f>
        <v>0</v>
      </c>
      <c r="H378" s="75" t="s">
        <v>10</v>
      </c>
    </row>
    <row r="379" spans="1:8" x14ac:dyDescent="0.25">
      <c r="A379" s="148">
        <v>44746</v>
      </c>
      <c r="B379" s="149" t="s">
        <v>21657</v>
      </c>
      <c r="C379" s="153" t="s">
        <v>359</v>
      </c>
      <c r="D379" s="154">
        <v>627.9</v>
      </c>
      <c r="E379" s="155">
        <v>44746</v>
      </c>
      <c r="F379" s="154">
        <v>627.9</v>
      </c>
      <c r="G379" s="156">
        <f>Tabla18[[#This Row],[Importe]]-Tabla18[[#This Row],[Pagado]]</f>
        <v>0</v>
      </c>
      <c r="H379" s="153" t="s">
        <v>10</v>
      </c>
    </row>
    <row r="380" spans="1:8" x14ac:dyDescent="0.25">
      <c r="A380" s="73">
        <v>44746</v>
      </c>
      <c r="B380" s="74" t="s">
        <v>21658</v>
      </c>
      <c r="C380" s="75" t="s">
        <v>31</v>
      </c>
      <c r="D380" s="81">
        <v>621.6</v>
      </c>
      <c r="E380" s="151">
        <v>44746</v>
      </c>
      <c r="F380" s="81">
        <v>621.6</v>
      </c>
      <c r="G380" s="156">
        <f>Tabla18[[#This Row],[Importe]]-Tabla18[[#This Row],[Pagado]]</f>
        <v>0</v>
      </c>
      <c r="H380" s="75" t="s">
        <v>10</v>
      </c>
    </row>
    <row r="381" spans="1:8" x14ac:dyDescent="0.25">
      <c r="A381" s="148">
        <v>44746</v>
      </c>
      <c r="B381" s="149" t="s">
        <v>21659</v>
      </c>
      <c r="C381" s="153" t="s">
        <v>5816</v>
      </c>
      <c r="D381" s="154">
        <v>10863.4</v>
      </c>
      <c r="E381" s="155">
        <v>44747</v>
      </c>
      <c r="F381" s="154">
        <v>10863.4</v>
      </c>
      <c r="G381" s="156">
        <f>Tabla18[[#This Row],[Importe]]-Tabla18[[#This Row],[Pagado]]</f>
        <v>0</v>
      </c>
      <c r="H381" s="153" t="s">
        <v>10</v>
      </c>
    </row>
    <row r="382" spans="1:8" x14ac:dyDescent="0.25">
      <c r="A382" s="73">
        <v>44746</v>
      </c>
      <c r="B382" s="74" t="s">
        <v>21660</v>
      </c>
      <c r="C382" s="75" t="s">
        <v>24</v>
      </c>
      <c r="D382" s="81">
        <v>3899.3</v>
      </c>
      <c r="E382" s="151">
        <v>44746</v>
      </c>
      <c r="F382" s="81">
        <v>3899.3</v>
      </c>
      <c r="G382" s="156">
        <f>Tabla18[[#This Row],[Importe]]-Tabla18[[#This Row],[Pagado]]</f>
        <v>0</v>
      </c>
      <c r="H382" s="75" t="s">
        <v>10</v>
      </c>
    </row>
    <row r="383" spans="1:8" x14ac:dyDescent="0.25">
      <c r="A383" s="148">
        <v>44746</v>
      </c>
      <c r="B383" s="149" t="s">
        <v>21661</v>
      </c>
      <c r="C383" s="153" t="s">
        <v>275</v>
      </c>
      <c r="D383" s="154">
        <v>68594.52</v>
      </c>
      <c r="E383" s="155">
        <v>44764</v>
      </c>
      <c r="F383" s="154">
        <v>68594.52</v>
      </c>
      <c r="G383" s="156">
        <f>Tabla18[[#This Row],[Importe]]-Tabla18[[#This Row],[Pagado]]</f>
        <v>0</v>
      </c>
      <c r="H383" s="153" t="s">
        <v>10</v>
      </c>
    </row>
    <row r="384" spans="1:8" x14ac:dyDescent="0.25">
      <c r="A384" s="73">
        <v>44746</v>
      </c>
      <c r="B384" s="74" t="s">
        <v>21662</v>
      </c>
      <c r="C384" s="75" t="s">
        <v>24</v>
      </c>
      <c r="D384" s="81">
        <v>993</v>
      </c>
      <c r="E384" s="151">
        <v>44746</v>
      </c>
      <c r="F384" s="81">
        <v>993</v>
      </c>
      <c r="G384" s="156">
        <f>Tabla18[[#This Row],[Importe]]-Tabla18[[#This Row],[Pagado]]</f>
        <v>0</v>
      </c>
      <c r="H384" s="75" t="s">
        <v>10</v>
      </c>
    </row>
    <row r="385" spans="1:8" x14ac:dyDescent="0.25">
      <c r="A385" s="148">
        <v>44746</v>
      </c>
      <c r="B385" s="149" t="s">
        <v>21663</v>
      </c>
      <c r="C385" s="153" t="s">
        <v>840</v>
      </c>
      <c r="D385" s="154">
        <v>26830</v>
      </c>
      <c r="E385" s="155">
        <v>44746</v>
      </c>
      <c r="F385" s="154">
        <v>26830</v>
      </c>
      <c r="G385" s="156">
        <f>Tabla18[[#This Row],[Importe]]-Tabla18[[#This Row],[Pagado]]</f>
        <v>0</v>
      </c>
      <c r="H385" s="153" t="s">
        <v>10</v>
      </c>
    </row>
    <row r="386" spans="1:8" x14ac:dyDescent="0.25">
      <c r="A386" s="73">
        <v>44746</v>
      </c>
      <c r="B386" s="74" t="s">
        <v>21664</v>
      </c>
      <c r="C386" s="75" t="s">
        <v>133</v>
      </c>
      <c r="D386" s="81">
        <v>8876.7999999999993</v>
      </c>
      <c r="E386" s="151">
        <v>44747</v>
      </c>
      <c r="F386" s="81">
        <v>8876.7999999999993</v>
      </c>
      <c r="G386" s="156">
        <f>Tabla18[[#This Row],[Importe]]-Tabla18[[#This Row],[Pagado]]</f>
        <v>0</v>
      </c>
      <c r="H386" s="75" t="s">
        <v>10</v>
      </c>
    </row>
    <row r="387" spans="1:8" x14ac:dyDescent="0.25">
      <c r="A387" s="148">
        <v>44746</v>
      </c>
      <c r="B387" s="149" t="s">
        <v>21665</v>
      </c>
      <c r="C387" s="153" t="s">
        <v>31</v>
      </c>
      <c r="D387" s="154">
        <v>718.2</v>
      </c>
      <c r="E387" s="155">
        <v>44746</v>
      </c>
      <c r="F387" s="154">
        <v>718.2</v>
      </c>
      <c r="G387" s="156">
        <f>Tabla18[[#This Row],[Importe]]-Tabla18[[#This Row],[Pagado]]</f>
        <v>0</v>
      </c>
      <c r="H387" s="153" t="s">
        <v>10</v>
      </c>
    </row>
    <row r="388" spans="1:8" x14ac:dyDescent="0.25">
      <c r="A388" s="73">
        <v>44746</v>
      </c>
      <c r="B388" s="74" t="s">
        <v>21666</v>
      </c>
      <c r="C388" s="75" t="s">
        <v>31</v>
      </c>
      <c r="D388" s="81">
        <v>1274.4000000000001</v>
      </c>
      <c r="E388" s="151">
        <v>44746</v>
      </c>
      <c r="F388" s="81">
        <v>1274.4000000000001</v>
      </c>
      <c r="G388" s="156">
        <f>Tabla18[[#This Row],[Importe]]-Tabla18[[#This Row],[Pagado]]</f>
        <v>0</v>
      </c>
      <c r="H388" s="75" t="s">
        <v>10</v>
      </c>
    </row>
    <row r="389" spans="1:8" x14ac:dyDescent="0.25">
      <c r="A389" s="148">
        <v>44746</v>
      </c>
      <c r="B389" s="149" t="s">
        <v>21667</v>
      </c>
      <c r="C389" s="153" t="s">
        <v>843</v>
      </c>
      <c r="D389" s="154">
        <v>8509.9</v>
      </c>
      <c r="E389" s="155">
        <v>44746</v>
      </c>
      <c r="F389" s="154">
        <v>8509.9</v>
      </c>
      <c r="G389" s="156">
        <f>Tabla18[[#This Row],[Importe]]-Tabla18[[#This Row],[Pagado]]</f>
        <v>0</v>
      </c>
      <c r="H389" s="153" t="s">
        <v>10</v>
      </c>
    </row>
    <row r="390" spans="1:8" x14ac:dyDescent="0.25">
      <c r="A390" s="73">
        <v>44746</v>
      </c>
      <c r="B390" s="74" t="s">
        <v>21668</v>
      </c>
      <c r="C390" s="75" t="s">
        <v>135</v>
      </c>
      <c r="D390" s="81">
        <v>1608.2</v>
      </c>
      <c r="E390" s="151">
        <v>44746</v>
      </c>
      <c r="F390" s="81">
        <v>1608.2</v>
      </c>
      <c r="G390" s="156">
        <f>Tabla18[[#This Row],[Importe]]-Tabla18[[#This Row],[Pagado]]</f>
        <v>0</v>
      </c>
      <c r="H390" s="75" t="s">
        <v>10</v>
      </c>
    </row>
    <row r="391" spans="1:8" x14ac:dyDescent="0.25">
      <c r="A391" s="148">
        <v>44746</v>
      </c>
      <c r="B391" s="149" t="s">
        <v>21669</v>
      </c>
      <c r="C391" s="153" t="s">
        <v>131</v>
      </c>
      <c r="D391" s="154">
        <v>8985.6</v>
      </c>
      <c r="E391" s="155">
        <v>44746</v>
      </c>
      <c r="F391" s="154">
        <v>8985.6</v>
      </c>
      <c r="G391" s="156">
        <f>Tabla18[[#This Row],[Importe]]-Tabla18[[#This Row],[Pagado]]</f>
        <v>0</v>
      </c>
      <c r="H391" s="153" t="s">
        <v>10</v>
      </c>
    </row>
    <row r="392" spans="1:8" x14ac:dyDescent="0.25">
      <c r="A392" s="73">
        <v>44746</v>
      </c>
      <c r="B392" s="74" t="s">
        <v>21670</v>
      </c>
      <c r="C392" s="75" t="s">
        <v>3971</v>
      </c>
      <c r="D392" s="81">
        <v>6340.2</v>
      </c>
      <c r="E392" s="151">
        <v>44746</v>
      </c>
      <c r="F392" s="81">
        <v>6340.2</v>
      </c>
      <c r="G392" s="156">
        <f>Tabla18[[#This Row],[Importe]]-Tabla18[[#This Row],[Pagado]]</f>
        <v>0</v>
      </c>
      <c r="H392" s="75" t="s">
        <v>10</v>
      </c>
    </row>
    <row r="393" spans="1:8" x14ac:dyDescent="0.25">
      <c r="A393" s="148">
        <v>44746</v>
      </c>
      <c r="B393" s="149" t="s">
        <v>21671</v>
      </c>
      <c r="C393" s="153" t="s">
        <v>654</v>
      </c>
      <c r="D393" s="154">
        <v>2832.7</v>
      </c>
      <c r="E393" s="155">
        <v>44746</v>
      </c>
      <c r="F393" s="154">
        <v>2832.7</v>
      </c>
      <c r="G393" s="156">
        <f>Tabla18[[#This Row],[Importe]]-Tabla18[[#This Row],[Pagado]]</f>
        <v>0</v>
      </c>
      <c r="H393" s="153" t="s">
        <v>10</v>
      </c>
    </row>
    <row r="394" spans="1:8" x14ac:dyDescent="0.25">
      <c r="A394" s="73">
        <v>44746</v>
      </c>
      <c r="B394" s="74" t="s">
        <v>21672</v>
      </c>
      <c r="C394" s="75" t="s">
        <v>191</v>
      </c>
      <c r="D394" s="81">
        <v>1701.7</v>
      </c>
      <c r="E394" s="151">
        <v>44746</v>
      </c>
      <c r="F394" s="81">
        <v>1701.7</v>
      </c>
      <c r="G394" s="156">
        <f>Tabla18[[#This Row],[Importe]]-Tabla18[[#This Row],[Pagado]]</f>
        <v>0</v>
      </c>
      <c r="H394" s="75" t="s">
        <v>10</v>
      </c>
    </row>
    <row r="395" spans="1:8" x14ac:dyDescent="0.25">
      <c r="A395" s="148">
        <v>44746</v>
      </c>
      <c r="B395" s="149" t="s">
        <v>21673</v>
      </c>
      <c r="C395" s="153" t="s">
        <v>175</v>
      </c>
      <c r="D395" s="154">
        <v>18100</v>
      </c>
      <c r="E395" s="155">
        <v>44746</v>
      </c>
      <c r="F395" s="154">
        <v>18100</v>
      </c>
      <c r="G395" s="156">
        <f>Tabla18[[#This Row],[Importe]]-Tabla18[[#This Row],[Pagado]]</f>
        <v>0</v>
      </c>
      <c r="H395" s="153" t="s">
        <v>10</v>
      </c>
    </row>
    <row r="396" spans="1:8" x14ac:dyDescent="0.25">
      <c r="A396" s="73">
        <v>44746</v>
      </c>
      <c r="B396" s="74" t="s">
        <v>21674</v>
      </c>
      <c r="C396" s="75" t="s">
        <v>45</v>
      </c>
      <c r="D396" s="81">
        <v>12153</v>
      </c>
      <c r="E396" s="151">
        <v>44746</v>
      </c>
      <c r="F396" s="81">
        <v>12153</v>
      </c>
      <c r="G396" s="156">
        <f>Tabla18[[#This Row],[Importe]]-Tabla18[[#This Row],[Pagado]]</f>
        <v>0</v>
      </c>
      <c r="H396" s="75" t="s">
        <v>10</v>
      </c>
    </row>
    <row r="397" spans="1:8" x14ac:dyDescent="0.25">
      <c r="A397" s="148">
        <v>44746</v>
      </c>
      <c r="B397" s="149" t="s">
        <v>21675</v>
      </c>
      <c r="C397" s="153" t="s">
        <v>222</v>
      </c>
      <c r="D397" s="154">
        <v>9852.6</v>
      </c>
      <c r="E397" s="155">
        <v>44746</v>
      </c>
      <c r="F397" s="154">
        <v>9852.6</v>
      </c>
      <c r="G397" s="156">
        <f>Tabla18[[#This Row],[Importe]]-Tabla18[[#This Row],[Pagado]]</f>
        <v>0</v>
      </c>
      <c r="H397" s="153" t="s">
        <v>10</v>
      </c>
    </row>
    <row r="398" spans="1:8" x14ac:dyDescent="0.25">
      <c r="A398" s="73">
        <v>44746</v>
      </c>
      <c r="B398" s="74" t="s">
        <v>21676</v>
      </c>
      <c r="C398" s="75" t="s">
        <v>216</v>
      </c>
      <c r="D398" s="81">
        <v>1792.8</v>
      </c>
      <c r="E398" s="151">
        <v>44746</v>
      </c>
      <c r="F398" s="81">
        <v>1792.8</v>
      </c>
      <c r="G398" s="156">
        <f>Tabla18[[#This Row],[Importe]]-Tabla18[[#This Row],[Pagado]]</f>
        <v>0</v>
      </c>
      <c r="H398" s="75" t="s">
        <v>10</v>
      </c>
    </row>
    <row r="399" spans="1:8" x14ac:dyDescent="0.25">
      <c r="A399" s="148">
        <v>44746</v>
      </c>
      <c r="B399" s="149" t="s">
        <v>21677</v>
      </c>
      <c r="C399" s="153" t="s">
        <v>233</v>
      </c>
      <c r="D399" s="154">
        <v>5153.8</v>
      </c>
      <c r="E399" s="155">
        <v>44746</v>
      </c>
      <c r="F399" s="154">
        <v>5153.8</v>
      </c>
      <c r="G399" s="156">
        <f>Tabla18[[#This Row],[Importe]]-Tabla18[[#This Row],[Pagado]]</f>
        <v>0</v>
      </c>
      <c r="H399" s="153" t="s">
        <v>10</v>
      </c>
    </row>
    <row r="400" spans="1:8" x14ac:dyDescent="0.25">
      <c r="A400" s="73">
        <v>44746</v>
      </c>
      <c r="B400" s="74" t="s">
        <v>21678</v>
      </c>
      <c r="C400" s="75" t="s">
        <v>62</v>
      </c>
      <c r="D400" s="81">
        <v>4200</v>
      </c>
      <c r="E400" s="151">
        <v>44746</v>
      </c>
      <c r="F400" s="81">
        <v>4200</v>
      </c>
      <c r="G400" s="156">
        <f>Tabla18[[#This Row],[Importe]]-Tabla18[[#This Row],[Pagado]]</f>
        <v>0</v>
      </c>
      <c r="H400" s="75" t="s">
        <v>10</v>
      </c>
    </row>
    <row r="401" spans="1:8" x14ac:dyDescent="0.25">
      <c r="A401" s="148">
        <v>44746</v>
      </c>
      <c r="B401" s="149" t="s">
        <v>21679</v>
      </c>
      <c r="C401" s="153" t="s">
        <v>31</v>
      </c>
      <c r="D401" s="154">
        <v>2061</v>
      </c>
      <c r="E401" s="155">
        <v>44746</v>
      </c>
      <c r="F401" s="154">
        <v>2061</v>
      </c>
      <c r="G401" s="156">
        <f>Tabla18[[#This Row],[Importe]]-Tabla18[[#This Row],[Pagado]]</f>
        <v>0</v>
      </c>
      <c r="H401" s="153" t="s">
        <v>10</v>
      </c>
    </row>
    <row r="402" spans="1:8" x14ac:dyDescent="0.25">
      <c r="A402" s="73">
        <v>44746</v>
      </c>
      <c r="B402" s="74" t="s">
        <v>21680</v>
      </c>
      <c r="C402" s="75" t="s">
        <v>3402</v>
      </c>
      <c r="D402" s="81">
        <v>1297.2</v>
      </c>
      <c r="E402" s="151">
        <v>44746</v>
      </c>
      <c r="F402" s="81">
        <v>1297.2</v>
      </c>
      <c r="G402" s="156">
        <f>Tabla18[[#This Row],[Importe]]-Tabla18[[#This Row],[Pagado]]</f>
        <v>0</v>
      </c>
      <c r="H402" s="75" t="s">
        <v>10</v>
      </c>
    </row>
    <row r="403" spans="1:8" x14ac:dyDescent="0.25">
      <c r="A403" s="148">
        <v>44746</v>
      </c>
      <c r="B403" s="149" t="s">
        <v>21681</v>
      </c>
      <c r="C403" s="153" t="s">
        <v>53</v>
      </c>
      <c r="D403" s="154">
        <v>1916.6</v>
      </c>
      <c r="E403" s="155">
        <v>44746</v>
      </c>
      <c r="F403" s="154">
        <v>1916.6</v>
      </c>
      <c r="G403" s="156">
        <f>Tabla18[[#This Row],[Importe]]-Tabla18[[#This Row],[Pagado]]</f>
        <v>0</v>
      </c>
      <c r="H403" s="153" t="s">
        <v>10</v>
      </c>
    </row>
    <row r="404" spans="1:8" x14ac:dyDescent="0.25">
      <c r="A404" s="73">
        <v>44746</v>
      </c>
      <c r="B404" s="74" t="s">
        <v>21682</v>
      </c>
      <c r="C404" s="75" t="s">
        <v>1378</v>
      </c>
      <c r="D404" s="81">
        <v>49984</v>
      </c>
      <c r="E404" s="151">
        <v>44747</v>
      </c>
      <c r="F404" s="81">
        <v>49984</v>
      </c>
      <c r="G404" s="156">
        <f>Tabla18[[#This Row],[Importe]]-Tabla18[[#This Row],[Pagado]]</f>
        <v>0</v>
      </c>
      <c r="H404" s="75" t="s">
        <v>10</v>
      </c>
    </row>
    <row r="405" spans="1:8" x14ac:dyDescent="0.25">
      <c r="A405" s="148">
        <v>44746</v>
      </c>
      <c r="B405" s="149" t="s">
        <v>21683</v>
      </c>
      <c r="C405" s="153" t="s">
        <v>15868</v>
      </c>
      <c r="D405" s="154">
        <v>30146.6</v>
      </c>
      <c r="E405" s="155">
        <v>44747</v>
      </c>
      <c r="F405" s="154">
        <v>30146.6</v>
      </c>
      <c r="G405" s="156">
        <f>Tabla18[[#This Row],[Importe]]-Tabla18[[#This Row],[Pagado]]</f>
        <v>0</v>
      </c>
      <c r="H405" s="153" t="s">
        <v>10</v>
      </c>
    </row>
    <row r="406" spans="1:8" x14ac:dyDescent="0.25">
      <c r="A406" s="73">
        <v>44746</v>
      </c>
      <c r="B406" s="74" t="s">
        <v>21684</v>
      </c>
      <c r="C406" s="75" t="s">
        <v>58</v>
      </c>
      <c r="D406" s="81">
        <v>4712.3999999999996</v>
      </c>
      <c r="E406" s="151">
        <v>44746</v>
      </c>
      <c r="F406" s="81">
        <v>4712.3999999999996</v>
      </c>
      <c r="G406" s="156">
        <f>Tabla18[[#This Row],[Importe]]-Tabla18[[#This Row],[Pagado]]</f>
        <v>0</v>
      </c>
      <c r="H406" s="75" t="s">
        <v>10</v>
      </c>
    </row>
    <row r="407" spans="1:8" x14ac:dyDescent="0.25">
      <c r="A407" s="148">
        <v>44746</v>
      </c>
      <c r="B407" s="149" t="s">
        <v>21685</v>
      </c>
      <c r="C407" s="153" t="s">
        <v>541</v>
      </c>
      <c r="D407" s="154">
        <v>44830.400000000001</v>
      </c>
      <c r="E407" s="155">
        <v>44747</v>
      </c>
      <c r="F407" s="154">
        <v>44830.400000000001</v>
      </c>
      <c r="G407" s="156">
        <f>Tabla18[[#This Row],[Importe]]-Tabla18[[#This Row],[Pagado]]</f>
        <v>0</v>
      </c>
      <c r="H407" s="153" t="s">
        <v>10</v>
      </c>
    </row>
    <row r="408" spans="1:8" x14ac:dyDescent="0.25">
      <c r="A408" s="73">
        <v>44746</v>
      </c>
      <c r="B408" s="74" t="s">
        <v>21686</v>
      </c>
      <c r="C408" s="75" t="s">
        <v>15039</v>
      </c>
      <c r="D408" s="81">
        <v>5000.8</v>
      </c>
      <c r="E408" s="151">
        <v>44746</v>
      </c>
      <c r="F408" s="81">
        <v>5000.8</v>
      </c>
      <c r="G408" s="156">
        <f>Tabla18[[#This Row],[Importe]]-Tabla18[[#This Row],[Pagado]]</f>
        <v>0</v>
      </c>
      <c r="H408" s="75" t="s">
        <v>10</v>
      </c>
    </row>
    <row r="409" spans="1:8" x14ac:dyDescent="0.25">
      <c r="A409" s="148">
        <v>44746</v>
      </c>
      <c r="B409" s="149" t="s">
        <v>21687</v>
      </c>
      <c r="C409" s="153" t="s">
        <v>698</v>
      </c>
      <c r="D409" s="154">
        <v>8532.5</v>
      </c>
      <c r="E409" s="155">
        <v>44746</v>
      </c>
      <c r="F409" s="154">
        <v>8532.5</v>
      </c>
      <c r="G409" s="156">
        <f>Tabla18[[#This Row],[Importe]]-Tabla18[[#This Row],[Pagado]]</f>
        <v>0</v>
      </c>
      <c r="H409" s="153" t="s">
        <v>10</v>
      </c>
    </row>
    <row r="410" spans="1:8" x14ac:dyDescent="0.25">
      <c r="A410" s="73">
        <v>44746</v>
      </c>
      <c r="B410" s="74" t="s">
        <v>21688</v>
      </c>
      <c r="C410" s="75" t="s">
        <v>69</v>
      </c>
      <c r="D410" s="81">
        <v>2468.8000000000002</v>
      </c>
      <c r="E410" s="151">
        <v>44746</v>
      </c>
      <c r="F410" s="81">
        <v>2468.8000000000002</v>
      </c>
      <c r="G410" s="156">
        <f>Tabla18[[#This Row],[Importe]]-Tabla18[[#This Row],[Pagado]]</f>
        <v>0</v>
      </c>
      <c r="H410" s="75" t="s">
        <v>10</v>
      </c>
    </row>
    <row r="411" spans="1:8" x14ac:dyDescent="0.25">
      <c r="A411" s="148">
        <v>44746</v>
      </c>
      <c r="B411" s="149" t="s">
        <v>21689</v>
      </c>
      <c r="C411" s="153" t="s">
        <v>179</v>
      </c>
      <c r="D411" s="154">
        <v>1699.2</v>
      </c>
      <c r="E411" s="155">
        <v>44746</v>
      </c>
      <c r="F411" s="154">
        <v>1699.2</v>
      </c>
      <c r="G411" s="156">
        <f>Tabla18[[#This Row],[Importe]]-Tabla18[[#This Row],[Pagado]]</f>
        <v>0</v>
      </c>
      <c r="H411" s="153" t="s">
        <v>10</v>
      </c>
    </row>
    <row r="412" spans="1:8" x14ac:dyDescent="0.25">
      <c r="A412" s="73">
        <v>44746</v>
      </c>
      <c r="B412" s="74" t="s">
        <v>21690</v>
      </c>
      <c r="C412" s="75" t="s">
        <v>857</v>
      </c>
      <c r="D412" s="81">
        <v>1012.6</v>
      </c>
      <c r="E412" s="151">
        <v>44746</v>
      </c>
      <c r="F412" s="81">
        <v>1012.6</v>
      </c>
      <c r="G412" s="156">
        <f>Tabla18[[#This Row],[Importe]]-Tabla18[[#This Row],[Pagado]]</f>
        <v>0</v>
      </c>
      <c r="H412" s="75" t="s">
        <v>10</v>
      </c>
    </row>
    <row r="413" spans="1:8" x14ac:dyDescent="0.25">
      <c r="A413" s="148">
        <v>44746</v>
      </c>
      <c r="B413" s="149" t="s">
        <v>21691</v>
      </c>
      <c r="C413" s="153" t="s">
        <v>53</v>
      </c>
      <c r="D413" s="154">
        <v>1147</v>
      </c>
      <c r="E413" s="155">
        <v>44746</v>
      </c>
      <c r="F413" s="154">
        <v>1147</v>
      </c>
      <c r="G413" s="156">
        <f>Tabla18[[#This Row],[Importe]]-Tabla18[[#This Row],[Pagado]]</f>
        <v>0</v>
      </c>
      <c r="H413" s="153" t="s">
        <v>10</v>
      </c>
    </row>
    <row r="414" spans="1:8" x14ac:dyDescent="0.25">
      <c r="A414" s="73">
        <v>44746</v>
      </c>
      <c r="B414" s="74" t="s">
        <v>21692</v>
      </c>
      <c r="C414" s="75" t="s">
        <v>698</v>
      </c>
      <c r="D414" s="81">
        <v>7680</v>
      </c>
      <c r="E414" s="151">
        <v>44746</v>
      </c>
      <c r="F414" s="81">
        <v>7680</v>
      </c>
      <c r="G414" s="156">
        <f>Tabla18[[#This Row],[Importe]]-Tabla18[[#This Row],[Pagado]]</f>
        <v>0</v>
      </c>
      <c r="H414" s="75" t="s">
        <v>10</v>
      </c>
    </row>
    <row r="415" spans="1:8" x14ac:dyDescent="0.25">
      <c r="A415" s="148">
        <v>44746</v>
      </c>
      <c r="B415" s="149" t="s">
        <v>21693</v>
      </c>
      <c r="C415" s="153" t="s">
        <v>7745</v>
      </c>
      <c r="D415" s="154">
        <v>25178.400000000001</v>
      </c>
      <c r="E415" s="155">
        <v>44746</v>
      </c>
      <c r="F415" s="154">
        <v>25178.400000000001</v>
      </c>
      <c r="G415" s="156">
        <f>Tabla18[[#This Row],[Importe]]-Tabla18[[#This Row],[Pagado]]</f>
        <v>0</v>
      </c>
      <c r="H415" s="153" t="s">
        <v>10</v>
      </c>
    </row>
    <row r="416" spans="1:8" x14ac:dyDescent="0.25">
      <c r="A416" s="73">
        <v>44746</v>
      </c>
      <c r="B416" s="74" t="s">
        <v>21694</v>
      </c>
      <c r="C416" s="75" t="s">
        <v>421</v>
      </c>
      <c r="D416" s="81">
        <v>14069.4</v>
      </c>
      <c r="E416" s="151">
        <v>44762</v>
      </c>
      <c r="F416" s="81">
        <v>14069.4</v>
      </c>
      <c r="G416" s="156">
        <f>Tabla18[[#This Row],[Importe]]-Tabla18[[#This Row],[Pagado]]</f>
        <v>0</v>
      </c>
      <c r="H416" s="75" t="s">
        <v>10</v>
      </c>
    </row>
    <row r="417" spans="1:8" x14ac:dyDescent="0.25">
      <c r="A417" s="148">
        <v>44746</v>
      </c>
      <c r="B417" s="149" t="s">
        <v>21695</v>
      </c>
      <c r="C417" s="153" t="s">
        <v>10678</v>
      </c>
      <c r="D417" s="154">
        <v>4539.1000000000004</v>
      </c>
      <c r="E417" s="155">
        <v>44746</v>
      </c>
      <c r="F417" s="154">
        <v>4539.1000000000004</v>
      </c>
      <c r="G417" s="156">
        <f>Tabla18[[#This Row],[Importe]]-Tabla18[[#This Row],[Pagado]]</f>
        <v>0</v>
      </c>
      <c r="H417" s="153" t="s">
        <v>10</v>
      </c>
    </row>
    <row r="418" spans="1:8" x14ac:dyDescent="0.25">
      <c r="A418" s="73">
        <v>44746</v>
      </c>
      <c r="B418" s="74" t="s">
        <v>21696</v>
      </c>
      <c r="C418" s="75" t="s">
        <v>56</v>
      </c>
      <c r="D418" s="81">
        <v>7006.3</v>
      </c>
      <c r="E418" s="151">
        <v>44746</v>
      </c>
      <c r="F418" s="81">
        <v>7006.3</v>
      </c>
      <c r="G418" s="156">
        <f>Tabla18[[#This Row],[Importe]]-Tabla18[[#This Row],[Pagado]]</f>
        <v>0</v>
      </c>
      <c r="H418" s="75" t="s">
        <v>10</v>
      </c>
    </row>
    <row r="419" spans="1:8" x14ac:dyDescent="0.25">
      <c r="A419" s="148">
        <v>44746</v>
      </c>
      <c r="B419" s="149" t="s">
        <v>21697</v>
      </c>
      <c r="C419" s="153" t="s">
        <v>419</v>
      </c>
      <c r="D419" s="154">
        <v>5624.4</v>
      </c>
      <c r="E419" s="155">
        <v>44746</v>
      </c>
      <c r="F419" s="154">
        <v>5624.4</v>
      </c>
      <c r="G419" s="156">
        <f>Tabla18[[#This Row],[Importe]]-Tabla18[[#This Row],[Pagado]]</f>
        <v>0</v>
      </c>
      <c r="H419" s="153" t="s">
        <v>10</v>
      </c>
    </row>
    <row r="420" spans="1:8" x14ac:dyDescent="0.25">
      <c r="A420" s="73">
        <v>44746</v>
      </c>
      <c r="B420" s="74" t="s">
        <v>21698</v>
      </c>
      <c r="C420" s="75" t="s">
        <v>249</v>
      </c>
      <c r="D420" s="81">
        <v>1731.6</v>
      </c>
      <c r="E420" s="151">
        <v>44746</v>
      </c>
      <c r="F420" s="81">
        <v>1731.6</v>
      </c>
      <c r="G420" s="156">
        <f>Tabla18[[#This Row],[Importe]]-Tabla18[[#This Row],[Pagado]]</f>
        <v>0</v>
      </c>
      <c r="H420" s="75" t="s">
        <v>10</v>
      </c>
    </row>
    <row r="421" spans="1:8" x14ac:dyDescent="0.25">
      <c r="A421" s="148">
        <v>44746</v>
      </c>
      <c r="B421" s="149" t="s">
        <v>21699</v>
      </c>
      <c r="C421" s="153" t="s">
        <v>2139</v>
      </c>
      <c r="D421" s="154">
        <v>6029.1</v>
      </c>
      <c r="E421" s="155">
        <v>44746</v>
      </c>
      <c r="F421" s="154">
        <v>6029.1</v>
      </c>
      <c r="G421" s="156">
        <f>Tabla18[[#This Row],[Importe]]-Tabla18[[#This Row],[Pagado]]</f>
        <v>0</v>
      </c>
      <c r="H421" s="153" t="s">
        <v>10</v>
      </c>
    </row>
    <row r="422" spans="1:8" x14ac:dyDescent="0.25">
      <c r="A422" s="73">
        <v>44746</v>
      </c>
      <c r="B422" s="74" t="s">
        <v>21700</v>
      </c>
      <c r="C422" s="75" t="s">
        <v>732</v>
      </c>
      <c r="D422" s="81">
        <v>4072.5</v>
      </c>
      <c r="E422" s="151">
        <v>44746</v>
      </c>
      <c r="F422" s="81">
        <v>4072.5</v>
      </c>
      <c r="G422" s="156">
        <f>Tabla18[[#This Row],[Importe]]-Tabla18[[#This Row],[Pagado]]</f>
        <v>0</v>
      </c>
      <c r="H422" s="75" t="s">
        <v>10</v>
      </c>
    </row>
    <row r="423" spans="1:8" x14ac:dyDescent="0.25">
      <c r="A423" s="148">
        <v>44746</v>
      </c>
      <c r="B423" s="149" t="s">
        <v>21701</v>
      </c>
      <c r="C423" s="153" t="s">
        <v>9827</v>
      </c>
      <c r="D423" s="154">
        <v>3823.2</v>
      </c>
      <c r="E423" s="155">
        <v>44746</v>
      </c>
      <c r="F423" s="154">
        <v>3823.2</v>
      </c>
      <c r="G423" s="156">
        <f>Tabla18[[#This Row],[Importe]]-Tabla18[[#This Row],[Pagado]]</f>
        <v>0</v>
      </c>
      <c r="H423" s="153" t="s">
        <v>10</v>
      </c>
    </row>
    <row r="424" spans="1:8" x14ac:dyDescent="0.25">
      <c r="A424" s="73">
        <v>44746</v>
      </c>
      <c r="B424" s="74" t="s">
        <v>21702</v>
      </c>
      <c r="C424" s="75" t="s">
        <v>4136</v>
      </c>
      <c r="D424" s="81">
        <v>2353</v>
      </c>
      <c r="E424" s="151">
        <v>44746</v>
      </c>
      <c r="F424" s="81">
        <v>2353</v>
      </c>
      <c r="G424" s="156">
        <f>Tabla18[[#This Row],[Importe]]-Tabla18[[#This Row],[Pagado]]</f>
        <v>0</v>
      </c>
      <c r="H424" s="75" t="s">
        <v>10</v>
      </c>
    </row>
    <row r="425" spans="1:8" x14ac:dyDescent="0.25">
      <c r="A425" s="148">
        <v>44746</v>
      </c>
      <c r="B425" s="149" t="s">
        <v>21703</v>
      </c>
      <c r="C425" s="153" t="s">
        <v>681</v>
      </c>
      <c r="D425" s="154">
        <v>5.53</v>
      </c>
      <c r="E425" s="155">
        <v>44751</v>
      </c>
      <c r="F425" s="154">
        <v>5.53</v>
      </c>
      <c r="G425" s="156">
        <f>Tabla18[[#This Row],[Importe]]-Tabla18[[#This Row],[Pagado]]</f>
        <v>0</v>
      </c>
      <c r="H425" s="153" t="s">
        <v>10</v>
      </c>
    </row>
    <row r="426" spans="1:8" x14ac:dyDescent="0.25">
      <c r="A426" s="73">
        <v>44746</v>
      </c>
      <c r="B426" s="74" t="s">
        <v>21704</v>
      </c>
      <c r="C426" s="75" t="s">
        <v>843</v>
      </c>
      <c r="D426" s="81">
        <v>8755.2000000000007</v>
      </c>
      <c r="E426" s="151">
        <v>44746</v>
      </c>
      <c r="F426" s="81">
        <v>8755.2000000000007</v>
      </c>
      <c r="G426" s="156">
        <f>Tabla18[[#This Row],[Importe]]-Tabla18[[#This Row],[Pagado]]</f>
        <v>0</v>
      </c>
      <c r="H426" s="75" t="s">
        <v>10</v>
      </c>
    </row>
    <row r="427" spans="1:8" x14ac:dyDescent="0.25">
      <c r="A427" s="148">
        <v>44746</v>
      </c>
      <c r="B427" s="149" t="s">
        <v>21705</v>
      </c>
      <c r="C427" s="153" t="s">
        <v>10190</v>
      </c>
      <c r="D427" s="154">
        <v>17510.400000000001</v>
      </c>
      <c r="E427" s="155">
        <v>44746</v>
      </c>
      <c r="F427" s="154">
        <v>17510.400000000001</v>
      </c>
      <c r="G427" s="156">
        <f>Tabla18[[#This Row],[Importe]]-Tabla18[[#This Row],[Pagado]]</f>
        <v>0</v>
      </c>
      <c r="H427" s="153" t="s">
        <v>10</v>
      </c>
    </row>
    <row r="428" spans="1:8" x14ac:dyDescent="0.25">
      <c r="A428" s="73">
        <v>44746</v>
      </c>
      <c r="B428" s="74" t="s">
        <v>21706</v>
      </c>
      <c r="C428" s="75" t="s">
        <v>5345</v>
      </c>
      <c r="D428" s="81">
        <v>4334.3999999999996</v>
      </c>
      <c r="E428" s="151">
        <v>44747</v>
      </c>
      <c r="F428" s="81">
        <v>4334.3999999999996</v>
      </c>
      <c r="G428" s="156">
        <f>Tabla18[[#This Row],[Importe]]-Tabla18[[#This Row],[Pagado]]</f>
        <v>0</v>
      </c>
      <c r="H428" s="75" t="s">
        <v>10</v>
      </c>
    </row>
    <row r="429" spans="1:8" x14ac:dyDescent="0.25">
      <c r="A429" s="148">
        <v>44746</v>
      </c>
      <c r="B429" s="149" t="s">
        <v>21707</v>
      </c>
      <c r="C429" s="153" t="s">
        <v>284</v>
      </c>
      <c r="D429" s="154">
        <v>8712</v>
      </c>
      <c r="E429" s="155">
        <v>44747</v>
      </c>
      <c r="F429" s="154">
        <v>8712</v>
      </c>
      <c r="G429" s="156">
        <f>Tabla18[[#This Row],[Importe]]-Tabla18[[#This Row],[Pagado]]</f>
        <v>0</v>
      </c>
      <c r="H429" s="153" t="s">
        <v>10</v>
      </c>
    </row>
    <row r="430" spans="1:8" x14ac:dyDescent="0.25">
      <c r="A430" s="73">
        <v>44746</v>
      </c>
      <c r="B430" s="74" t="s">
        <v>21708</v>
      </c>
      <c r="C430" s="75" t="s">
        <v>282</v>
      </c>
      <c r="D430" s="81">
        <v>2476.8000000000002</v>
      </c>
      <c r="E430" s="151">
        <v>44747</v>
      </c>
      <c r="F430" s="81">
        <v>2476.8000000000002</v>
      </c>
      <c r="G430" s="156">
        <f>Tabla18[[#This Row],[Importe]]-Tabla18[[#This Row],[Pagado]]</f>
        <v>0</v>
      </c>
      <c r="H430" s="75" t="s">
        <v>10</v>
      </c>
    </row>
    <row r="431" spans="1:8" x14ac:dyDescent="0.25">
      <c r="A431" s="148">
        <v>44746</v>
      </c>
      <c r="B431" s="149" t="s">
        <v>21709</v>
      </c>
      <c r="C431" s="153" t="s">
        <v>280</v>
      </c>
      <c r="D431" s="154">
        <v>1260</v>
      </c>
      <c r="E431" s="155">
        <v>44747</v>
      </c>
      <c r="F431" s="154">
        <v>1260</v>
      </c>
      <c r="G431" s="156">
        <f>Tabla18[[#This Row],[Importe]]-Tabla18[[#This Row],[Pagado]]</f>
        <v>0</v>
      </c>
      <c r="H431" s="153" t="s">
        <v>10</v>
      </c>
    </row>
    <row r="432" spans="1:8" x14ac:dyDescent="0.25">
      <c r="A432" s="73">
        <v>44746</v>
      </c>
      <c r="B432" s="74" t="s">
        <v>21710</v>
      </c>
      <c r="C432" s="75" t="s">
        <v>10819</v>
      </c>
      <c r="D432" s="81">
        <v>1292</v>
      </c>
      <c r="E432" s="151">
        <v>44747</v>
      </c>
      <c r="F432" s="81">
        <v>1292</v>
      </c>
      <c r="G432" s="156">
        <f>Tabla18[[#This Row],[Importe]]-Tabla18[[#This Row],[Pagado]]</f>
        <v>0</v>
      </c>
      <c r="H432" s="75" t="s">
        <v>10</v>
      </c>
    </row>
    <row r="433" spans="1:8" x14ac:dyDescent="0.25">
      <c r="A433" s="148">
        <v>44746</v>
      </c>
      <c r="B433" s="149" t="s">
        <v>21711</v>
      </c>
      <c r="C433" s="153" t="s">
        <v>5345</v>
      </c>
      <c r="D433" s="154">
        <v>585</v>
      </c>
      <c r="E433" s="155">
        <v>44747</v>
      </c>
      <c r="F433" s="154">
        <v>585</v>
      </c>
      <c r="G433" s="156">
        <f>Tabla18[[#This Row],[Importe]]-Tabla18[[#This Row],[Pagado]]</f>
        <v>0</v>
      </c>
      <c r="H433" s="153" t="s">
        <v>10</v>
      </c>
    </row>
    <row r="434" spans="1:8" x14ac:dyDescent="0.25">
      <c r="A434" s="73">
        <v>44746</v>
      </c>
      <c r="B434" s="74" t="s">
        <v>21712</v>
      </c>
      <c r="C434" s="75" t="s">
        <v>196</v>
      </c>
      <c r="D434" s="81">
        <v>129755.9</v>
      </c>
      <c r="E434" s="151">
        <v>44750</v>
      </c>
      <c r="F434" s="81">
        <v>129755.9</v>
      </c>
      <c r="G434" s="156">
        <f>Tabla18[[#This Row],[Importe]]-Tabla18[[#This Row],[Pagado]]</f>
        <v>0</v>
      </c>
      <c r="H434" s="75" t="s">
        <v>10</v>
      </c>
    </row>
    <row r="435" spans="1:8" x14ac:dyDescent="0.25">
      <c r="A435" s="148">
        <v>44746</v>
      </c>
      <c r="B435" s="149" t="s">
        <v>21713</v>
      </c>
      <c r="C435" s="153" t="s">
        <v>196</v>
      </c>
      <c r="D435" s="154">
        <v>14947.2</v>
      </c>
      <c r="E435" s="155">
        <v>44750</v>
      </c>
      <c r="F435" s="154">
        <v>14947.2</v>
      </c>
      <c r="G435" s="156">
        <f>Tabla18[[#This Row],[Importe]]-Tabla18[[#This Row],[Pagado]]</f>
        <v>0</v>
      </c>
      <c r="H435" s="153" t="s">
        <v>10</v>
      </c>
    </row>
    <row r="436" spans="1:8" x14ac:dyDescent="0.25">
      <c r="A436" s="73">
        <v>44746</v>
      </c>
      <c r="B436" s="74" t="s">
        <v>21714</v>
      </c>
      <c r="C436" s="75" t="s">
        <v>654</v>
      </c>
      <c r="D436" s="81">
        <v>5681</v>
      </c>
      <c r="E436" s="151">
        <v>44753</v>
      </c>
      <c r="F436" s="81">
        <v>5681</v>
      </c>
      <c r="G436" s="156">
        <f>Tabla18[[#This Row],[Importe]]-Tabla18[[#This Row],[Pagado]]</f>
        <v>0</v>
      </c>
      <c r="H436" s="75" t="s">
        <v>10</v>
      </c>
    </row>
    <row r="437" spans="1:8" x14ac:dyDescent="0.25">
      <c r="A437" s="148">
        <v>44746</v>
      </c>
      <c r="B437" s="149" t="s">
        <v>21715</v>
      </c>
      <c r="C437" s="153" t="s">
        <v>296</v>
      </c>
      <c r="D437" s="154">
        <v>2738</v>
      </c>
      <c r="E437" s="155">
        <v>44746</v>
      </c>
      <c r="F437" s="154">
        <v>2738</v>
      </c>
      <c r="G437" s="156">
        <f>Tabla18[[#This Row],[Importe]]-Tabla18[[#This Row],[Pagado]]</f>
        <v>0</v>
      </c>
      <c r="H437" s="153" t="s">
        <v>10</v>
      </c>
    </row>
    <row r="438" spans="1:8" ht="31.5" x14ac:dyDescent="0.25">
      <c r="A438" s="73">
        <v>44746</v>
      </c>
      <c r="B438" s="74" t="s">
        <v>21716</v>
      </c>
      <c r="C438" s="75" t="s">
        <v>10840</v>
      </c>
      <c r="D438" s="81">
        <v>33388.199999999997</v>
      </c>
      <c r="E438" s="147" t="s">
        <v>21717</v>
      </c>
      <c r="F438" s="81">
        <f>32000+1388.2</f>
        <v>33388.199999999997</v>
      </c>
      <c r="G438" s="156">
        <f>Tabla18[[#This Row],[Importe]]-Tabla18[[#This Row],[Pagado]]</f>
        <v>0</v>
      </c>
      <c r="H438" s="75" t="s">
        <v>10</v>
      </c>
    </row>
    <row r="439" spans="1:8" x14ac:dyDescent="0.25">
      <c r="A439" s="148">
        <v>44746</v>
      </c>
      <c r="B439" s="149" t="s">
        <v>21718</v>
      </c>
      <c r="C439" s="153" t="s">
        <v>53</v>
      </c>
      <c r="D439" s="154">
        <v>1724.2</v>
      </c>
      <c r="E439" s="155">
        <v>44746</v>
      </c>
      <c r="F439" s="154">
        <v>1724.2</v>
      </c>
      <c r="G439" s="156">
        <f>Tabla18[[#This Row],[Importe]]-Tabla18[[#This Row],[Pagado]]</f>
        <v>0</v>
      </c>
      <c r="H439" s="153" t="s">
        <v>10</v>
      </c>
    </row>
    <row r="440" spans="1:8" x14ac:dyDescent="0.25">
      <c r="A440" s="73">
        <v>44746</v>
      </c>
      <c r="B440" s="74" t="s">
        <v>21719</v>
      </c>
      <c r="C440" s="75" t="s">
        <v>463</v>
      </c>
      <c r="D440" s="81">
        <v>550</v>
      </c>
      <c r="E440" s="151">
        <v>44746</v>
      </c>
      <c r="F440" s="81">
        <v>550</v>
      </c>
      <c r="G440" s="156">
        <f>Tabla18[[#This Row],[Importe]]-Tabla18[[#This Row],[Pagado]]</f>
        <v>0</v>
      </c>
      <c r="H440" s="75" t="s">
        <v>10</v>
      </c>
    </row>
    <row r="441" spans="1:8" x14ac:dyDescent="0.25">
      <c r="A441" s="148">
        <v>44746</v>
      </c>
      <c r="B441" s="149" t="s">
        <v>21720</v>
      </c>
      <c r="C441" s="153" t="s">
        <v>461</v>
      </c>
      <c r="D441" s="154">
        <v>394</v>
      </c>
      <c r="E441" s="155">
        <v>44747</v>
      </c>
      <c r="F441" s="154">
        <v>394</v>
      </c>
      <c r="G441" s="156">
        <f>Tabla18[[#This Row],[Importe]]-Tabla18[[#This Row],[Pagado]]</f>
        <v>0</v>
      </c>
      <c r="H441" s="153" t="s">
        <v>10</v>
      </c>
    </row>
    <row r="442" spans="1:8" x14ac:dyDescent="0.25">
      <c r="A442" s="73">
        <v>44746</v>
      </c>
      <c r="B442" s="74" t="s">
        <v>21721</v>
      </c>
      <c r="C442" s="75" t="s">
        <v>31</v>
      </c>
      <c r="D442" s="81">
        <v>43</v>
      </c>
      <c r="E442" s="151">
        <v>44746</v>
      </c>
      <c r="F442" s="81">
        <v>43</v>
      </c>
      <c r="G442" s="156">
        <f>Tabla18[[#This Row],[Importe]]-Tabla18[[#This Row],[Pagado]]</f>
        <v>0</v>
      </c>
      <c r="H442" s="75" t="s">
        <v>10</v>
      </c>
    </row>
    <row r="443" spans="1:8" x14ac:dyDescent="0.25">
      <c r="A443" s="148">
        <v>44746</v>
      </c>
      <c r="B443" s="149" t="s">
        <v>21722</v>
      </c>
      <c r="C443" s="153" t="s">
        <v>459</v>
      </c>
      <c r="D443" s="154">
        <v>213</v>
      </c>
      <c r="E443" s="155">
        <v>44747</v>
      </c>
      <c r="F443" s="154">
        <v>213</v>
      </c>
      <c r="G443" s="156">
        <f>Tabla18[[#This Row],[Importe]]-Tabla18[[#This Row],[Pagado]]</f>
        <v>0</v>
      </c>
      <c r="H443" s="153" t="s">
        <v>10</v>
      </c>
    </row>
    <row r="444" spans="1:8" x14ac:dyDescent="0.25">
      <c r="A444" s="73">
        <v>44746</v>
      </c>
      <c r="B444" s="74" t="s">
        <v>21723</v>
      </c>
      <c r="C444" s="75" t="s">
        <v>457</v>
      </c>
      <c r="D444" s="81">
        <v>198</v>
      </c>
      <c r="E444" s="151">
        <v>44747</v>
      </c>
      <c r="F444" s="81">
        <v>198</v>
      </c>
      <c r="G444" s="156">
        <f>Tabla18[[#This Row],[Importe]]-Tabla18[[#This Row],[Pagado]]</f>
        <v>0</v>
      </c>
      <c r="H444" s="75" t="s">
        <v>10</v>
      </c>
    </row>
    <row r="445" spans="1:8" x14ac:dyDescent="0.25">
      <c r="A445" s="148">
        <v>44746</v>
      </c>
      <c r="B445" s="149" t="s">
        <v>21724</v>
      </c>
      <c r="C445" s="153" t="s">
        <v>142</v>
      </c>
      <c r="D445" s="154">
        <v>73363.8</v>
      </c>
      <c r="E445" s="155">
        <v>44799</v>
      </c>
      <c r="F445" s="154">
        <v>73363.8</v>
      </c>
      <c r="G445" s="156">
        <f>Tabla18[[#This Row],[Importe]]-Tabla18[[#This Row],[Pagado]]</f>
        <v>0</v>
      </c>
      <c r="H445" s="153" t="s">
        <v>10</v>
      </c>
    </row>
    <row r="446" spans="1:8" x14ac:dyDescent="0.25">
      <c r="A446" s="73">
        <v>44746</v>
      </c>
      <c r="B446" s="74" t="s">
        <v>21725</v>
      </c>
      <c r="C446" s="75" t="s">
        <v>1174</v>
      </c>
      <c r="D446" s="81">
        <v>29859</v>
      </c>
      <c r="E446" s="151">
        <v>44746</v>
      </c>
      <c r="F446" s="81">
        <v>29859</v>
      </c>
      <c r="G446" s="156">
        <f>Tabla18[[#This Row],[Importe]]-Tabla18[[#This Row],[Pagado]]</f>
        <v>0</v>
      </c>
      <c r="H446" s="75" t="s">
        <v>10</v>
      </c>
    </row>
    <row r="447" spans="1:8" x14ac:dyDescent="0.25">
      <c r="A447" s="148">
        <v>44746</v>
      </c>
      <c r="B447" s="149" t="s">
        <v>21726</v>
      </c>
      <c r="C447" s="153" t="s">
        <v>31</v>
      </c>
      <c r="D447" s="154">
        <v>6</v>
      </c>
      <c r="E447" s="155">
        <v>44747</v>
      </c>
      <c r="F447" s="154">
        <v>6</v>
      </c>
      <c r="G447" s="156">
        <f>Tabla18[[#This Row],[Importe]]-Tabla18[[#This Row],[Pagado]]</f>
        <v>0</v>
      </c>
      <c r="H447" s="153" t="s">
        <v>10</v>
      </c>
    </row>
    <row r="448" spans="1:8" x14ac:dyDescent="0.25">
      <c r="A448" s="73">
        <v>44746</v>
      </c>
      <c r="B448" s="74" t="s">
        <v>21727</v>
      </c>
      <c r="C448" s="75" t="s">
        <v>246</v>
      </c>
      <c r="D448" s="81">
        <v>91455.8</v>
      </c>
      <c r="E448" s="151">
        <v>44747</v>
      </c>
      <c r="F448" s="81">
        <v>91455.8</v>
      </c>
      <c r="G448" s="156">
        <f>Tabla18[[#This Row],[Importe]]-Tabla18[[#This Row],[Pagado]]</f>
        <v>0</v>
      </c>
      <c r="H448" s="75" t="s">
        <v>10</v>
      </c>
    </row>
    <row r="449" spans="1:8" x14ac:dyDescent="0.25">
      <c r="A449" s="148">
        <v>44746</v>
      </c>
      <c r="B449" s="149" t="s">
        <v>21728</v>
      </c>
      <c r="C449" s="153" t="s">
        <v>31</v>
      </c>
      <c r="D449" s="154">
        <v>1388.4</v>
      </c>
      <c r="E449" s="155">
        <v>44747</v>
      </c>
      <c r="F449" s="154">
        <v>1388.4</v>
      </c>
      <c r="G449" s="156">
        <f>Tabla18[[#This Row],[Importe]]-Tabla18[[#This Row],[Pagado]]</f>
        <v>0</v>
      </c>
      <c r="H449" s="153" t="s">
        <v>10</v>
      </c>
    </row>
    <row r="450" spans="1:8" x14ac:dyDescent="0.25">
      <c r="A450" s="73">
        <v>44747</v>
      </c>
      <c r="B450" s="74" t="s">
        <v>21729</v>
      </c>
      <c r="C450" s="75" t="s">
        <v>85</v>
      </c>
      <c r="D450" s="81">
        <v>1388</v>
      </c>
      <c r="E450" s="151">
        <v>44747</v>
      </c>
      <c r="F450" s="81">
        <v>1388</v>
      </c>
      <c r="G450" s="156">
        <f>Tabla18[[#This Row],[Importe]]-Tabla18[[#This Row],[Pagado]]</f>
        <v>0</v>
      </c>
      <c r="H450" s="75" t="s">
        <v>10</v>
      </c>
    </row>
    <row r="451" spans="1:8" x14ac:dyDescent="0.25">
      <c r="A451" s="148">
        <v>44747</v>
      </c>
      <c r="B451" s="149" t="s">
        <v>21730</v>
      </c>
      <c r="C451" s="153" t="s">
        <v>75</v>
      </c>
      <c r="D451" s="154">
        <v>6278.4</v>
      </c>
      <c r="E451" s="155">
        <v>44747</v>
      </c>
      <c r="F451" s="154">
        <v>6278.4</v>
      </c>
      <c r="G451" s="156">
        <f>Tabla18[[#This Row],[Importe]]-Tabla18[[#This Row],[Pagado]]</f>
        <v>0</v>
      </c>
      <c r="H451" s="153" t="s">
        <v>10</v>
      </c>
    </row>
    <row r="452" spans="1:8" x14ac:dyDescent="0.25">
      <c r="A452" s="73">
        <v>44747</v>
      </c>
      <c r="B452" s="74" t="s">
        <v>21731</v>
      </c>
      <c r="C452" s="75" t="s">
        <v>481</v>
      </c>
      <c r="D452" s="81">
        <v>292.60000000000002</v>
      </c>
      <c r="E452" s="151">
        <v>44747</v>
      </c>
      <c r="F452" s="81">
        <v>292.60000000000002</v>
      </c>
      <c r="G452" s="156">
        <f>Tabla18[[#This Row],[Importe]]-Tabla18[[#This Row],[Pagado]]</f>
        <v>0</v>
      </c>
      <c r="H452" s="75" t="s">
        <v>10</v>
      </c>
    </row>
    <row r="453" spans="1:8" x14ac:dyDescent="0.25">
      <c r="A453" s="148">
        <v>44747</v>
      </c>
      <c r="B453" s="149" t="s">
        <v>21732</v>
      </c>
      <c r="C453" s="153" t="s">
        <v>31</v>
      </c>
      <c r="D453" s="154">
        <v>5219.5</v>
      </c>
      <c r="E453" s="155">
        <v>44747</v>
      </c>
      <c r="F453" s="154">
        <v>5219.5</v>
      </c>
      <c r="G453" s="156">
        <f>Tabla18[[#This Row],[Importe]]-Tabla18[[#This Row],[Pagado]]</f>
        <v>0</v>
      </c>
      <c r="H453" s="153" t="s">
        <v>10</v>
      </c>
    </row>
    <row r="454" spans="1:8" x14ac:dyDescent="0.25">
      <c r="A454" s="73">
        <v>44747</v>
      </c>
      <c r="B454" s="74" t="s">
        <v>21733</v>
      </c>
      <c r="C454" s="75" t="s">
        <v>87</v>
      </c>
      <c r="D454" s="81">
        <v>2017.7</v>
      </c>
      <c r="E454" s="151">
        <v>44747</v>
      </c>
      <c r="F454" s="81">
        <v>2017.7</v>
      </c>
      <c r="G454" s="156">
        <f>Tabla18[[#This Row],[Importe]]-Tabla18[[#This Row],[Pagado]]</f>
        <v>0</v>
      </c>
      <c r="H454" s="75" t="s">
        <v>10</v>
      </c>
    </row>
    <row r="455" spans="1:8" x14ac:dyDescent="0.25">
      <c r="A455" s="148">
        <v>44747</v>
      </c>
      <c r="B455" s="149" t="s">
        <v>21734</v>
      </c>
      <c r="C455" s="153" t="s">
        <v>314</v>
      </c>
      <c r="D455" s="154">
        <v>1238.4000000000001</v>
      </c>
      <c r="E455" s="155">
        <v>44747</v>
      </c>
      <c r="F455" s="154">
        <v>1238.4000000000001</v>
      </c>
      <c r="G455" s="156">
        <f>Tabla18[[#This Row],[Importe]]-Tabla18[[#This Row],[Pagado]]</f>
        <v>0</v>
      </c>
      <c r="H455" s="153" t="s">
        <v>10</v>
      </c>
    </row>
    <row r="456" spans="1:8" x14ac:dyDescent="0.25">
      <c r="A456" s="73">
        <v>44747</v>
      </c>
      <c r="B456" s="74" t="s">
        <v>21735</v>
      </c>
      <c r="C456" s="75" t="s">
        <v>89</v>
      </c>
      <c r="D456" s="81">
        <v>7554.4</v>
      </c>
      <c r="E456" s="151">
        <v>44748</v>
      </c>
      <c r="F456" s="81">
        <v>7554.4</v>
      </c>
      <c r="G456" s="156">
        <f>Tabla18[[#This Row],[Importe]]-Tabla18[[#This Row],[Pagado]]</f>
        <v>0</v>
      </c>
      <c r="H456" s="75" t="s">
        <v>10</v>
      </c>
    </row>
    <row r="457" spans="1:8" x14ac:dyDescent="0.25">
      <c r="A457" s="148">
        <v>44747</v>
      </c>
      <c r="B457" s="149" t="s">
        <v>21736</v>
      </c>
      <c r="C457" s="153" t="s">
        <v>64</v>
      </c>
      <c r="D457" s="154">
        <v>5612.8</v>
      </c>
      <c r="E457" s="155">
        <v>44749</v>
      </c>
      <c r="F457" s="154">
        <v>5612.8</v>
      </c>
      <c r="G457" s="156">
        <f>Tabla18[[#This Row],[Importe]]-Tabla18[[#This Row],[Pagado]]</f>
        <v>0</v>
      </c>
      <c r="H457" s="153" t="s">
        <v>10</v>
      </c>
    </row>
    <row r="458" spans="1:8" x14ac:dyDescent="0.25">
      <c r="A458" s="73">
        <v>44747</v>
      </c>
      <c r="B458" s="74" t="s">
        <v>21737</v>
      </c>
      <c r="C458" s="75" t="s">
        <v>114</v>
      </c>
      <c r="D458" s="81">
        <v>5561.4</v>
      </c>
      <c r="E458" s="151">
        <v>44748</v>
      </c>
      <c r="F458" s="81">
        <v>5561.4</v>
      </c>
      <c r="G458" s="156">
        <f>Tabla18[[#This Row],[Importe]]-Tabla18[[#This Row],[Pagado]]</f>
        <v>0</v>
      </c>
      <c r="H458" s="75" t="s">
        <v>10</v>
      </c>
    </row>
    <row r="459" spans="1:8" x14ac:dyDescent="0.25">
      <c r="A459" s="148">
        <v>44747</v>
      </c>
      <c r="B459" s="149" t="s">
        <v>21738</v>
      </c>
      <c r="C459" s="153" t="s">
        <v>326</v>
      </c>
      <c r="D459" s="154">
        <v>5523.2</v>
      </c>
      <c r="E459" s="155">
        <v>44748</v>
      </c>
      <c r="F459" s="154">
        <v>5523.2</v>
      </c>
      <c r="G459" s="156">
        <f>Tabla18[[#This Row],[Importe]]-Tabla18[[#This Row],[Pagado]]</f>
        <v>0</v>
      </c>
      <c r="H459" s="153" t="s">
        <v>10</v>
      </c>
    </row>
    <row r="460" spans="1:8" x14ac:dyDescent="0.25">
      <c r="A460" s="73">
        <v>44747</v>
      </c>
      <c r="B460" s="74" t="s">
        <v>21739</v>
      </c>
      <c r="C460" s="75" t="s">
        <v>116</v>
      </c>
      <c r="D460" s="81">
        <v>3169.6</v>
      </c>
      <c r="E460" s="151">
        <v>44748</v>
      </c>
      <c r="F460" s="81">
        <v>3169.6</v>
      </c>
      <c r="G460" s="156">
        <f>Tabla18[[#This Row],[Importe]]-Tabla18[[#This Row],[Pagado]]</f>
        <v>0</v>
      </c>
      <c r="H460" s="75" t="s">
        <v>10</v>
      </c>
    </row>
    <row r="461" spans="1:8" x14ac:dyDescent="0.25">
      <c r="A461" s="148">
        <v>44747</v>
      </c>
      <c r="B461" s="149" t="s">
        <v>21740</v>
      </c>
      <c r="C461" s="153" t="s">
        <v>97</v>
      </c>
      <c r="D461" s="154">
        <v>5913.6</v>
      </c>
      <c r="E461" s="155">
        <v>44749</v>
      </c>
      <c r="F461" s="154">
        <v>5913.6</v>
      </c>
      <c r="G461" s="156">
        <f>Tabla18[[#This Row],[Importe]]-Tabla18[[#This Row],[Pagado]]</f>
        <v>0</v>
      </c>
      <c r="H461" s="153" t="s">
        <v>10</v>
      </c>
    </row>
    <row r="462" spans="1:8" x14ac:dyDescent="0.25">
      <c r="A462" s="73">
        <v>44747</v>
      </c>
      <c r="B462" s="74" t="s">
        <v>21741</v>
      </c>
      <c r="C462" s="75" t="s">
        <v>5043</v>
      </c>
      <c r="D462" s="81">
        <v>5478.4</v>
      </c>
      <c r="E462" s="151">
        <v>44749</v>
      </c>
      <c r="F462" s="81">
        <v>5478.4</v>
      </c>
      <c r="G462" s="156">
        <f>Tabla18[[#This Row],[Importe]]-Tabla18[[#This Row],[Pagado]]</f>
        <v>0</v>
      </c>
      <c r="H462" s="75" t="s">
        <v>10</v>
      </c>
    </row>
    <row r="463" spans="1:8" x14ac:dyDescent="0.25">
      <c r="A463" s="148">
        <v>44747</v>
      </c>
      <c r="B463" s="149" t="s">
        <v>21742</v>
      </c>
      <c r="C463" s="153" t="s">
        <v>105</v>
      </c>
      <c r="D463" s="154">
        <v>12666.6</v>
      </c>
      <c r="E463" s="155">
        <v>44749</v>
      </c>
      <c r="F463" s="154">
        <v>12666.6</v>
      </c>
      <c r="G463" s="156">
        <f>Tabla18[[#This Row],[Importe]]-Tabla18[[#This Row],[Pagado]]</f>
        <v>0</v>
      </c>
      <c r="H463" s="153" t="s">
        <v>10</v>
      </c>
    </row>
    <row r="464" spans="1:8" x14ac:dyDescent="0.25">
      <c r="A464" s="73">
        <v>44747</v>
      </c>
      <c r="B464" s="74" t="s">
        <v>21743</v>
      </c>
      <c r="C464" s="75" t="s">
        <v>9</v>
      </c>
      <c r="D464" s="81">
        <v>7397.8</v>
      </c>
      <c r="E464" s="151">
        <v>44747</v>
      </c>
      <c r="F464" s="81">
        <v>7397.8</v>
      </c>
      <c r="G464" s="156">
        <f>Tabla18[[#This Row],[Importe]]-Tabla18[[#This Row],[Pagado]]</f>
        <v>0</v>
      </c>
      <c r="H464" s="75" t="s">
        <v>10</v>
      </c>
    </row>
    <row r="465" spans="1:8" x14ac:dyDescent="0.25">
      <c r="A465" s="148">
        <v>44747</v>
      </c>
      <c r="B465" s="149" t="s">
        <v>21744</v>
      </c>
      <c r="C465" s="153" t="s">
        <v>99</v>
      </c>
      <c r="D465" s="154">
        <v>3627.4</v>
      </c>
      <c r="E465" s="155">
        <v>44748</v>
      </c>
      <c r="F465" s="154">
        <v>3627.4</v>
      </c>
      <c r="G465" s="156">
        <f>Tabla18[[#This Row],[Importe]]-Tabla18[[#This Row],[Pagado]]</f>
        <v>0</v>
      </c>
      <c r="H465" s="153" t="s">
        <v>10</v>
      </c>
    </row>
    <row r="466" spans="1:8" x14ac:dyDescent="0.25">
      <c r="A466" s="73">
        <v>44747</v>
      </c>
      <c r="B466" s="74" t="s">
        <v>21745</v>
      </c>
      <c r="C466" s="75" t="s">
        <v>348</v>
      </c>
      <c r="D466" s="81">
        <v>1153.4000000000001</v>
      </c>
      <c r="E466" s="151">
        <v>44747</v>
      </c>
      <c r="F466" s="81">
        <v>1153.4000000000001</v>
      </c>
      <c r="G466" s="156">
        <f>Tabla18[[#This Row],[Importe]]-Tabla18[[#This Row],[Pagado]]</f>
        <v>0</v>
      </c>
      <c r="H466" s="75" t="s">
        <v>10</v>
      </c>
    </row>
    <row r="467" spans="1:8" ht="31.5" x14ac:dyDescent="0.25">
      <c r="A467" s="148">
        <v>44747</v>
      </c>
      <c r="B467" s="149" t="s">
        <v>21746</v>
      </c>
      <c r="C467" s="153" t="s">
        <v>93</v>
      </c>
      <c r="D467" s="154">
        <v>9590.7999999999993</v>
      </c>
      <c r="E467" s="150" t="s">
        <v>21747</v>
      </c>
      <c r="F467" s="154">
        <f>7000+2590.8</f>
        <v>9590.7999999999993</v>
      </c>
      <c r="G467" s="156">
        <f>Tabla18[[#This Row],[Importe]]-Tabla18[[#This Row],[Pagado]]</f>
        <v>0</v>
      </c>
      <c r="H467" s="153" t="s">
        <v>10</v>
      </c>
    </row>
    <row r="468" spans="1:8" x14ac:dyDescent="0.25">
      <c r="A468" s="73">
        <v>44747</v>
      </c>
      <c r="B468" s="74" t="s">
        <v>21748</v>
      </c>
      <c r="C468" s="75" t="s">
        <v>2151</v>
      </c>
      <c r="D468" s="81">
        <v>17751.400000000001</v>
      </c>
      <c r="E468" s="151">
        <v>44747</v>
      </c>
      <c r="F468" s="81">
        <v>17751.400000000001</v>
      </c>
      <c r="G468" s="156">
        <f>Tabla18[[#This Row],[Importe]]-Tabla18[[#This Row],[Pagado]]</f>
        <v>0</v>
      </c>
      <c r="H468" s="75" t="s">
        <v>10</v>
      </c>
    </row>
    <row r="469" spans="1:8" x14ac:dyDescent="0.25">
      <c r="A469" s="148">
        <v>44747</v>
      </c>
      <c r="B469" s="149" t="s">
        <v>21749</v>
      </c>
      <c r="C469" s="153" t="s">
        <v>12202</v>
      </c>
      <c r="D469" s="154">
        <v>3698.2</v>
      </c>
      <c r="E469" s="155">
        <v>44747</v>
      </c>
      <c r="F469" s="154">
        <v>3698.2</v>
      </c>
      <c r="G469" s="156">
        <f>Tabla18[[#This Row],[Importe]]-Tabla18[[#This Row],[Pagado]]</f>
        <v>0</v>
      </c>
      <c r="H469" s="153" t="s">
        <v>10</v>
      </c>
    </row>
    <row r="470" spans="1:8" x14ac:dyDescent="0.25">
      <c r="A470" s="73">
        <v>44747</v>
      </c>
      <c r="B470" s="74" t="s">
        <v>21750</v>
      </c>
      <c r="C470" s="75" t="s">
        <v>22</v>
      </c>
      <c r="D470" s="81">
        <v>55329.599999999999</v>
      </c>
      <c r="E470" s="151">
        <v>44748</v>
      </c>
      <c r="F470" s="81">
        <v>55329.599999999999</v>
      </c>
      <c r="G470" s="156">
        <f>Tabla18[[#This Row],[Importe]]-Tabla18[[#This Row],[Pagado]]</f>
        <v>0</v>
      </c>
      <c r="H470" s="75" t="s">
        <v>10</v>
      </c>
    </row>
    <row r="471" spans="1:8" x14ac:dyDescent="0.25">
      <c r="A471" s="148">
        <v>44747</v>
      </c>
      <c r="B471" s="149" t="s">
        <v>21751</v>
      </c>
      <c r="C471" s="153" t="s">
        <v>83</v>
      </c>
      <c r="D471" s="154">
        <v>10387.6</v>
      </c>
      <c r="E471" s="155">
        <v>44747</v>
      </c>
      <c r="F471" s="154">
        <v>10387.6</v>
      </c>
      <c r="G471" s="156">
        <f>Tabla18[[#This Row],[Importe]]-Tabla18[[#This Row],[Pagado]]</f>
        <v>0</v>
      </c>
      <c r="H471" s="153" t="s">
        <v>10</v>
      </c>
    </row>
    <row r="472" spans="1:8" x14ac:dyDescent="0.25">
      <c r="A472" s="73">
        <v>44747</v>
      </c>
      <c r="B472" s="74" t="s">
        <v>21752</v>
      </c>
      <c r="C472" s="75" t="s">
        <v>16</v>
      </c>
      <c r="D472" s="81">
        <v>6339.3</v>
      </c>
      <c r="E472" s="151">
        <v>44747</v>
      </c>
      <c r="F472" s="81">
        <v>6339.3</v>
      </c>
      <c r="G472" s="156">
        <f>Tabla18[[#This Row],[Importe]]-Tabla18[[#This Row],[Pagado]]</f>
        <v>0</v>
      </c>
      <c r="H472" s="75" t="s">
        <v>10</v>
      </c>
    </row>
    <row r="473" spans="1:8" x14ac:dyDescent="0.25">
      <c r="A473" s="148">
        <v>44747</v>
      </c>
      <c r="B473" s="149" t="s">
        <v>21753</v>
      </c>
      <c r="C473" s="153" t="s">
        <v>9415</v>
      </c>
      <c r="D473" s="154">
        <v>13549.8</v>
      </c>
      <c r="E473" s="155">
        <v>44748</v>
      </c>
      <c r="F473" s="154">
        <v>13549.8</v>
      </c>
      <c r="G473" s="156">
        <f>Tabla18[[#This Row],[Importe]]-Tabla18[[#This Row],[Pagado]]</f>
        <v>0</v>
      </c>
      <c r="H473" s="153" t="s">
        <v>10</v>
      </c>
    </row>
    <row r="474" spans="1:8" x14ac:dyDescent="0.25">
      <c r="A474" s="73">
        <v>44747</v>
      </c>
      <c r="B474" s="74" t="s">
        <v>21754</v>
      </c>
      <c r="C474" s="75" t="s">
        <v>47</v>
      </c>
      <c r="D474" s="81">
        <v>28475.599999999999</v>
      </c>
      <c r="E474" s="151">
        <v>44747</v>
      </c>
      <c r="F474" s="81">
        <v>28475.599999999999</v>
      </c>
      <c r="G474" s="156">
        <f>Tabla18[[#This Row],[Importe]]-Tabla18[[#This Row],[Pagado]]</f>
        <v>0</v>
      </c>
      <c r="H474" s="75" t="s">
        <v>10</v>
      </c>
    </row>
    <row r="475" spans="1:8" ht="31.5" x14ac:dyDescent="0.25">
      <c r="A475" s="148">
        <v>44747</v>
      </c>
      <c r="B475" s="149" t="s">
        <v>21755</v>
      </c>
      <c r="C475" s="160" t="s">
        <v>6106</v>
      </c>
      <c r="D475" s="154">
        <v>0</v>
      </c>
      <c r="E475" s="158" t="s">
        <v>189</v>
      </c>
      <c r="F475" s="154">
        <v>0</v>
      </c>
      <c r="G475" s="156">
        <f>Tabla18[[#This Row],[Importe]]-Tabla18[[#This Row],[Pagado]]</f>
        <v>0</v>
      </c>
      <c r="H475" s="153" t="s">
        <v>189</v>
      </c>
    </row>
    <row r="476" spans="1:8" x14ac:dyDescent="0.25">
      <c r="A476" s="73">
        <v>44747</v>
      </c>
      <c r="B476" s="74" t="s">
        <v>21756</v>
      </c>
      <c r="C476" s="75" t="s">
        <v>520</v>
      </c>
      <c r="D476" s="81">
        <v>7871.2</v>
      </c>
      <c r="E476" s="151">
        <v>44747</v>
      </c>
      <c r="F476" s="81">
        <v>7871.2</v>
      </c>
      <c r="G476" s="156">
        <f>Tabla18[[#This Row],[Importe]]-Tabla18[[#This Row],[Pagado]]</f>
        <v>0</v>
      </c>
      <c r="H476" s="75" t="s">
        <v>10</v>
      </c>
    </row>
    <row r="477" spans="1:8" x14ac:dyDescent="0.25">
      <c r="A477" s="148">
        <v>44747</v>
      </c>
      <c r="B477" s="149" t="s">
        <v>21757</v>
      </c>
      <c r="C477" s="153" t="s">
        <v>157</v>
      </c>
      <c r="D477" s="154">
        <v>5903.6</v>
      </c>
      <c r="E477" s="155">
        <v>44747</v>
      </c>
      <c r="F477" s="154">
        <v>5903.6</v>
      </c>
      <c r="G477" s="156">
        <f>Tabla18[[#This Row],[Importe]]-Tabla18[[#This Row],[Pagado]]</f>
        <v>0</v>
      </c>
      <c r="H477" s="153" t="s">
        <v>10</v>
      </c>
    </row>
    <row r="478" spans="1:8" x14ac:dyDescent="0.25">
      <c r="A478" s="73">
        <v>44747</v>
      </c>
      <c r="B478" s="74" t="s">
        <v>21758</v>
      </c>
      <c r="C478" s="75" t="s">
        <v>319</v>
      </c>
      <c r="D478" s="81">
        <v>10394.9</v>
      </c>
      <c r="E478" s="151">
        <v>44747</v>
      </c>
      <c r="F478" s="81">
        <v>10394.9</v>
      </c>
      <c r="G478" s="156">
        <f>Tabla18[[#This Row],[Importe]]-Tabla18[[#This Row],[Pagado]]</f>
        <v>0</v>
      </c>
      <c r="H478" s="75" t="s">
        <v>10</v>
      </c>
    </row>
    <row r="479" spans="1:8" x14ac:dyDescent="0.25">
      <c r="A479" s="148">
        <v>44747</v>
      </c>
      <c r="B479" s="149" t="s">
        <v>21759</v>
      </c>
      <c r="C479" s="153" t="s">
        <v>966</v>
      </c>
      <c r="D479" s="154">
        <v>1625</v>
      </c>
      <c r="E479" s="155">
        <v>44747</v>
      </c>
      <c r="F479" s="154">
        <v>1625</v>
      </c>
      <c r="G479" s="156">
        <f>Tabla18[[#This Row],[Importe]]-Tabla18[[#This Row],[Pagado]]</f>
        <v>0</v>
      </c>
      <c r="H479" s="153" t="s">
        <v>10</v>
      </c>
    </row>
    <row r="480" spans="1:8" x14ac:dyDescent="0.25">
      <c r="A480" s="73">
        <v>44747</v>
      </c>
      <c r="B480" s="74" t="s">
        <v>21760</v>
      </c>
      <c r="C480" s="75" t="s">
        <v>107</v>
      </c>
      <c r="D480" s="81">
        <v>16649.599999999999</v>
      </c>
      <c r="E480" s="151">
        <v>44747</v>
      </c>
      <c r="F480" s="81">
        <v>16649.599999999999</v>
      </c>
      <c r="G480" s="156">
        <f>Tabla18[[#This Row],[Importe]]-Tabla18[[#This Row],[Pagado]]</f>
        <v>0</v>
      </c>
      <c r="H480" s="75" t="s">
        <v>10</v>
      </c>
    </row>
    <row r="481" spans="1:8" x14ac:dyDescent="0.25">
      <c r="A481" s="148">
        <v>44747</v>
      </c>
      <c r="B481" s="149" t="s">
        <v>21761</v>
      </c>
      <c r="C481" s="153" t="s">
        <v>8721</v>
      </c>
      <c r="D481" s="154">
        <v>0</v>
      </c>
      <c r="E481" s="158" t="s">
        <v>189</v>
      </c>
      <c r="F481" s="154">
        <v>0</v>
      </c>
      <c r="G481" s="156">
        <f>Tabla18[[#This Row],[Importe]]-Tabla18[[#This Row],[Pagado]]</f>
        <v>0</v>
      </c>
      <c r="H481" s="159" t="s">
        <v>21762</v>
      </c>
    </row>
    <row r="482" spans="1:8" x14ac:dyDescent="0.25">
      <c r="A482" s="73">
        <v>44747</v>
      </c>
      <c r="B482" s="74" t="s">
        <v>21763</v>
      </c>
      <c r="C482" s="75" t="s">
        <v>146</v>
      </c>
      <c r="D482" s="81">
        <v>3915.6</v>
      </c>
      <c r="E482" s="151">
        <v>44747</v>
      </c>
      <c r="F482" s="81">
        <v>3915.6</v>
      </c>
      <c r="G482" s="156">
        <f>Tabla18[[#This Row],[Importe]]-Tabla18[[#This Row],[Pagado]]</f>
        <v>0</v>
      </c>
      <c r="H482" s="75" t="s">
        <v>10</v>
      </c>
    </row>
    <row r="483" spans="1:8" x14ac:dyDescent="0.25">
      <c r="A483" s="148">
        <v>44747</v>
      </c>
      <c r="B483" s="149" t="s">
        <v>21764</v>
      </c>
      <c r="C483" s="153" t="s">
        <v>45</v>
      </c>
      <c r="D483" s="154">
        <v>8960.6</v>
      </c>
      <c r="E483" s="155">
        <v>44747</v>
      </c>
      <c r="F483" s="154">
        <v>8960.6</v>
      </c>
      <c r="G483" s="156">
        <f>Tabla18[[#This Row],[Importe]]-Tabla18[[#This Row],[Pagado]]</f>
        <v>0</v>
      </c>
      <c r="H483" s="153" t="s">
        <v>10</v>
      </c>
    </row>
    <row r="484" spans="1:8" x14ac:dyDescent="0.25">
      <c r="A484" s="73">
        <v>44747</v>
      </c>
      <c r="B484" s="74" t="s">
        <v>21765</v>
      </c>
      <c r="C484" s="75" t="s">
        <v>275</v>
      </c>
      <c r="D484" s="81">
        <v>67247.44</v>
      </c>
      <c r="E484" s="151">
        <v>44764</v>
      </c>
      <c r="F484" s="81">
        <v>67247.44</v>
      </c>
      <c r="G484" s="156">
        <f>Tabla18[[#This Row],[Importe]]-Tabla18[[#This Row],[Pagado]]</f>
        <v>0</v>
      </c>
      <c r="H484" s="75" t="s">
        <v>10</v>
      </c>
    </row>
    <row r="485" spans="1:8" x14ac:dyDescent="0.25">
      <c r="A485" s="148">
        <v>44747</v>
      </c>
      <c r="B485" s="149" t="s">
        <v>21766</v>
      </c>
      <c r="C485" s="153" t="s">
        <v>31</v>
      </c>
      <c r="D485" s="154">
        <v>1692</v>
      </c>
      <c r="E485" s="155">
        <v>44747</v>
      </c>
      <c r="F485" s="154">
        <v>1692</v>
      </c>
      <c r="G485" s="156">
        <f>Tabla18[[#This Row],[Importe]]-Tabla18[[#This Row],[Pagado]]</f>
        <v>0</v>
      </c>
      <c r="H485" s="153" t="s">
        <v>10</v>
      </c>
    </row>
    <row r="486" spans="1:8" x14ac:dyDescent="0.25">
      <c r="A486" s="73">
        <v>44747</v>
      </c>
      <c r="B486" s="74" t="s">
        <v>21767</v>
      </c>
      <c r="C486" s="75" t="s">
        <v>53</v>
      </c>
      <c r="D486" s="81">
        <v>4592</v>
      </c>
      <c r="E486" s="151">
        <v>44747</v>
      </c>
      <c r="F486" s="81">
        <v>4592</v>
      </c>
      <c r="G486" s="156">
        <f>Tabla18[[#This Row],[Importe]]-Tabla18[[#This Row],[Pagado]]</f>
        <v>0</v>
      </c>
      <c r="H486" s="75" t="s">
        <v>10</v>
      </c>
    </row>
    <row r="487" spans="1:8" x14ac:dyDescent="0.25">
      <c r="A487" s="148">
        <v>44747</v>
      </c>
      <c r="B487" s="149" t="s">
        <v>21768</v>
      </c>
      <c r="C487" s="153" t="s">
        <v>56</v>
      </c>
      <c r="D487" s="154">
        <v>6476</v>
      </c>
      <c r="E487" s="155">
        <v>44747</v>
      </c>
      <c r="F487" s="154">
        <v>6476</v>
      </c>
      <c r="G487" s="156">
        <f>Tabla18[[#This Row],[Importe]]-Tabla18[[#This Row],[Pagado]]</f>
        <v>0</v>
      </c>
      <c r="H487" s="153" t="s">
        <v>10</v>
      </c>
    </row>
    <row r="488" spans="1:8" x14ac:dyDescent="0.25">
      <c r="A488" s="73">
        <v>44747</v>
      </c>
      <c r="B488" s="74" t="s">
        <v>21769</v>
      </c>
      <c r="C488" s="75" t="s">
        <v>698</v>
      </c>
      <c r="D488" s="81">
        <v>8265.7199999999993</v>
      </c>
      <c r="E488" s="151">
        <v>44747</v>
      </c>
      <c r="F488" s="81">
        <v>8265.7199999999993</v>
      </c>
      <c r="G488" s="156">
        <f>Tabla18[[#This Row],[Importe]]-Tabla18[[#This Row],[Pagado]]</f>
        <v>0</v>
      </c>
      <c r="H488" s="75" t="s">
        <v>10</v>
      </c>
    </row>
    <row r="489" spans="1:8" x14ac:dyDescent="0.25">
      <c r="A489" s="148">
        <v>44747</v>
      </c>
      <c r="B489" s="149" t="s">
        <v>21770</v>
      </c>
      <c r="C489" s="153" t="s">
        <v>49</v>
      </c>
      <c r="D489" s="154">
        <v>4426.3999999999996</v>
      </c>
      <c r="E489" s="155">
        <v>44747</v>
      </c>
      <c r="F489" s="154">
        <v>4426.3999999999996</v>
      </c>
      <c r="G489" s="156">
        <f>Tabla18[[#This Row],[Importe]]-Tabla18[[#This Row],[Pagado]]</f>
        <v>0</v>
      </c>
      <c r="H489" s="153" t="s">
        <v>10</v>
      </c>
    </row>
    <row r="490" spans="1:8" x14ac:dyDescent="0.25">
      <c r="A490" s="73">
        <v>44747</v>
      </c>
      <c r="B490" s="74" t="s">
        <v>21771</v>
      </c>
      <c r="C490" s="75" t="s">
        <v>994</v>
      </c>
      <c r="D490" s="81">
        <v>1372.8</v>
      </c>
      <c r="E490" s="151">
        <v>44747</v>
      </c>
      <c r="F490" s="81">
        <v>1372.8</v>
      </c>
      <c r="G490" s="156">
        <f>Tabla18[[#This Row],[Importe]]-Tabla18[[#This Row],[Pagado]]</f>
        <v>0</v>
      </c>
      <c r="H490" s="75" t="s">
        <v>10</v>
      </c>
    </row>
    <row r="491" spans="1:8" x14ac:dyDescent="0.25">
      <c r="A491" s="148">
        <v>44747</v>
      </c>
      <c r="B491" s="149" t="s">
        <v>21772</v>
      </c>
      <c r="C491" s="153" t="s">
        <v>670</v>
      </c>
      <c r="D491" s="154">
        <v>5580.8</v>
      </c>
      <c r="E491" s="155">
        <v>44747</v>
      </c>
      <c r="F491" s="154">
        <v>5580.8</v>
      </c>
      <c r="G491" s="156">
        <f>Tabla18[[#This Row],[Importe]]-Tabla18[[#This Row],[Pagado]]</f>
        <v>0</v>
      </c>
      <c r="H491" s="153" t="s">
        <v>10</v>
      </c>
    </row>
    <row r="492" spans="1:8" x14ac:dyDescent="0.25">
      <c r="A492" s="73">
        <v>44747</v>
      </c>
      <c r="B492" s="74" t="s">
        <v>21773</v>
      </c>
      <c r="C492" s="75" t="s">
        <v>33</v>
      </c>
      <c r="D492" s="81">
        <v>18703.7</v>
      </c>
      <c r="E492" s="151">
        <v>44747</v>
      </c>
      <c r="F492" s="81">
        <v>18703.7</v>
      </c>
      <c r="G492" s="156">
        <f>Tabla18[[#This Row],[Importe]]-Tabla18[[#This Row],[Pagado]]</f>
        <v>0</v>
      </c>
      <c r="H492" s="75" t="s">
        <v>10</v>
      </c>
    </row>
    <row r="493" spans="1:8" x14ac:dyDescent="0.25">
      <c r="A493" s="148">
        <v>44747</v>
      </c>
      <c r="B493" s="149" t="s">
        <v>21774</v>
      </c>
      <c r="C493" s="153" t="s">
        <v>37</v>
      </c>
      <c r="D493" s="154">
        <v>3004.4</v>
      </c>
      <c r="E493" s="155">
        <v>44747</v>
      </c>
      <c r="F493" s="154">
        <v>3004.4</v>
      </c>
      <c r="G493" s="156">
        <f>Tabla18[[#This Row],[Importe]]-Tabla18[[#This Row],[Pagado]]</f>
        <v>0</v>
      </c>
      <c r="H493" s="153" t="s">
        <v>10</v>
      </c>
    </row>
    <row r="494" spans="1:8" x14ac:dyDescent="0.25">
      <c r="A494" s="73">
        <v>44747</v>
      </c>
      <c r="B494" s="74" t="s">
        <v>21775</v>
      </c>
      <c r="C494" s="75" t="s">
        <v>226</v>
      </c>
      <c r="D494" s="81">
        <v>5613.7</v>
      </c>
      <c r="E494" s="151">
        <v>44747</v>
      </c>
      <c r="F494" s="81">
        <v>5613.7</v>
      </c>
      <c r="G494" s="156">
        <f>Tabla18[[#This Row],[Importe]]-Tabla18[[#This Row],[Pagado]]</f>
        <v>0</v>
      </c>
      <c r="H494" s="75" t="s">
        <v>10</v>
      </c>
    </row>
    <row r="495" spans="1:8" x14ac:dyDescent="0.25">
      <c r="A495" s="148">
        <v>44747</v>
      </c>
      <c r="B495" s="149" t="s">
        <v>21776</v>
      </c>
      <c r="C495" s="153" t="s">
        <v>681</v>
      </c>
      <c r="D495" s="154">
        <v>5.58</v>
      </c>
      <c r="E495" s="155">
        <v>44756</v>
      </c>
      <c r="F495" s="154">
        <v>5.58</v>
      </c>
      <c r="G495" s="156">
        <f>Tabla18[[#This Row],[Importe]]-Tabla18[[#This Row],[Pagado]]</f>
        <v>0</v>
      </c>
      <c r="H495" s="153" t="s">
        <v>10</v>
      </c>
    </row>
    <row r="496" spans="1:8" x14ac:dyDescent="0.25">
      <c r="A496" s="73">
        <v>44747</v>
      </c>
      <c r="B496" s="74" t="s">
        <v>21777</v>
      </c>
      <c r="C496" s="75" t="s">
        <v>24</v>
      </c>
      <c r="D496" s="81">
        <v>3576</v>
      </c>
      <c r="E496" s="151">
        <v>44747</v>
      </c>
      <c r="F496" s="81">
        <v>3576</v>
      </c>
      <c r="G496" s="156">
        <f>Tabla18[[#This Row],[Importe]]-Tabla18[[#This Row],[Pagado]]</f>
        <v>0</v>
      </c>
      <c r="H496" s="75" t="s">
        <v>10</v>
      </c>
    </row>
    <row r="497" spans="1:8" x14ac:dyDescent="0.25">
      <c r="A497" s="148">
        <v>44747</v>
      </c>
      <c r="B497" s="149" t="s">
        <v>21778</v>
      </c>
      <c r="C497" s="153" t="s">
        <v>214</v>
      </c>
      <c r="D497" s="154">
        <v>1252.8</v>
      </c>
      <c r="E497" s="155">
        <v>44747</v>
      </c>
      <c r="F497" s="154">
        <v>1252.8</v>
      </c>
      <c r="G497" s="156">
        <f>Tabla18[[#This Row],[Importe]]-Tabla18[[#This Row],[Pagado]]</f>
        <v>0</v>
      </c>
      <c r="H497" s="153" t="s">
        <v>10</v>
      </c>
    </row>
    <row r="498" spans="1:8" x14ac:dyDescent="0.25">
      <c r="A498" s="73">
        <v>44747</v>
      </c>
      <c r="B498" s="74" t="s">
        <v>21779</v>
      </c>
      <c r="C498" s="75" t="s">
        <v>419</v>
      </c>
      <c r="D498" s="81">
        <v>13828.9</v>
      </c>
      <c r="E498" s="151">
        <v>44747</v>
      </c>
      <c r="F498" s="81">
        <v>13828.9</v>
      </c>
      <c r="G498" s="156">
        <f>Tabla18[[#This Row],[Importe]]-Tabla18[[#This Row],[Pagado]]</f>
        <v>0</v>
      </c>
      <c r="H498" s="75" t="s">
        <v>10</v>
      </c>
    </row>
    <row r="499" spans="1:8" x14ac:dyDescent="0.25">
      <c r="A499" s="148">
        <v>44747</v>
      </c>
      <c r="B499" s="149" t="s">
        <v>21780</v>
      </c>
      <c r="C499" s="153" t="s">
        <v>9827</v>
      </c>
      <c r="D499" s="154">
        <v>1742.4</v>
      </c>
      <c r="E499" s="155">
        <v>44747</v>
      </c>
      <c r="F499" s="154">
        <v>1742.4</v>
      </c>
      <c r="G499" s="156">
        <f>Tabla18[[#This Row],[Importe]]-Tabla18[[#This Row],[Pagado]]</f>
        <v>0</v>
      </c>
      <c r="H499" s="153" t="s">
        <v>10</v>
      </c>
    </row>
    <row r="500" spans="1:8" x14ac:dyDescent="0.25">
      <c r="A500" s="73">
        <v>44747</v>
      </c>
      <c r="B500" s="74" t="s">
        <v>21781</v>
      </c>
      <c r="C500" s="75" t="s">
        <v>79</v>
      </c>
      <c r="D500" s="81">
        <v>21672.799999999999</v>
      </c>
      <c r="E500" s="151">
        <v>44747</v>
      </c>
      <c r="F500" s="81">
        <v>21672.799999999999</v>
      </c>
      <c r="G500" s="156">
        <f>Tabla18[[#This Row],[Importe]]-Tabla18[[#This Row],[Pagado]]</f>
        <v>0</v>
      </c>
      <c r="H500" s="75" t="s">
        <v>10</v>
      </c>
    </row>
    <row r="501" spans="1:8" x14ac:dyDescent="0.25">
      <c r="A501" s="148">
        <v>44747</v>
      </c>
      <c r="B501" s="149" t="s">
        <v>21782</v>
      </c>
      <c r="C501" s="153" t="s">
        <v>58</v>
      </c>
      <c r="D501" s="154">
        <v>4666.3999999999996</v>
      </c>
      <c r="E501" s="155">
        <v>44747</v>
      </c>
      <c r="F501" s="154">
        <v>4666.3999999999996</v>
      </c>
      <c r="G501" s="156">
        <f>Tabla18[[#This Row],[Importe]]-Tabla18[[#This Row],[Pagado]]</f>
        <v>0</v>
      </c>
      <c r="H501" s="153" t="s">
        <v>10</v>
      </c>
    </row>
    <row r="502" spans="1:8" x14ac:dyDescent="0.25">
      <c r="A502" s="73">
        <v>44747</v>
      </c>
      <c r="B502" s="74" t="s">
        <v>21783</v>
      </c>
      <c r="C502" s="75" t="s">
        <v>396</v>
      </c>
      <c r="D502" s="81">
        <v>14201.5</v>
      </c>
      <c r="E502" s="151">
        <v>44756</v>
      </c>
      <c r="F502" s="81">
        <v>14201.5</v>
      </c>
      <c r="G502" s="156">
        <f>Tabla18[[#This Row],[Importe]]-Tabla18[[#This Row],[Pagado]]</f>
        <v>0</v>
      </c>
      <c r="H502" s="75" t="s">
        <v>10</v>
      </c>
    </row>
    <row r="503" spans="1:8" x14ac:dyDescent="0.25">
      <c r="A503" s="148">
        <v>44747</v>
      </c>
      <c r="B503" s="149" t="s">
        <v>21784</v>
      </c>
      <c r="C503" s="153" t="s">
        <v>371</v>
      </c>
      <c r="D503" s="154">
        <v>5927.2</v>
      </c>
      <c r="E503" s="155">
        <v>44747</v>
      </c>
      <c r="F503" s="154">
        <v>5927.2</v>
      </c>
      <c r="G503" s="156">
        <f>Tabla18[[#This Row],[Importe]]-Tabla18[[#This Row],[Pagado]]</f>
        <v>0</v>
      </c>
      <c r="H503" s="153" t="s">
        <v>10</v>
      </c>
    </row>
    <row r="504" spans="1:8" x14ac:dyDescent="0.25">
      <c r="A504" s="73">
        <v>44747</v>
      </c>
      <c r="B504" s="74" t="s">
        <v>21785</v>
      </c>
      <c r="C504" s="75" t="s">
        <v>214</v>
      </c>
      <c r="D504" s="81">
        <v>5993</v>
      </c>
      <c r="E504" s="151">
        <v>44747</v>
      </c>
      <c r="F504" s="81">
        <v>5993</v>
      </c>
      <c r="G504" s="156">
        <f>Tabla18[[#This Row],[Importe]]-Tabla18[[#This Row],[Pagado]]</f>
        <v>0</v>
      </c>
      <c r="H504" s="75" t="s">
        <v>10</v>
      </c>
    </row>
    <row r="505" spans="1:8" x14ac:dyDescent="0.25">
      <c r="A505" s="148">
        <v>44747</v>
      </c>
      <c r="B505" s="149" t="s">
        <v>21786</v>
      </c>
      <c r="C505" s="153" t="s">
        <v>127</v>
      </c>
      <c r="D505" s="154">
        <v>6152.1</v>
      </c>
      <c r="E505" s="155">
        <v>44747</v>
      </c>
      <c r="F505" s="154">
        <v>6152.1</v>
      </c>
      <c r="G505" s="156">
        <f>Tabla18[[#This Row],[Importe]]-Tabla18[[#This Row],[Pagado]]</f>
        <v>0</v>
      </c>
      <c r="H505" s="153" t="s">
        <v>10</v>
      </c>
    </row>
    <row r="506" spans="1:8" x14ac:dyDescent="0.25">
      <c r="A506" s="73">
        <v>44747</v>
      </c>
      <c r="B506" s="74" t="s">
        <v>21787</v>
      </c>
      <c r="C506" s="75" t="s">
        <v>129</v>
      </c>
      <c r="D506" s="81">
        <v>1797.1</v>
      </c>
      <c r="E506" s="151">
        <v>44747</v>
      </c>
      <c r="F506" s="81">
        <v>1797.1</v>
      </c>
      <c r="G506" s="156">
        <f>Tabla18[[#This Row],[Importe]]-Tabla18[[#This Row],[Pagado]]</f>
        <v>0</v>
      </c>
      <c r="H506" s="75" t="s">
        <v>10</v>
      </c>
    </row>
    <row r="507" spans="1:8" x14ac:dyDescent="0.25">
      <c r="A507" s="148">
        <v>44747</v>
      </c>
      <c r="B507" s="149" t="s">
        <v>21788</v>
      </c>
      <c r="C507" s="153" t="s">
        <v>140</v>
      </c>
      <c r="D507" s="154">
        <v>1193.2</v>
      </c>
      <c r="E507" s="155">
        <v>44747</v>
      </c>
      <c r="F507" s="154">
        <v>1193.2</v>
      </c>
      <c r="G507" s="156">
        <f>Tabla18[[#This Row],[Importe]]-Tabla18[[#This Row],[Pagado]]</f>
        <v>0</v>
      </c>
      <c r="H507" s="153" t="s">
        <v>10</v>
      </c>
    </row>
    <row r="508" spans="1:8" x14ac:dyDescent="0.25">
      <c r="A508" s="73">
        <v>44747</v>
      </c>
      <c r="B508" s="74" t="s">
        <v>21789</v>
      </c>
      <c r="C508" s="75" t="s">
        <v>357</v>
      </c>
      <c r="D508" s="81">
        <v>1548.4</v>
      </c>
      <c r="E508" s="151">
        <v>44747</v>
      </c>
      <c r="F508" s="81">
        <v>1548.4</v>
      </c>
      <c r="G508" s="156">
        <f>Tabla18[[#This Row],[Importe]]-Tabla18[[#This Row],[Pagado]]</f>
        <v>0</v>
      </c>
      <c r="H508" s="75" t="s">
        <v>10</v>
      </c>
    </row>
    <row r="509" spans="1:8" x14ac:dyDescent="0.25">
      <c r="A509" s="148">
        <v>44747</v>
      </c>
      <c r="B509" s="149" t="s">
        <v>21790</v>
      </c>
      <c r="C509" s="153" t="s">
        <v>466</v>
      </c>
      <c r="D509" s="154">
        <v>19264</v>
      </c>
      <c r="E509" s="155">
        <v>44747</v>
      </c>
      <c r="F509" s="154">
        <v>19264</v>
      </c>
      <c r="G509" s="156">
        <f>Tabla18[[#This Row],[Importe]]-Tabla18[[#This Row],[Pagado]]</f>
        <v>0</v>
      </c>
      <c r="H509" s="153" t="s">
        <v>10</v>
      </c>
    </row>
    <row r="510" spans="1:8" x14ac:dyDescent="0.25">
      <c r="A510" s="73">
        <v>44747</v>
      </c>
      <c r="B510" s="74" t="s">
        <v>21791</v>
      </c>
      <c r="C510" s="75" t="s">
        <v>31</v>
      </c>
      <c r="D510" s="81">
        <v>152</v>
      </c>
      <c r="E510" s="151">
        <v>44747</v>
      </c>
      <c r="F510" s="81">
        <v>152</v>
      </c>
      <c r="G510" s="156">
        <f>Tabla18[[#This Row],[Importe]]-Tabla18[[#This Row],[Pagado]]</f>
        <v>0</v>
      </c>
      <c r="H510" s="75" t="s">
        <v>10</v>
      </c>
    </row>
    <row r="511" spans="1:8" x14ac:dyDescent="0.25">
      <c r="A511" s="148">
        <v>44747</v>
      </c>
      <c r="B511" s="149" t="s">
        <v>21792</v>
      </c>
      <c r="C511" s="153" t="s">
        <v>440</v>
      </c>
      <c r="D511" s="154">
        <v>11976.84</v>
      </c>
      <c r="E511" s="155">
        <v>44751</v>
      </c>
      <c r="F511" s="154">
        <v>11976.84</v>
      </c>
      <c r="G511" s="156">
        <f>Tabla18[[#This Row],[Importe]]-Tabla18[[#This Row],[Pagado]]</f>
        <v>0</v>
      </c>
      <c r="H511" s="153" t="s">
        <v>10</v>
      </c>
    </row>
    <row r="512" spans="1:8" x14ac:dyDescent="0.25">
      <c r="A512" s="73">
        <v>44747</v>
      </c>
      <c r="B512" s="74" t="s">
        <v>21793</v>
      </c>
      <c r="C512" s="75" t="s">
        <v>433</v>
      </c>
      <c r="D512" s="81">
        <v>36000</v>
      </c>
      <c r="E512" s="151">
        <v>44747</v>
      </c>
      <c r="F512" s="81">
        <v>36000</v>
      </c>
      <c r="G512" s="156">
        <f>Tabla18[[#This Row],[Importe]]-Tabla18[[#This Row],[Pagado]]</f>
        <v>0</v>
      </c>
      <c r="H512" s="75" t="s">
        <v>10</v>
      </c>
    </row>
    <row r="513" spans="1:8" x14ac:dyDescent="0.25">
      <c r="A513" s="148">
        <v>44747</v>
      </c>
      <c r="B513" s="149" t="s">
        <v>21794</v>
      </c>
      <c r="C513" s="153" t="s">
        <v>273</v>
      </c>
      <c r="D513" s="154">
        <v>2782.32</v>
      </c>
      <c r="E513" s="155">
        <v>44747</v>
      </c>
      <c r="F513" s="154">
        <v>2782.32</v>
      </c>
      <c r="G513" s="156">
        <f>Tabla18[[#This Row],[Importe]]-Tabla18[[#This Row],[Pagado]]</f>
        <v>0</v>
      </c>
      <c r="H513" s="153" t="s">
        <v>10</v>
      </c>
    </row>
    <row r="514" spans="1:8" x14ac:dyDescent="0.25">
      <c r="A514" s="73">
        <v>44747</v>
      </c>
      <c r="B514" s="74" t="s">
        <v>21795</v>
      </c>
      <c r="C514" s="75" t="s">
        <v>181</v>
      </c>
      <c r="D514" s="81">
        <v>16545</v>
      </c>
      <c r="E514" s="151">
        <v>44748</v>
      </c>
      <c r="F514" s="81">
        <v>16545</v>
      </c>
      <c r="G514" s="156">
        <f>Tabla18[[#This Row],[Importe]]-Tabla18[[#This Row],[Pagado]]</f>
        <v>0</v>
      </c>
      <c r="H514" s="75" t="s">
        <v>10</v>
      </c>
    </row>
    <row r="515" spans="1:8" x14ac:dyDescent="0.25">
      <c r="A515" s="148">
        <v>44747</v>
      </c>
      <c r="B515" s="149" t="s">
        <v>21796</v>
      </c>
      <c r="C515" s="153" t="s">
        <v>426</v>
      </c>
      <c r="D515" s="154">
        <v>10792.1</v>
      </c>
      <c r="E515" s="155">
        <v>44748</v>
      </c>
      <c r="F515" s="154">
        <v>10792.1</v>
      </c>
      <c r="G515" s="156">
        <f>Tabla18[[#This Row],[Importe]]-Tabla18[[#This Row],[Pagado]]</f>
        <v>0</v>
      </c>
      <c r="H515" s="153" t="s">
        <v>10</v>
      </c>
    </row>
    <row r="516" spans="1:8" x14ac:dyDescent="0.25">
      <c r="A516" s="73">
        <v>44747</v>
      </c>
      <c r="B516" s="74" t="s">
        <v>21797</v>
      </c>
      <c r="C516" s="75" t="s">
        <v>67</v>
      </c>
      <c r="D516" s="81">
        <v>2461.6</v>
      </c>
      <c r="E516" s="151">
        <v>44747</v>
      </c>
      <c r="F516" s="81">
        <v>2461.6</v>
      </c>
      <c r="G516" s="156">
        <f>Tabla18[[#This Row],[Importe]]-Tabla18[[#This Row],[Pagado]]</f>
        <v>0</v>
      </c>
      <c r="H516" s="75" t="s">
        <v>10</v>
      </c>
    </row>
    <row r="517" spans="1:8" x14ac:dyDescent="0.25">
      <c r="A517" s="148">
        <v>44747</v>
      </c>
      <c r="B517" s="149" t="s">
        <v>21798</v>
      </c>
      <c r="C517" s="153" t="s">
        <v>175</v>
      </c>
      <c r="D517" s="154">
        <v>6987.2</v>
      </c>
      <c r="E517" s="155">
        <v>44748</v>
      </c>
      <c r="F517" s="154">
        <v>6987.2</v>
      </c>
      <c r="G517" s="156">
        <f>Tabla18[[#This Row],[Importe]]-Tabla18[[#This Row],[Pagado]]</f>
        <v>0</v>
      </c>
      <c r="H517" s="153" t="s">
        <v>10</v>
      </c>
    </row>
    <row r="518" spans="1:8" x14ac:dyDescent="0.25">
      <c r="A518" s="73">
        <v>44747</v>
      </c>
      <c r="B518" s="74" t="s">
        <v>21799</v>
      </c>
      <c r="C518" s="75" t="s">
        <v>450</v>
      </c>
      <c r="D518" s="81">
        <v>5567.5</v>
      </c>
      <c r="E518" s="151">
        <v>44747</v>
      </c>
      <c r="F518" s="81">
        <v>5567.5</v>
      </c>
      <c r="G518" s="156">
        <f>Tabla18[[#This Row],[Importe]]-Tabla18[[#This Row],[Pagado]]</f>
        <v>0</v>
      </c>
      <c r="H518" s="75" t="s">
        <v>10</v>
      </c>
    </row>
    <row r="519" spans="1:8" x14ac:dyDescent="0.25">
      <c r="A519" s="148">
        <v>44747</v>
      </c>
      <c r="B519" s="149" t="s">
        <v>21800</v>
      </c>
      <c r="C519" s="153" t="s">
        <v>359</v>
      </c>
      <c r="D519" s="154">
        <v>473.1</v>
      </c>
      <c r="E519" s="155">
        <v>44748</v>
      </c>
      <c r="F519" s="154">
        <v>473.1</v>
      </c>
      <c r="G519" s="156">
        <f>Tabla18[[#This Row],[Importe]]-Tabla18[[#This Row],[Pagado]]</f>
        <v>0</v>
      </c>
      <c r="H519" s="153" t="s">
        <v>10</v>
      </c>
    </row>
    <row r="520" spans="1:8" x14ac:dyDescent="0.25">
      <c r="A520" s="73">
        <v>44747</v>
      </c>
      <c r="B520" s="74" t="s">
        <v>21801</v>
      </c>
      <c r="C520" s="75" t="s">
        <v>175</v>
      </c>
      <c r="D520" s="81">
        <v>1112.2</v>
      </c>
      <c r="E520" s="151">
        <v>44748</v>
      </c>
      <c r="F520" s="81">
        <v>1112.2</v>
      </c>
      <c r="G520" s="156">
        <f>Tabla18[[#This Row],[Importe]]-Tabla18[[#This Row],[Pagado]]</f>
        <v>0</v>
      </c>
      <c r="H520" s="75" t="s">
        <v>10</v>
      </c>
    </row>
    <row r="521" spans="1:8" x14ac:dyDescent="0.25">
      <c r="A521" s="148">
        <v>44747</v>
      </c>
      <c r="B521" s="149" t="s">
        <v>21802</v>
      </c>
      <c r="C521" s="153" t="s">
        <v>142</v>
      </c>
      <c r="D521" s="154">
        <v>31164.35</v>
      </c>
      <c r="E521" s="155">
        <v>44799</v>
      </c>
      <c r="F521" s="154">
        <v>31164.35</v>
      </c>
      <c r="G521" s="156">
        <f>Tabla18[[#This Row],[Importe]]-Tabla18[[#This Row],[Pagado]]</f>
        <v>0</v>
      </c>
      <c r="H521" s="153" t="s">
        <v>10</v>
      </c>
    </row>
    <row r="522" spans="1:8" x14ac:dyDescent="0.25">
      <c r="A522" s="73">
        <v>44747</v>
      </c>
      <c r="B522" s="74" t="s">
        <v>21803</v>
      </c>
      <c r="C522" s="75" t="s">
        <v>414</v>
      </c>
      <c r="D522" s="81">
        <v>23937.599999999999</v>
      </c>
      <c r="E522" s="151">
        <v>44761</v>
      </c>
      <c r="F522" s="81">
        <v>23937.599999999999</v>
      </c>
      <c r="G522" s="156">
        <f>Tabla18[[#This Row],[Importe]]-Tabla18[[#This Row],[Pagado]]</f>
        <v>0</v>
      </c>
      <c r="H522" s="75" t="s">
        <v>10</v>
      </c>
    </row>
    <row r="523" spans="1:8" x14ac:dyDescent="0.25">
      <c r="A523" s="148">
        <v>44747</v>
      </c>
      <c r="B523" s="149" t="s">
        <v>21804</v>
      </c>
      <c r="C523" s="153" t="s">
        <v>135</v>
      </c>
      <c r="D523" s="154">
        <v>1184</v>
      </c>
      <c r="E523" s="155">
        <v>44748</v>
      </c>
      <c r="F523" s="154">
        <v>1184</v>
      </c>
      <c r="G523" s="156">
        <f>Tabla18[[#This Row],[Importe]]-Tabla18[[#This Row],[Pagado]]</f>
        <v>0</v>
      </c>
      <c r="H523" s="153" t="s">
        <v>10</v>
      </c>
    </row>
    <row r="524" spans="1:8" x14ac:dyDescent="0.25">
      <c r="A524" s="73">
        <v>44747</v>
      </c>
      <c r="B524" s="74" t="s">
        <v>21805</v>
      </c>
      <c r="C524" s="75" t="s">
        <v>135</v>
      </c>
      <c r="D524" s="81">
        <v>255</v>
      </c>
      <c r="E524" s="151">
        <v>44748</v>
      </c>
      <c r="F524" s="81">
        <v>255</v>
      </c>
      <c r="G524" s="156">
        <f>Tabla18[[#This Row],[Importe]]-Tabla18[[#This Row],[Pagado]]</f>
        <v>0</v>
      </c>
      <c r="H524" s="75" t="s">
        <v>10</v>
      </c>
    </row>
    <row r="525" spans="1:8" x14ac:dyDescent="0.25">
      <c r="A525" s="148">
        <v>44747</v>
      </c>
      <c r="B525" s="149" t="s">
        <v>21806</v>
      </c>
      <c r="C525" s="153" t="s">
        <v>179</v>
      </c>
      <c r="D525" s="154">
        <v>1245.5999999999999</v>
      </c>
      <c r="E525" s="155">
        <v>44748</v>
      </c>
      <c r="F525" s="154">
        <v>1245.5999999999999</v>
      </c>
      <c r="G525" s="156">
        <f>Tabla18[[#This Row],[Importe]]-Tabla18[[#This Row],[Pagado]]</f>
        <v>0</v>
      </c>
      <c r="H525" s="153" t="s">
        <v>10</v>
      </c>
    </row>
    <row r="526" spans="1:8" x14ac:dyDescent="0.25">
      <c r="A526" s="73">
        <v>44747</v>
      </c>
      <c r="B526" s="74" t="s">
        <v>21807</v>
      </c>
      <c r="C526" s="75" t="s">
        <v>21808</v>
      </c>
      <c r="D526" s="81">
        <v>0</v>
      </c>
      <c r="E526" s="157" t="s">
        <v>189</v>
      </c>
      <c r="F526" s="81">
        <v>0</v>
      </c>
      <c r="G526" s="156">
        <f>Tabla18[[#This Row],[Importe]]-Tabla18[[#This Row],[Pagado]]</f>
        <v>0</v>
      </c>
      <c r="H526" s="161" t="s">
        <v>21809</v>
      </c>
    </row>
    <row r="527" spans="1:8" x14ac:dyDescent="0.25">
      <c r="A527" s="148">
        <v>44747</v>
      </c>
      <c r="B527" s="149" t="s">
        <v>21810</v>
      </c>
      <c r="C527" s="153" t="s">
        <v>263</v>
      </c>
      <c r="D527" s="154">
        <v>98663.4</v>
      </c>
      <c r="E527" s="155">
        <v>44753</v>
      </c>
      <c r="F527" s="154">
        <v>98663.4</v>
      </c>
      <c r="G527" s="156">
        <f>Tabla18[[#This Row],[Importe]]-Tabla18[[#This Row],[Pagado]]</f>
        <v>0</v>
      </c>
      <c r="H527" s="153" t="s">
        <v>10</v>
      </c>
    </row>
    <row r="528" spans="1:8" x14ac:dyDescent="0.25">
      <c r="A528" s="73">
        <v>44747</v>
      </c>
      <c r="B528" s="74" t="s">
        <v>21811</v>
      </c>
      <c r="C528" s="75" t="s">
        <v>21812</v>
      </c>
      <c r="D528" s="81">
        <v>12255.6</v>
      </c>
      <c r="E528" s="151">
        <v>44747</v>
      </c>
      <c r="F528" s="81">
        <v>12255.6</v>
      </c>
      <c r="G528" s="156">
        <f>Tabla18[[#This Row],[Importe]]-Tabla18[[#This Row],[Pagado]]</f>
        <v>0</v>
      </c>
      <c r="H528" s="75" t="s">
        <v>10</v>
      </c>
    </row>
    <row r="529" spans="1:8" x14ac:dyDescent="0.25">
      <c r="A529" s="148">
        <v>44747</v>
      </c>
      <c r="B529" s="149" t="s">
        <v>21813</v>
      </c>
      <c r="C529" s="153" t="s">
        <v>843</v>
      </c>
      <c r="D529" s="154">
        <v>11611.4</v>
      </c>
      <c r="E529" s="155">
        <v>44747</v>
      </c>
      <c r="F529" s="154">
        <v>11611.4</v>
      </c>
      <c r="G529" s="156">
        <f>Tabla18[[#This Row],[Importe]]-Tabla18[[#This Row],[Pagado]]</f>
        <v>0</v>
      </c>
      <c r="H529" s="153" t="s">
        <v>10</v>
      </c>
    </row>
    <row r="530" spans="1:8" x14ac:dyDescent="0.25">
      <c r="A530" s="73">
        <v>44747</v>
      </c>
      <c r="B530" s="74" t="s">
        <v>21814</v>
      </c>
      <c r="C530" s="75" t="s">
        <v>1174</v>
      </c>
      <c r="D530" s="81">
        <v>23462.400000000001</v>
      </c>
      <c r="E530" s="151">
        <v>44747</v>
      </c>
      <c r="F530" s="81">
        <v>23462.400000000001</v>
      </c>
      <c r="G530" s="156">
        <f>Tabla18[[#This Row],[Importe]]-Tabla18[[#This Row],[Pagado]]</f>
        <v>0</v>
      </c>
      <c r="H530" s="75" t="s">
        <v>10</v>
      </c>
    </row>
    <row r="531" spans="1:8" x14ac:dyDescent="0.25">
      <c r="A531" s="148">
        <v>44747</v>
      </c>
      <c r="B531" s="149" t="s">
        <v>21815</v>
      </c>
      <c r="C531" s="153" t="s">
        <v>296</v>
      </c>
      <c r="D531" s="154">
        <v>2501.1999999999998</v>
      </c>
      <c r="E531" s="155">
        <v>44747</v>
      </c>
      <c r="F531" s="154">
        <v>2501.1999999999998</v>
      </c>
      <c r="G531" s="156">
        <f>Tabla18[[#This Row],[Importe]]-Tabla18[[#This Row],[Pagado]]</f>
        <v>0</v>
      </c>
      <c r="H531" s="153" t="s">
        <v>10</v>
      </c>
    </row>
    <row r="532" spans="1:8" x14ac:dyDescent="0.25">
      <c r="A532" s="73">
        <v>44747</v>
      </c>
      <c r="B532" s="74" t="s">
        <v>21816</v>
      </c>
      <c r="C532" s="75" t="s">
        <v>1008</v>
      </c>
      <c r="D532" s="81">
        <v>5291</v>
      </c>
      <c r="E532" s="151">
        <v>44747</v>
      </c>
      <c r="F532" s="81">
        <v>5291</v>
      </c>
      <c r="G532" s="156">
        <f>Tabla18[[#This Row],[Importe]]-Tabla18[[#This Row],[Pagado]]</f>
        <v>0</v>
      </c>
      <c r="H532" s="75" t="s">
        <v>10</v>
      </c>
    </row>
    <row r="533" spans="1:8" x14ac:dyDescent="0.25">
      <c r="A533" s="148">
        <v>44747</v>
      </c>
      <c r="B533" s="149" t="s">
        <v>21817</v>
      </c>
      <c r="C533" s="153" t="s">
        <v>31</v>
      </c>
      <c r="D533" s="154">
        <v>40</v>
      </c>
      <c r="E533" s="155">
        <v>44747</v>
      </c>
      <c r="F533" s="154">
        <v>40</v>
      </c>
      <c r="G533" s="156">
        <f>Tabla18[[#This Row],[Importe]]-Tabla18[[#This Row],[Pagado]]</f>
        <v>0</v>
      </c>
      <c r="H533" s="153" t="s">
        <v>10</v>
      </c>
    </row>
    <row r="534" spans="1:8" x14ac:dyDescent="0.25">
      <c r="A534" s="73">
        <v>44747</v>
      </c>
      <c r="B534" s="74" t="s">
        <v>21818</v>
      </c>
      <c r="C534" s="75" t="s">
        <v>31</v>
      </c>
      <c r="D534" s="81">
        <v>30</v>
      </c>
      <c r="E534" s="151">
        <v>44747</v>
      </c>
      <c r="F534" s="81">
        <v>30</v>
      </c>
      <c r="G534" s="156">
        <f>Tabla18[[#This Row],[Importe]]-Tabla18[[#This Row],[Pagado]]</f>
        <v>0</v>
      </c>
      <c r="H534" s="75" t="s">
        <v>10</v>
      </c>
    </row>
    <row r="535" spans="1:8" x14ac:dyDescent="0.25">
      <c r="A535" s="148">
        <v>44747</v>
      </c>
      <c r="B535" s="149" t="s">
        <v>21819</v>
      </c>
      <c r="C535" s="153" t="s">
        <v>301</v>
      </c>
      <c r="D535" s="154">
        <v>21008</v>
      </c>
      <c r="E535" s="155">
        <v>44747</v>
      </c>
      <c r="F535" s="154">
        <v>21008</v>
      </c>
      <c r="G535" s="156">
        <f>Tabla18[[#This Row],[Importe]]-Tabla18[[#This Row],[Pagado]]</f>
        <v>0</v>
      </c>
      <c r="H535" s="153" t="s">
        <v>10</v>
      </c>
    </row>
    <row r="536" spans="1:8" x14ac:dyDescent="0.25">
      <c r="A536" s="73">
        <v>44747</v>
      </c>
      <c r="B536" s="74" t="s">
        <v>21820</v>
      </c>
      <c r="C536" s="75" t="s">
        <v>31</v>
      </c>
      <c r="D536" s="81">
        <v>3528</v>
      </c>
      <c r="E536" s="151">
        <v>44747</v>
      </c>
      <c r="F536" s="81">
        <v>3528</v>
      </c>
      <c r="G536" s="156">
        <f>Tabla18[[#This Row],[Importe]]-Tabla18[[#This Row],[Pagado]]</f>
        <v>0</v>
      </c>
      <c r="H536" s="75" t="s">
        <v>10</v>
      </c>
    </row>
    <row r="537" spans="1:8" x14ac:dyDescent="0.25">
      <c r="A537" s="148">
        <v>44747</v>
      </c>
      <c r="B537" s="149" t="s">
        <v>21821</v>
      </c>
      <c r="C537" s="153" t="s">
        <v>282</v>
      </c>
      <c r="D537" s="154">
        <v>2160</v>
      </c>
      <c r="E537" s="155">
        <v>44748</v>
      </c>
      <c r="F537" s="154">
        <v>2160</v>
      </c>
      <c r="G537" s="156">
        <f>Tabla18[[#This Row],[Importe]]-Tabla18[[#This Row],[Pagado]]</f>
        <v>0</v>
      </c>
      <c r="H537" s="153" t="s">
        <v>10</v>
      </c>
    </row>
    <row r="538" spans="1:8" x14ac:dyDescent="0.25">
      <c r="A538" s="73">
        <v>44747</v>
      </c>
      <c r="B538" s="74" t="s">
        <v>21822</v>
      </c>
      <c r="C538" s="75" t="s">
        <v>284</v>
      </c>
      <c r="D538" s="81">
        <v>8712</v>
      </c>
      <c r="E538" s="151">
        <v>44748</v>
      </c>
      <c r="F538" s="81">
        <v>8712</v>
      </c>
      <c r="G538" s="156">
        <f>Tabla18[[#This Row],[Importe]]-Tabla18[[#This Row],[Pagado]]</f>
        <v>0</v>
      </c>
      <c r="H538" s="75" t="s">
        <v>10</v>
      </c>
    </row>
    <row r="539" spans="1:8" x14ac:dyDescent="0.25">
      <c r="A539" s="148">
        <v>44747</v>
      </c>
      <c r="B539" s="149" t="s">
        <v>21823</v>
      </c>
      <c r="C539" s="153" t="s">
        <v>10819</v>
      </c>
      <c r="D539" s="154">
        <v>1155.2</v>
      </c>
      <c r="E539" s="155">
        <v>44748</v>
      </c>
      <c r="F539" s="154">
        <v>1155.2</v>
      </c>
      <c r="G539" s="156">
        <f>Tabla18[[#This Row],[Importe]]-Tabla18[[#This Row],[Pagado]]</f>
        <v>0</v>
      </c>
      <c r="H539" s="153" t="s">
        <v>10</v>
      </c>
    </row>
    <row r="540" spans="1:8" x14ac:dyDescent="0.25">
      <c r="A540" s="73">
        <v>44747</v>
      </c>
      <c r="B540" s="74" t="s">
        <v>21824</v>
      </c>
      <c r="C540" s="75" t="s">
        <v>402</v>
      </c>
      <c r="D540" s="81">
        <v>14478.9</v>
      </c>
      <c r="E540" s="151">
        <v>44754</v>
      </c>
      <c r="F540" s="81">
        <v>14478.9</v>
      </c>
      <c r="G540" s="156">
        <f>Tabla18[[#This Row],[Importe]]-Tabla18[[#This Row],[Pagado]]</f>
        <v>0</v>
      </c>
      <c r="H540" s="75" t="s">
        <v>10</v>
      </c>
    </row>
    <row r="541" spans="1:8" x14ac:dyDescent="0.25">
      <c r="A541" s="148">
        <v>44747</v>
      </c>
      <c r="B541" s="149" t="s">
        <v>21825</v>
      </c>
      <c r="C541" s="153" t="s">
        <v>2156</v>
      </c>
      <c r="D541" s="154">
        <v>41838</v>
      </c>
      <c r="E541" s="155">
        <v>44747</v>
      </c>
      <c r="F541" s="154">
        <v>41838</v>
      </c>
      <c r="G541" s="156">
        <f>Tabla18[[#This Row],[Importe]]-Tabla18[[#This Row],[Pagado]]</f>
        <v>0</v>
      </c>
      <c r="H541" s="153" t="s">
        <v>10</v>
      </c>
    </row>
    <row r="542" spans="1:8" x14ac:dyDescent="0.25">
      <c r="A542" s="73">
        <v>44747</v>
      </c>
      <c r="B542" s="74" t="s">
        <v>21826</v>
      </c>
      <c r="C542" s="75" t="s">
        <v>2156</v>
      </c>
      <c r="D542" s="81">
        <v>13946</v>
      </c>
      <c r="E542" s="151">
        <v>44747</v>
      </c>
      <c r="F542" s="81">
        <v>13946</v>
      </c>
      <c r="G542" s="156">
        <f>Tabla18[[#This Row],[Importe]]-Tabla18[[#This Row],[Pagado]]</f>
        <v>0</v>
      </c>
      <c r="H542" s="75" t="s">
        <v>10</v>
      </c>
    </row>
    <row r="543" spans="1:8" x14ac:dyDescent="0.25">
      <c r="A543" s="148">
        <v>44747</v>
      </c>
      <c r="B543" s="149" t="s">
        <v>21827</v>
      </c>
      <c r="C543" s="153" t="s">
        <v>31</v>
      </c>
      <c r="D543" s="154">
        <v>240</v>
      </c>
      <c r="E543" s="155">
        <v>44747</v>
      </c>
      <c r="F543" s="154">
        <v>240</v>
      </c>
      <c r="G543" s="156">
        <f>Tabla18[[#This Row],[Importe]]-Tabla18[[#This Row],[Pagado]]</f>
        <v>0</v>
      </c>
      <c r="H543" s="153" t="s">
        <v>10</v>
      </c>
    </row>
    <row r="544" spans="1:8" x14ac:dyDescent="0.25">
      <c r="A544" s="73">
        <v>44747</v>
      </c>
      <c r="B544" s="74" t="s">
        <v>21828</v>
      </c>
      <c r="C544" s="75" t="s">
        <v>151</v>
      </c>
      <c r="D544" s="81">
        <v>27632</v>
      </c>
      <c r="E544" s="151">
        <v>44748</v>
      </c>
      <c r="F544" s="81">
        <v>27632</v>
      </c>
      <c r="G544" s="156">
        <f>Tabla18[[#This Row],[Importe]]-Tabla18[[#This Row],[Pagado]]</f>
        <v>0</v>
      </c>
      <c r="H544" s="75" t="s">
        <v>10</v>
      </c>
    </row>
    <row r="545" spans="1:8" x14ac:dyDescent="0.25">
      <c r="A545" s="148">
        <v>44747</v>
      </c>
      <c r="B545" s="149" t="s">
        <v>21829</v>
      </c>
      <c r="C545" s="153" t="s">
        <v>291</v>
      </c>
      <c r="D545" s="154">
        <v>3394.5</v>
      </c>
      <c r="E545" s="155">
        <v>44748</v>
      </c>
      <c r="F545" s="154">
        <v>3394.5</v>
      </c>
      <c r="G545" s="156">
        <f>Tabla18[[#This Row],[Importe]]-Tabla18[[#This Row],[Pagado]]</f>
        <v>0</v>
      </c>
      <c r="H545" s="153" t="s">
        <v>10</v>
      </c>
    </row>
    <row r="546" spans="1:8" x14ac:dyDescent="0.25">
      <c r="A546" s="73">
        <v>44747</v>
      </c>
      <c r="B546" s="74" t="s">
        <v>21830</v>
      </c>
      <c r="C546" s="75" t="s">
        <v>14</v>
      </c>
      <c r="D546" s="81">
        <v>20456.2</v>
      </c>
      <c r="E546" s="151">
        <v>44747</v>
      </c>
      <c r="F546" s="81">
        <v>20456.2</v>
      </c>
      <c r="G546" s="156">
        <f>Tabla18[[#This Row],[Importe]]-Tabla18[[#This Row],[Pagado]]</f>
        <v>0</v>
      </c>
      <c r="H546" s="75" t="s">
        <v>10</v>
      </c>
    </row>
    <row r="547" spans="1:8" x14ac:dyDescent="0.25">
      <c r="A547" s="148">
        <v>44747</v>
      </c>
      <c r="B547" s="149" t="s">
        <v>21831</v>
      </c>
      <c r="C547" s="153" t="s">
        <v>664</v>
      </c>
      <c r="D547" s="154">
        <v>9408</v>
      </c>
      <c r="E547" s="155">
        <v>44748</v>
      </c>
      <c r="F547" s="154">
        <v>9408</v>
      </c>
      <c r="G547" s="156">
        <f>Tabla18[[#This Row],[Importe]]-Tabla18[[#This Row],[Pagado]]</f>
        <v>0</v>
      </c>
      <c r="H547" s="153" t="s">
        <v>10</v>
      </c>
    </row>
    <row r="548" spans="1:8" x14ac:dyDescent="0.25">
      <c r="A548" s="73">
        <v>44747</v>
      </c>
      <c r="B548" s="74" t="s">
        <v>21832</v>
      </c>
      <c r="C548" s="75" t="s">
        <v>21833</v>
      </c>
      <c r="D548" s="81">
        <v>38818.199999999997</v>
      </c>
      <c r="E548" s="151">
        <v>44747</v>
      </c>
      <c r="F548" s="81">
        <v>38818.199999999997</v>
      </c>
      <c r="G548" s="156">
        <f>Tabla18[[#This Row],[Importe]]-Tabla18[[#This Row],[Pagado]]</f>
        <v>0</v>
      </c>
      <c r="H548" s="75" t="s">
        <v>10</v>
      </c>
    </row>
    <row r="549" spans="1:8" x14ac:dyDescent="0.25">
      <c r="A549" s="148">
        <v>44747</v>
      </c>
      <c r="B549" s="149" t="s">
        <v>21834</v>
      </c>
      <c r="C549" s="153" t="s">
        <v>1706</v>
      </c>
      <c r="D549" s="154">
        <v>7862.4</v>
      </c>
      <c r="E549" s="155">
        <v>44747</v>
      </c>
      <c r="F549" s="154">
        <v>7862.4</v>
      </c>
      <c r="G549" s="156">
        <f>Tabla18[[#This Row],[Importe]]-Tabla18[[#This Row],[Pagado]]</f>
        <v>0</v>
      </c>
      <c r="H549" s="153" t="s">
        <v>10</v>
      </c>
    </row>
    <row r="550" spans="1:8" x14ac:dyDescent="0.25">
      <c r="A550" s="73">
        <v>44747</v>
      </c>
      <c r="B550" s="74" t="s">
        <v>21835</v>
      </c>
      <c r="C550" s="75" t="s">
        <v>409</v>
      </c>
      <c r="D550" s="81">
        <v>9987.6</v>
      </c>
      <c r="E550" s="151">
        <v>44754</v>
      </c>
      <c r="F550" s="81">
        <v>9987.6</v>
      </c>
      <c r="G550" s="156">
        <f>Tabla18[[#This Row],[Importe]]-Tabla18[[#This Row],[Pagado]]</f>
        <v>0</v>
      </c>
      <c r="H550" s="75" t="s">
        <v>10</v>
      </c>
    </row>
    <row r="551" spans="1:8" x14ac:dyDescent="0.25">
      <c r="A551" s="148">
        <v>44747</v>
      </c>
      <c r="B551" s="149" t="s">
        <v>21836</v>
      </c>
      <c r="C551" s="153" t="s">
        <v>843</v>
      </c>
      <c r="D551" s="154">
        <v>30230.39</v>
      </c>
      <c r="E551" s="155">
        <v>44748</v>
      </c>
      <c r="F551" s="154">
        <v>30230.39</v>
      </c>
      <c r="G551" s="156">
        <f>Tabla18[[#This Row],[Importe]]-Tabla18[[#This Row],[Pagado]]</f>
        <v>0</v>
      </c>
      <c r="H551" s="153" t="s">
        <v>10</v>
      </c>
    </row>
    <row r="552" spans="1:8" ht="31.5" x14ac:dyDescent="0.25">
      <c r="A552" s="73">
        <v>44748</v>
      </c>
      <c r="B552" s="74" t="s">
        <v>21837</v>
      </c>
      <c r="C552" s="75" t="s">
        <v>475</v>
      </c>
      <c r="D552" s="81">
        <v>88448</v>
      </c>
      <c r="E552" s="147" t="s">
        <v>21747</v>
      </c>
      <c r="F552" s="81">
        <f>81500+6948</f>
        <v>88448</v>
      </c>
      <c r="G552" s="156">
        <f>Tabla18[[#This Row],[Importe]]-Tabla18[[#This Row],[Pagado]]</f>
        <v>0</v>
      </c>
      <c r="H552" s="75" t="s">
        <v>10</v>
      </c>
    </row>
    <row r="553" spans="1:8" x14ac:dyDescent="0.25">
      <c r="A553" s="148">
        <v>44748</v>
      </c>
      <c r="B553" s="149" t="s">
        <v>21838</v>
      </c>
      <c r="C553" s="153" t="s">
        <v>85</v>
      </c>
      <c r="D553" s="154">
        <v>1173.5999999999999</v>
      </c>
      <c r="E553" s="155">
        <v>44748</v>
      </c>
      <c r="F553" s="154">
        <v>1173.5999999999999</v>
      </c>
      <c r="G553" s="156">
        <f>Tabla18[[#This Row],[Importe]]-Tabla18[[#This Row],[Pagado]]</f>
        <v>0</v>
      </c>
      <c r="H553" s="153" t="s">
        <v>10</v>
      </c>
    </row>
    <row r="554" spans="1:8" x14ac:dyDescent="0.25">
      <c r="A554" s="73">
        <v>44748</v>
      </c>
      <c r="B554" s="74" t="s">
        <v>21839</v>
      </c>
      <c r="C554" s="75" t="s">
        <v>99</v>
      </c>
      <c r="D554" s="81">
        <v>6280.6</v>
      </c>
      <c r="E554" s="151">
        <v>44751</v>
      </c>
      <c r="F554" s="81">
        <v>6280.6</v>
      </c>
      <c r="G554" s="156">
        <f>Tabla18[[#This Row],[Importe]]-Tabla18[[#This Row],[Pagado]]</f>
        <v>0</v>
      </c>
      <c r="H554" s="75" t="s">
        <v>10</v>
      </c>
    </row>
    <row r="555" spans="1:8" x14ac:dyDescent="0.25">
      <c r="A555" s="148">
        <v>44748</v>
      </c>
      <c r="B555" s="149" t="s">
        <v>21840</v>
      </c>
      <c r="C555" s="153" t="s">
        <v>111</v>
      </c>
      <c r="D555" s="154">
        <v>6088.4</v>
      </c>
      <c r="E555" s="155">
        <v>44750</v>
      </c>
      <c r="F555" s="154">
        <v>6088.4</v>
      </c>
      <c r="G555" s="156">
        <f>Tabla18[[#This Row],[Importe]]-Tabla18[[#This Row],[Pagado]]</f>
        <v>0</v>
      </c>
      <c r="H555" s="153" t="s">
        <v>10</v>
      </c>
    </row>
    <row r="556" spans="1:8" x14ac:dyDescent="0.25">
      <c r="A556" s="73">
        <v>44748</v>
      </c>
      <c r="B556" s="74" t="s">
        <v>21841</v>
      </c>
      <c r="C556" s="75" t="s">
        <v>114</v>
      </c>
      <c r="D556" s="81">
        <v>5635.8</v>
      </c>
      <c r="E556" s="151">
        <v>44749</v>
      </c>
      <c r="F556" s="81">
        <v>5635.8</v>
      </c>
      <c r="G556" s="156">
        <f>Tabla18[[#This Row],[Importe]]-Tabla18[[#This Row],[Pagado]]</f>
        <v>0</v>
      </c>
      <c r="H556" s="75" t="s">
        <v>10</v>
      </c>
    </row>
    <row r="557" spans="1:8" x14ac:dyDescent="0.25">
      <c r="A557" s="148">
        <v>44748</v>
      </c>
      <c r="B557" s="149" t="s">
        <v>21842</v>
      </c>
      <c r="C557" s="153" t="s">
        <v>2151</v>
      </c>
      <c r="D557" s="154">
        <v>11302.6</v>
      </c>
      <c r="E557" s="155">
        <v>44748</v>
      </c>
      <c r="F557" s="154">
        <v>11302.6</v>
      </c>
      <c r="G557" s="156">
        <f>Tabla18[[#This Row],[Importe]]-Tabla18[[#This Row],[Pagado]]</f>
        <v>0</v>
      </c>
      <c r="H557" s="153" t="s">
        <v>10</v>
      </c>
    </row>
    <row r="558" spans="1:8" x14ac:dyDescent="0.25">
      <c r="A558" s="73">
        <v>44748</v>
      </c>
      <c r="B558" s="74" t="s">
        <v>21843</v>
      </c>
      <c r="C558" s="75" t="s">
        <v>60</v>
      </c>
      <c r="D558" s="81">
        <v>5312</v>
      </c>
      <c r="E558" s="151">
        <v>44752</v>
      </c>
      <c r="F558" s="81">
        <v>5312</v>
      </c>
      <c r="G558" s="156">
        <f>Tabla18[[#This Row],[Importe]]-Tabla18[[#This Row],[Pagado]]</f>
        <v>0</v>
      </c>
      <c r="H558" s="75" t="s">
        <v>10</v>
      </c>
    </row>
    <row r="559" spans="1:8" x14ac:dyDescent="0.25">
      <c r="A559" s="148">
        <v>44748</v>
      </c>
      <c r="B559" s="149" t="s">
        <v>21844</v>
      </c>
      <c r="C559" s="153" t="s">
        <v>105</v>
      </c>
      <c r="D559" s="154">
        <v>6448</v>
      </c>
      <c r="E559" s="155">
        <v>44748</v>
      </c>
      <c r="F559" s="154">
        <v>6448</v>
      </c>
      <c r="G559" s="156">
        <f>Tabla18[[#This Row],[Importe]]-Tabla18[[#This Row],[Pagado]]</f>
        <v>0</v>
      </c>
      <c r="H559" s="153" t="s">
        <v>10</v>
      </c>
    </row>
    <row r="560" spans="1:8" x14ac:dyDescent="0.25">
      <c r="A560" s="73">
        <v>44748</v>
      </c>
      <c r="B560" s="74" t="s">
        <v>21845</v>
      </c>
      <c r="C560" s="75" t="s">
        <v>109</v>
      </c>
      <c r="D560" s="81">
        <v>6379.8</v>
      </c>
      <c r="E560" s="151">
        <v>44749</v>
      </c>
      <c r="F560" s="81">
        <v>6379.8</v>
      </c>
      <c r="G560" s="156">
        <f>Tabla18[[#This Row],[Importe]]-Tabla18[[#This Row],[Pagado]]</f>
        <v>0</v>
      </c>
      <c r="H560" s="75" t="s">
        <v>10</v>
      </c>
    </row>
    <row r="561" spans="1:8" x14ac:dyDescent="0.25">
      <c r="A561" s="148">
        <v>44748</v>
      </c>
      <c r="B561" s="149" t="s">
        <v>21846</v>
      </c>
      <c r="C561" s="153" t="s">
        <v>64</v>
      </c>
      <c r="D561" s="154">
        <v>5587.2</v>
      </c>
      <c r="E561" s="155">
        <v>44750</v>
      </c>
      <c r="F561" s="154">
        <v>5587.2</v>
      </c>
      <c r="G561" s="156">
        <f>Tabla18[[#This Row],[Importe]]-Tabla18[[#This Row],[Pagado]]</f>
        <v>0</v>
      </c>
      <c r="H561" s="153" t="s">
        <v>10</v>
      </c>
    </row>
    <row r="562" spans="1:8" x14ac:dyDescent="0.25">
      <c r="A562" s="73">
        <v>44748</v>
      </c>
      <c r="B562" s="74" t="s">
        <v>21847</v>
      </c>
      <c r="C562" s="75" t="s">
        <v>89</v>
      </c>
      <c r="D562" s="81">
        <v>10354.4</v>
      </c>
      <c r="E562" s="151">
        <v>44749</v>
      </c>
      <c r="F562" s="81">
        <v>10354.4</v>
      </c>
      <c r="G562" s="156">
        <f>Tabla18[[#This Row],[Importe]]-Tabla18[[#This Row],[Pagado]]</f>
        <v>0</v>
      </c>
      <c r="H562" s="75" t="s">
        <v>10</v>
      </c>
    </row>
    <row r="563" spans="1:8" x14ac:dyDescent="0.25">
      <c r="A563" s="148">
        <v>44748</v>
      </c>
      <c r="B563" s="149" t="s">
        <v>21848</v>
      </c>
      <c r="C563" s="153" t="s">
        <v>75</v>
      </c>
      <c r="D563" s="154">
        <v>3636</v>
      </c>
      <c r="E563" s="155">
        <v>44748</v>
      </c>
      <c r="F563" s="154">
        <v>3636</v>
      </c>
      <c r="G563" s="156">
        <f>Tabla18[[#This Row],[Importe]]-Tabla18[[#This Row],[Pagado]]</f>
        <v>0</v>
      </c>
      <c r="H563" s="153" t="s">
        <v>10</v>
      </c>
    </row>
    <row r="564" spans="1:8" x14ac:dyDescent="0.25">
      <c r="A564" s="73">
        <v>44748</v>
      </c>
      <c r="B564" s="74" t="s">
        <v>21849</v>
      </c>
      <c r="C564" s="75" t="s">
        <v>2151</v>
      </c>
      <c r="D564" s="81">
        <v>4623.3999999999996</v>
      </c>
      <c r="E564" s="151">
        <v>44748</v>
      </c>
      <c r="F564" s="81">
        <v>4623.3999999999996</v>
      </c>
      <c r="G564" s="156">
        <f>Tabla18[[#This Row],[Importe]]-Tabla18[[#This Row],[Pagado]]</f>
        <v>0</v>
      </c>
      <c r="H564" s="75" t="s">
        <v>10</v>
      </c>
    </row>
    <row r="565" spans="1:8" x14ac:dyDescent="0.25">
      <c r="A565" s="148">
        <v>44748</v>
      </c>
      <c r="B565" s="149" t="s">
        <v>21850</v>
      </c>
      <c r="C565" s="153" t="s">
        <v>89</v>
      </c>
      <c r="D565" s="154">
        <v>1211.8</v>
      </c>
      <c r="E565" s="155">
        <v>44749</v>
      </c>
      <c r="F565" s="154">
        <v>1211.8</v>
      </c>
      <c r="G565" s="156">
        <f>Tabla18[[#This Row],[Importe]]-Tabla18[[#This Row],[Pagado]]</f>
        <v>0</v>
      </c>
      <c r="H565" s="153" t="s">
        <v>10</v>
      </c>
    </row>
    <row r="566" spans="1:8" x14ac:dyDescent="0.25">
      <c r="A566" s="73">
        <v>44748</v>
      </c>
      <c r="B566" s="74" t="s">
        <v>21851</v>
      </c>
      <c r="C566" s="75" t="s">
        <v>93</v>
      </c>
      <c r="D566" s="81">
        <v>2111.1999999999998</v>
      </c>
      <c r="E566" s="151">
        <v>44750</v>
      </c>
      <c r="F566" s="81">
        <v>2111.1999999999998</v>
      </c>
      <c r="G566" s="156">
        <f>Tabla18[[#This Row],[Importe]]-Tabla18[[#This Row],[Pagado]]</f>
        <v>0</v>
      </c>
      <c r="H566" s="75" t="s">
        <v>10</v>
      </c>
    </row>
    <row r="567" spans="1:8" x14ac:dyDescent="0.25">
      <c r="A567" s="148">
        <v>44748</v>
      </c>
      <c r="B567" s="149" t="s">
        <v>21852</v>
      </c>
      <c r="C567" s="153" t="s">
        <v>348</v>
      </c>
      <c r="D567" s="154">
        <v>2744</v>
      </c>
      <c r="E567" s="155">
        <v>44748</v>
      </c>
      <c r="F567" s="154">
        <v>2744</v>
      </c>
      <c r="G567" s="156">
        <f>Tabla18[[#This Row],[Importe]]-Tabla18[[#This Row],[Pagado]]</f>
        <v>0</v>
      </c>
      <c r="H567" s="153" t="s">
        <v>10</v>
      </c>
    </row>
    <row r="568" spans="1:8" x14ac:dyDescent="0.25">
      <c r="A568" s="73">
        <v>44748</v>
      </c>
      <c r="B568" s="74" t="s">
        <v>21853</v>
      </c>
      <c r="C568" s="75" t="s">
        <v>212</v>
      </c>
      <c r="D568" s="81">
        <v>54149.8</v>
      </c>
      <c r="E568" s="151">
        <v>44751</v>
      </c>
      <c r="F568" s="81">
        <v>54149.8</v>
      </c>
      <c r="G568" s="156">
        <f>Tabla18[[#This Row],[Importe]]-Tabla18[[#This Row],[Pagado]]</f>
        <v>0</v>
      </c>
      <c r="H568" s="75" t="s">
        <v>10</v>
      </c>
    </row>
    <row r="569" spans="1:8" x14ac:dyDescent="0.25">
      <c r="A569" s="148">
        <v>44748</v>
      </c>
      <c r="B569" s="149" t="s">
        <v>21854</v>
      </c>
      <c r="C569" s="153" t="s">
        <v>345</v>
      </c>
      <c r="D569" s="154">
        <v>657</v>
      </c>
      <c r="E569" s="155">
        <v>44748</v>
      </c>
      <c r="F569" s="154">
        <v>657</v>
      </c>
      <c r="G569" s="156">
        <f>Tabla18[[#This Row],[Importe]]-Tabla18[[#This Row],[Pagado]]</f>
        <v>0</v>
      </c>
      <c r="H569" s="153" t="s">
        <v>10</v>
      </c>
    </row>
    <row r="570" spans="1:8" x14ac:dyDescent="0.25">
      <c r="A570" s="73">
        <v>44748</v>
      </c>
      <c r="B570" s="74" t="s">
        <v>21855</v>
      </c>
      <c r="C570" s="75" t="s">
        <v>481</v>
      </c>
      <c r="D570" s="81">
        <v>144.4</v>
      </c>
      <c r="E570" s="151">
        <v>44748</v>
      </c>
      <c r="F570" s="81">
        <v>144.4</v>
      </c>
      <c r="G570" s="156">
        <f>Tabla18[[#This Row],[Importe]]-Tabla18[[#This Row],[Pagado]]</f>
        <v>0</v>
      </c>
      <c r="H570" s="75" t="s">
        <v>10</v>
      </c>
    </row>
    <row r="571" spans="1:8" x14ac:dyDescent="0.25">
      <c r="A571" s="148">
        <v>44748</v>
      </c>
      <c r="B571" s="149" t="s">
        <v>21856</v>
      </c>
      <c r="C571" s="153" t="s">
        <v>206</v>
      </c>
      <c r="D571" s="154">
        <v>31097.8</v>
      </c>
      <c r="E571" s="155">
        <v>44751</v>
      </c>
      <c r="F571" s="154">
        <v>31097.8</v>
      </c>
      <c r="G571" s="156">
        <f>Tabla18[[#This Row],[Importe]]-Tabla18[[#This Row],[Pagado]]</f>
        <v>0</v>
      </c>
      <c r="H571" s="153" t="s">
        <v>10</v>
      </c>
    </row>
    <row r="572" spans="1:8" x14ac:dyDescent="0.25">
      <c r="A572" s="73">
        <v>44748</v>
      </c>
      <c r="B572" s="74" t="s">
        <v>21857</v>
      </c>
      <c r="C572" s="75" t="s">
        <v>154</v>
      </c>
      <c r="D572" s="81">
        <v>42516.800000000003</v>
      </c>
      <c r="E572" s="151">
        <v>44751</v>
      </c>
      <c r="F572" s="81">
        <v>42516.800000000003</v>
      </c>
      <c r="G572" s="156">
        <f>Tabla18[[#This Row],[Importe]]-Tabla18[[#This Row],[Pagado]]</f>
        <v>0</v>
      </c>
      <c r="H572" s="75" t="s">
        <v>10</v>
      </c>
    </row>
    <row r="573" spans="1:8" x14ac:dyDescent="0.25">
      <c r="A573" s="148">
        <v>44748</v>
      </c>
      <c r="B573" s="149" t="s">
        <v>21858</v>
      </c>
      <c r="C573" s="153" t="s">
        <v>218</v>
      </c>
      <c r="D573" s="154">
        <v>16223.4</v>
      </c>
      <c r="E573" s="155">
        <v>44751</v>
      </c>
      <c r="F573" s="154">
        <v>16223.4</v>
      </c>
      <c r="G573" s="156">
        <f>Tabla18[[#This Row],[Importe]]-Tabla18[[#This Row],[Pagado]]</f>
        <v>0</v>
      </c>
      <c r="H573" s="153" t="s">
        <v>10</v>
      </c>
    </row>
    <row r="574" spans="1:8" x14ac:dyDescent="0.25">
      <c r="A574" s="73">
        <v>44748</v>
      </c>
      <c r="B574" s="74" t="s">
        <v>21859</v>
      </c>
      <c r="C574" s="75" t="s">
        <v>9</v>
      </c>
      <c r="D574" s="81">
        <v>7694.7</v>
      </c>
      <c r="E574" s="151">
        <v>44748</v>
      </c>
      <c r="F574" s="81">
        <v>7694.7</v>
      </c>
      <c r="G574" s="156">
        <f>Tabla18[[#This Row],[Importe]]-Tabla18[[#This Row],[Pagado]]</f>
        <v>0</v>
      </c>
      <c r="H574" s="75" t="s">
        <v>10</v>
      </c>
    </row>
    <row r="575" spans="1:8" x14ac:dyDescent="0.25">
      <c r="A575" s="148">
        <v>44748</v>
      </c>
      <c r="B575" s="149" t="s">
        <v>21860</v>
      </c>
      <c r="C575" s="153" t="s">
        <v>208</v>
      </c>
      <c r="D575" s="154">
        <v>41464.46</v>
      </c>
      <c r="E575" s="155">
        <v>44756</v>
      </c>
      <c r="F575" s="154">
        <v>41464.46</v>
      </c>
      <c r="G575" s="156">
        <f>Tabla18[[#This Row],[Importe]]-Tabla18[[#This Row],[Pagado]]</f>
        <v>0</v>
      </c>
      <c r="H575" s="153" t="s">
        <v>10</v>
      </c>
    </row>
    <row r="576" spans="1:8" x14ac:dyDescent="0.25">
      <c r="A576" s="73">
        <v>44748</v>
      </c>
      <c r="B576" s="74" t="s">
        <v>21861</v>
      </c>
      <c r="C576" s="75" t="s">
        <v>173</v>
      </c>
      <c r="D576" s="81">
        <v>26839.200000000001</v>
      </c>
      <c r="E576" s="151">
        <v>44749</v>
      </c>
      <c r="F576" s="81">
        <v>26839.200000000001</v>
      </c>
      <c r="G576" s="156">
        <f>Tabla18[[#This Row],[Importe]]-Tabla18[[#This Row],[Pagado]]</f>
        <v>0</v>
      </c>
      <c r="H576" s="75" t="s">
        <v>10</v>
      </c>
    </row>
    <row r="577" spans="1:8" x14ac:dyDescent="0.25">
      <c r="A577" s="148">
        <v>44748</v>
      </c>
      <c r="B577" s="149" t="s">
        <v>21862</v>
      </c>
      <c r="C577" s="153" t="s">
        <v>1187</v>
      </c>
      <c r="D577" s="154">
        <v>882.9</v>
      </c>
      <c r="E577" s="155">
        <v>44748</v>
      </c>
      <c r="F577" s="154">
        <v>882.9</v>
      </c>
      <c r="G577" s="156">
        <f>Tabla18[[#This Row],[Importe]]-Tabla18[[#This Row],[Pagado]]</f>
        <v>0</v>
      </c>
      <c r="H577" s="153" t="s">
        <v>10</v>
      </c>
    </row>
    <row r="578" spans="1:8" x14ac:dyDescent="0.25">
      <c r="A578" s="73">
        <v>44748</v>
      </c>
      <c r="B578" s="74" t="s">
        <v>21863</v>
      </c>
      <c r="C578" s="75" t="s">
        <v>133</v>
      </c>
      <c r="D578" s="81">
        <v>14746</v>
      </c>
      <c r="E578" s="151">
        <v>44749</v>
      </c>
      <c r="F578" s="81">
        <v>14746</v>
      </c>
      <c r="G578" s="156">
        <f>Tabla18[[#This Row],[Importe]]-Tabla18[[#This Row],[Pagado]]</f>
        <v>0</v>
      </c>
      <c r="H578" s="75" t="s">
        <v>10</v>
      </c>
    </row>
    <row r="579" spans="1:8" x14ac:dyDescent="0.25">
      <c r="A579" s="148">
        <v>44748</v>
      </c>
      <c r="B579" s="149" t="s">
        <v>21864</v>
      </c>
      <c r="C579" s="153" t="s">
        <v>131</v>
      </c>
      <c r="D579" s="154">
        <v>5580</v>
      </c>
      <c r="E579" s="155">
        <v>44748</v>
      </c>
      <c r="F579" s="154">
        <v>5580</v>
      </c>
      <c r="G579" s="156">
        <f>Tabla18[[#This Row],[Importe]]-Tabla18[[#This Row],[Pagado]]</f>
        <v>0</v>
      </c>
      <c r="H579" s="153" t="s">
        <v>10</v>
      </c>
    </row>
    <row r="580" spans="1:8" x14ac:dyDescent="0.25">
      <c r="A580" s="73">
        <v>44748</v>
      </c>
      <c r="B580" s="74" t="s">
        <v>21865</v>
      </c>
      <c r="C580" s="75" t="s">
        <v>21866</v>
      </c>
      <c r="D580" s="81">
        <v>0</v>
      </c>
      <c r="E580" s="157" t="s">
        <v>189</v>
      </c>
      <c r="F580" s="81">
        <v>0</v>
      </c>
      <c r="G580" s="156">
        <f>Tabla18[[#This Row],[Importe]]-Tabla18[[#This Row],[Pagado]]</f>
        <v>0</v>
      </c>
      <c r="H580" s="75" t="s">
        <v>189</v>
      </c>
    </row>
    <row r="581" spans="1:8" x14ac:dyDescent="0.25">
      <c r="A581" s="148">
        <v>44748</v>
      </c>
      <c r="B581" s="149" t="s">
        <v>21867</v>
      </c>
      <c r="C581" s="153" t="s">
        <v>924</v>
      </c>
      <c r="D581" s="154">
        <v>14357.9</v>
      </c>
      <c r="E581" s="155">
        <v>44748</v>
      </c>
      <c r="F581" s="154">
        <v>14357.9</v>
      </c>
      <c r="G581" s="156">
        <f>Tabla18[[#This Row],[Importe]]-Tabla18[[#This Row],[Pagado]]</f>
        <v>0</v>
      </c>
      <c r="H581" s="153" t="s">
        <v>10</v>
      </c>
    </row>
    <row r="582" spans="1:8" x14ac:dyDescent="0.25">
      <c r="A582" s="73">
        <v>44748</v>
      </c>
      <c r="B582" s="74" t="s">
        <v>21868</v>
      </c>
      <c r="C582" s="75" t="s">
        <v>22</v>
      </c>
      <c r="D582" s="81">
        <v>64983.4</v>
      </c>
      <c r="E582" s="151">
        <v>44749</v>
      </c>
      <c r="F582" s="81">
        <v>64983.4</v>
      </c>
      <c r="G582" s="156">
        <f>Tabla18[[#This Row],[Importe]]-Tabla18[[#This Row],[Pagado]]</f>
        <v>0</v>
      </c>
      <c r="H582" s="75" t="s">
        <v>10</v>
      </c>
    </row>
    <row r="583" spans="1:8" x14ac:dyDescent="0.25">
      <c r="A583" s="148">
        <v>44748</v>
      </c>
      <c r="B583" s="149" t="s">
        <v>21869</v>
      </c>
      <c r="C583" s="153" t="s">
        <v>18</v>
      </c>
      <c r="D583" s="154">
        <v>2002.5</v>
      </c>
      <c r="E583" s="155">
        <v>44748</v>
      </c>
      <c r="F583" s="154">
        <v>2002.5</v>
      </c>
      <c r="G583" s="156">
        <f>Tabla18[[#This Row],[Importe]]-Tabla18[[#This Row],[Pagado]]</f>
        <v>0</v>
      </c>
      <c r="H583" s="153" t="s">
        <v>10</v>
      </c>
    </row>
    <row r="584" spans="1:8" x14ac:dyDescent="0.25">
      <c r="A584" s="73">
        <v>44748</v>
      </c>
      <c r="B584" s="74" t="s">
        <v>21870</v>
      </c>
      <c r="C584" s="75" t="s">
        <v>49</v>
      </c>
      <c r="D584" s="81">
        <v>3320.4</v>
      </c>
      <c r="E584" s="151">
        <v>44748</v>
      </c>
      <c r="F584" s="81">
        <v>3320.4</v>
      </c>
      <c r="G584" s="156">
        <f>Tabla18[[#This Row],[Importe]]-Tabla18[[#This Row],[Pagado]]</f>
        <v>0</v>
      </c>
      <c r="H584" s="75" t="s">
        <v>10</v>
      </c>
    </row>
    <row r="585" spans="1:8" x14ac:dyDescent="0.25">
      <c r="A585" s="148">
        <v>44748</v>
      </c>
      <c r="B585" s="149" t="s">
        <v>21871</v>
      </c>
      <c r="C585" s="153" t="s">
        <v>10157</v>
      </c>
      <c r="D585" s="154">
        <v>30856.7</v>
      </c>
      <c r="E585" s="155">
        <v>44765</v>
      </c>
      <c r="F585" s="154">
        <v>30856.7</v>
      </c>
      <c r="G585" s="156">
        <f>Tabla18[[#This Row],[Importe]]-Tabla18[[#This Row],[Pagado]]</f>
        <v>0</v>
      </c>
      <c r="H585" s="153" t="s">
        <v>10</v>
      </c>
    </row>
    <row r="586" spans="1:8" x14ac:dyDescent="0.25">
      <c r="A586" s="73">
        <v>44748</v>
      </c>
      <c r="B586" s="74" t="s">
        <v>21872</v>
      </c>
      <c r="C586" s="75" t="s">
        <v>664</v>
      </c>
      <c r="D586" s="81">
        <v>13994.4</v>
      </c>
      <c r="E586" s="151">
        <v>44748</v>
      </c>
      <c r="F586" s="81">
        <v>13994.4</v>
      </c>
      <c r="G586" s="156">
        <f>Tabla18[[#This Row],[Importe]]-Tabla18[[#This Row],[Pagado]]</f>
        <v>0</v>
      </c>
      <c r="H586" s="75" t="s">
        <v>10</v>
      </c>
    </row>
    <row r="587" spans="1:8" x14ac:dyDescent="0.25">
      <c r="A587" s="148">
        <v>44748</v>
      </c>
      <c r="B587" s="149" t="s">
        <v>21873</v>
      </c>
      <c r="C587" s="153" t="s">
        <v>31</v>
      </c>
      <c r="D587" s="154">
        <v>3172.4</v>
      </c>
      <c r="E587" s="155">
        <v>44748</v>
      </c>
      <c r="F587" s="154">
        <v>3172.4</v>
      </c>
      <c r="G587" s="156">
        <f>Tabla18[[#This Row],[Importe]]-Tabla18[[#This Row],[Pagado]]</f>
        <v>0</v>
      </c>
      <c r="H587" s="153" t="s">
        <v>10</v>
      </c>
    </row>
    <row r="588" spans="1:8" x14ac:dyDescent="0.25">
      <c r="A588" s="73">
        <v>44748</v>
      </c>
      <c r="B588" s="74" t="s">
        <v>21874</v>
      </c>
      <c r="C588" s="75" t="s">
        <v>16</v>
      </c>
      <c r="D588" s="81">
        <v>6114</v>
      </c>
      <c r="E588" s="151">
        <v>44748</v>
      </c>
      <c r="F588" s="81">
        <v>6114</v>
      </c>
      <c r="G588" s="156">
        <f>Tabla18[[#This Row],[Importe]]-Tabla18[[#This Row],[Pagado]]</f>
        <v>0</v>
      </c>
      <c r="H588" s="75" t="s">
        <v>10</v>
      </c>
    </row>
    <row r="589" spans="1:8" x14ac:dyDescent="0.25">
      <c r="A589" s="148">
        <v>44748</v>
      </c>
      <c r="B589" s="149" t="s">
        <v>21875</v>
      </c>
      <c r="C589" s="153" t="s">
        <v>83</v>
      </c>
      <c r="D589" s="154">
        <v>11618</v>
      </c>
      <c r="E589" s="155">
        <v>44748</v>
      </c>
      <c r="F589" s="154">
        <v>11618</v>
      </c>
      <c r="G589" s="156">
        <f>Tabla18[[#This Row],[Importe]]-Tabla18[[#This Row],[Pagado]]</f>
        <v>0</v>
      </c>
      <c r="H589" s="153" t="s">
        <v>10</v>
      </c>
    </row>
    <row r="590" spans="1:8" x14ac:dyDescent="0.25">
      <c r="A590" s="73">
        <v>44748</v>
      </c>
      <c r="B590" s="74" t="s">
        <v>21876</v>
      </c>
      <c r="C590" s="75" t="s">
        <v>27</v>
      </c>
      <c r="D590" s="81">
        <v>504.6</v>
      </c>
      <c r="E590" s="151">
        <v>44748</v>
      </c>
      <c r="F590" s="81">
        <v>504.6</v>
      </c>
      <c r="G590" s="156">
        <f>Tabla18[[#This Row],[Importe]]-Tabla18[[#This Row],[Pagado]]</f>
        <v>0</v>
      </c>
      <c r="H590" s="75" t="s">
        <v>10</v>
      </c>
    </row>
    <row r="591" spans="1:8" x14ac:dyDescent="0.25">
      <c r="A591" s="148">
        <v>44748</v>
      </c>
      <c r="B591" s="149" t="s">
        <v>21877</v>
      </c>
      <c r="C591" s="153" t="s">
        <v>27</v>
      </c>
      <c r="D591" s="154">
        <v>140</v>
      </c>
      <c r="E591" s="155">
        <v>44748</v>
      </c>
      <c r="F591" s="154">
        <v>140</v>
      </c>
      <c r="G591" s="156">
        <f>Tabla18[[#This Row],[Importe]]-Tabla18[[#This Row],[Pagado]]</f>
        <v>0</v>
      </c>
      <c r="H591" s="153" t="s">
        <v>10</v>
      </c>
    </row>
    <row r="592" spans="1:8" x14ac:dyDescent="0.25">
      <c r="A592" s="73">
        <v>44748</v>
      </c>
      <c r="B592" s="74" t="s">
        <v>21878</v>
      </c>
      <c r="C592" s="75" t="s">
        <v>107</v>
      </c>
      <c r="D592" s="81">
        <v>9670.4</v>
      </c>
      <c r="E592" s="151">
        <v>44748</v>
      </c>
      <c r="F592" s="81">
        <v>9670.4</v>
      </c>
      <c r="G592" s="156">
        <f>Tabla18[[#This Row],[Importe]]-Tabla18[[#This Row],[Pagado]]</f>
        <v>0</v>
      </c>
      <c r="H592" s="75" t="s">
        <v>10</v>
      </c>
    </row>
    <row r="593" spans="1:8" x14ac:dyDescent="0.25">
      <c r="A593" s="148">
        <v>44748</v>
      </c>
      <c r="B593" s="149" t="s">
        <v>21879</v>
      </c>
      <c r="C593" s="153" t="s">
        <v>146</v>
      </c>
      <c r="D593" s="154">
        <v>3085.7</v>
      </c>
      <c r="E593" s="155">
        <v>44748</v>
      </c>
      <c r="F593" s="154">
        <v>3085.7</v>
      </c>
      <c r="G593" s="156">
        <f>Tabla18[[#This Row],[Importe]]-Tabla18[[#This Row],[Pagado]]</f>
        <v>0</v>
      </c>
      <c r="H593" s="153" t="s">
        <v>10</v>
      </c>
    </row>
    <row r="594" spans="1:8" x14ac:dyDescent="0.25">
      <c r="A594" s="73">
        <v>44748</v>
      </c>
      <c r="B594" s="74" t="s">
        <v>21880</v>
      </c>
      <c r="C594" s="75" t="s">
        <v>11033</v>
      </c>
      <c r="D594" s="81">
        <v>2040.5</v>
      </c>
      <c r="E594" s="151">
        <v>44748</v>
      </c>
      <c r="F594" s="81">
        <v>2040.5</v>
      </c>
      <c r="G594" s="156">
        <f>Tabla18[[#This Row],[Importe]]-Tabla18[[#This Row],[Pagado]]</f>
        <v>0</v>
      </c>
      <c r="H594" s="75" t="s">
        <v>10</v>
      </c>
    </row>
    <row r="595" spans="1:8" x14ac:dyDescent="0.25">
      <c r="A595" s="148">
        <v>44748</v>
      </c>
      <c r="B595" s="149" t="s">
        <v>21881</v>
      </c>
      <c r="C595" s="153" t="s">
        <v>142</v>
      </c>
      <c r="D595" s="154">
        <v>58616</v>
      </c>
      <c r="E595" s="155">
        <v>44799</v>
      </c>
      <c r="F595" s="154">
        <v>58616</v>
      </c>
      <c r="G595" s="156">
        <f>Tabla18[[#This Row],[Importe]]-Tabla18[[#This Row],[Pagado]]</f>
        <v>0</v>
      </c>
      <c r="H595" s="153" t="s">
        <v>10</v>
      </c>
    </row>
    <row r="596" spans="1:8" x14ac:dyDescent="0.25">
      <c r="A596" s="73">
        <v>44748</v>
      </c>
      <c r="B596" s="74" t="s">
        <v>21882</v>
      </c>
      <c r="C596" s="75" t="s">
        <v>56</v>
      </c>
      <c r="D596" s="81">
        <v>8062.5</v>
      </c>
      <c r="E596" s="151">
        <v>44748</v>
      </c>
      <c r="F596" s="81">
        <v>8062.5</v>
      </c>
      <c r="G596" s="156">
        <f>Tabla18[[#This Row],[Importe]]-Tabla18[[#This Row],[Pagado]]</f>
        <v>0</v>
      </c>
      <c r="H596" s="75" t="s">
        <v>10</v>
      </c>
    </row>
    <row r="597" spans="1:8" x14ac:dyDescent="0.25">
      <c r="A597" s="148">
        <v>44748</v>
      </c>
      <c r="B597" s="149" t="s">
        <v>21883</v>
      </c>
      <c r="C597" s="153" t="s">
        <v>87</v>
      </c>
      <c r="D597" s="154">
        <v>3330.4</v>
      </c>
      <c r="E597" s="155">
        <v>44748</v>
      </c>
      <c r="F597" s="154">
        <v>3330.4</v>
      </c>
      <c r="G597" s="156">
        <f>Tabla18[[#This Row],[Importe]]-Tabla18[[#This Row],[Pagado]]</f>
        <v>0</v>
      </c>
      <c r="H597" s="153" t="s">
        <v>10</v>
      </c>
    </row>
    <row r="598" spans="1:8" x14ac:dyDescent="0.25">
      <c r="A598" s="73">
        <v>44748</v>
      </c>
      <c r="B598" s="74" t="s">
        <v>21884</v>
      </c>
      <c r="C598" s="75" t="s">
        <v>12202</v>
      </c>
      <c r="D598" s="81">
        <v>24600</v>
      </c>
      <c r="E598" s="151">
        <v>44748</v>
      </c>
      <c r="F598" s="81">
        <v>24600</v>
      </c>
      <c r="G598" s="156">
        <f>Tabla18[[#This Row],[Importe]]-Tabla18[[#This Row],[Pagado]]</f>
        <v>0</v>
      </c>
      <c r="H598" s="75" t="s">
        <v>10</v>
      </c>
    </row>
    <row r="599" spans="1:8" x14ac:dyDescent="0.25">
      <c r="A599" s="148">
        <v>44748</v>
      </c>
      <c r="B599" s="149" t="s">
        <v>21885</v>
      </c>
      <c r="C599" s="153" t="s">
        <v>161</v>
      </c>
      <c r="D599" s="154">
        <v>4284.6000000000004</v>
      </c>
      <c r="E599" s="155">
        <v>44748</v>
      </c>
      <c r="F599" s="154">
        <v>4284.6000000000004</v>
      </c>
      <c r="G599" s="156">
        <f>Tabla18[[#This Row],[Importe]]-Tabla18[[#This Row],[Pagado]]</f>
        <v>0</v>
      </c>
      <c r="H599" s="153" t="s">
        <v>10</v>
      </c>
    </row>
    <row r="600" spans="1:8" x14ac:dyDescent="0.25">
      <c r="A600" s="73">
        <v>44748</v>
      </c>
      <c r="B600" s="74" t="s">
        <v>21886</v>
      </c>
      <c r="C600" s="75" t="s">
        <v>24</v>
      </c>
      <c r="D600" s="81">
        <v>3342.7</v>
      </c>
      <c r="E600" s="151">
        <v>44748</v>
      </c>
      <c r="F600" s="81">
        <v>3342.7</v>
      </c>
      <c r="G600" s="156">
        <f>Tabla18[[#This Row],[Importe]]-Tabla18[[#This Row],[Pagado]]</f>
        <v>0</v>
      </c>
      <c r="H600" s="75" t="s">
        <v>10</v>
      </c>
    </row>
    <row r="601" spans="1:8" x14ac:dyDescent="0.25">
      <c r="A601" s="148">
        <v>44748</v>
      </c>
      <c r="B601" s="149" t="s">
        <v>21887</v>
      </c>
      <c r="C601" s="153" t="s">
        <v>45</v>
      </c>
      <c r="D601" s="154">
        <v>12792.3</v>
      </c>
      <c r="E601" s="155">
        <v>44748</v>
      </c>
      <c r="F601" s="154">
        <v>12792.3</v>
      </c>
      <c r="G601" s="156">
        <f>Tabla18[[#This Row],[Importe]]-Tabla18[[#This Row],[Pagado]]</f>
        <v>0</v>
      </c>
      <c r="H601" s="153" t="s">
        <v>10</v>
      </c>
    </row>
    <row r="602" spans="1:8" x14ac:dyDescent="0.25">
      <c r="A602" s="73">
        <v>44748</v>
      </c>
      <c r="B602" s="74" t="s">
        <v>21888</v>
      </c>
      <c r="C602" s="75" t="s">
        <v>204</v>
      </c>
      <c r="D602" s="81">
        <v>2413</v>
      </c>
      <c r="E602" s="151">
        <v>44748</v>
      </c>
      <c r="F602" s="81">
        <v>2413</v>
      </c>
      <c r="G602" s="156">
        <f>Tabla18[[#This Row],[Importe]]-Tabla18[[#This Row],[Pagado]]</f>
        <v>0</v>
      </c>
      <c r="H602" s="75" t="s">
        <v>10</v>
      </c>
    </row>
    <row r="603" spans="1:8" x14ac:dyDescent="0.25">
      <c r="A603" s="148">
        <v>44748</v>
      </c>
      <c r="B603" s="149" t="s">
        <v>21889</v>
      </c>
      <c r="C603" s="153" t="s">
        <v>53</v>
      </c>
      <c r="D603" s="154">
        <v>2310.1999999999998</v>
      </c>
      <c r="E603" s="155">
        <v>44748</v>
      </c>
      <c r="F603" s="154">
        <v>2310.1999999999998</v>
      </c>
      <c r="G603" s="156">
        <f>Tabla18[[#This Row],[Importe]]-Tabla18[[#This Row],[Pagado]]</f>
        <v>0</v>
      </c>
      <c r="H603" s="153" t="s">
        <v>10</v>
      </c>
    </row>
    <row r="604" spans="1:8" x14ac:dyDescent="0.25">
      <c r="A604" s="73">
        <v>44748</v>
      </c>
      <c r="B604" s="74" t="s">
        <v>21890</v>
      </c>
      <c r="C604" s="75" t="s">
        <v>291</v>
      </c>
      <c r="D604" s="81">
        <v>1149.5999999999999</v>
      </c>
      <c r="E604" s="151">
        <v>44749</v>
      </c>
      <c r="F604" s="81">
        <v>1149.5999999999999</v>
      </c>
      <c r="G604" s="156">
        <f>Tabla18[[#This Row],[Importe]]-Tabla18[[#This Row],[Pagado]]</f>
        <v>0</v>
      </c>
      <c r="H604" s="75" t="s">
        <v>10</v>
      </c>
    </row>
    <row r="605" spans="1:8" x14ac:dyDescent="0.25">
      <c r="A605" s="148">
        <v>44748</v>
      </c>
      <c r="B605" s="149" t="s">
        <v>21891</v>
      </c>
      <c r="C605" s="153" t="s">
        <v>214</v>
      </c>
      <c r="D605" s="154">
        <v>1260</v>
      </c>
      <c r="E605" s="155">
        <v>44748</v>
      </c>
      <c r="F605" s="154">
        <v>1260</v>
      </c>
      <c r="G605" s="156">
        <f>Tabla18[[#This Row],[Importe]]-Tabla18[[#This Row],[Pagado]]</f>
        <v>0</v>
      </c>
      <c r="H605" s="153" t="s">
        <v>10</v>
      </c>
    </row>
    <row r="606" spans="1:8" x14ac:dyDescent="0.25">
      <c r="A606" s="73">
        <v>44748</v>
      </c>
      <c r="B606" s="74" t="s">
        <v>21892</v>
      </c>
      <c r="C606" s="75" t="s">
        <v>196</v>
      </c>
      <c r="D606" s="81">
        <v>92642.6</v>
      </c>
      <c r="E606" s="151">
        <v>44750</v>
      </c>
      <c r="F606" s="81">
        <v>92642.6</v>
      </c>
      <c r="G606" s="156">
        <f>Tabla18[[#This Row],[Importe]]-Tabla18[[#This Row],[Pagado]]</f>
        <v>0</v>
      </c>
      <c r="H606" s="75" t="s">
        <v>10</v>
      </c>
    </row>
    <row r="607" spans="1:8" x14ac:dyDescent="0.25">
      <c r="A607" s="148">
        <v>44748</v>
      </c>
      <c r="B607" s="149" t="s">
        <v>21893</v>
      </c>
      <c r="C607" s="153" t="s">
        <v>562</v>
      </c>
      <c r="D607" s="154">
        <v>3984</v>
      </c>
      <c r="E607" s="155">
        <v>44748</v>
      </c>
      <c r="F607" s="154">
        <v>3984</v>
      </c>
      <c r="G607" s="156">
        <f>Tabla18[[#This Row],[Importe]]-Tabla18[[#This Row],[Pagado]]</f>
        <v>0</v>
      </c>
      <c r="H607" s="153" t="s">
        <v>10</v>
      </c>
    </row>
    <row r="608" spans="1:8" x14ac:dyDescent="0.25">
      <c r="A608" s="73">
        <v>44748</v>
      </c>
      <c r="B608" s="74" t="s">
        <v>21894</v>
      </c>
      <c r="C608" s="75" t="s">
        <v>198</v>
      </c>
      <c r="D608" s="81">
        <v>1053.4000000000001</v>
      </c>
      <c r="E608" s="151">
        <v>44748</v>
      </c>
      <c r="F608" s="81">
        <v>1053.4000000000001</v>
      </c>
      <c r="G608" s="156">
        <f>Tabla18[[#This Row],[Importe]]-Tabla18[[#This Row],[Pagado]]</f>
        <v>0</v>
      </c>
      <c r="H608" s="75" t="s">
        <v>10</v>
      </c>
    </row>
    <row r="609" spans="1:8" x14ac:dyDescent="0.25">
      <c r="A609" s="148">
        <v>44748</v>
      </c>
      <c r="B609" s="149" t="s">
        <v>21895</v>
      </c>
      <c r="C609" s="153" t="s">
        <v>312</v>
      </c>
      <c r="D609" s="154">
        <v>5047.5</v>
      </c>
      <c r="E609" s="155">
        <v>44748</v>
      </c>
      <c r="F609" s="154">
        <v>5047.5</v>
      </c>
      <c r="G609" s="156">
        <f>Tabla18[[#This Row],[Importe]]-Tabla18[[#This Row],[Pagado]]</f>
        <v>0</v>
      </c>
      <c r="H609" s="153" t="s">
        <v>10</v>
      </c>
    </row>
    <row r="610" spans="1:8" x14ac:dyDescent="0.25">
      <c r="A610" s="73">
        <v>44748</v>
      </c>
      <c r="B610" s="74" t="s">
        <v>21896</v>
      </c>
      <c r="C610" s="75" t="s">
        <v>200</v>
      </c>
      <c r="D610" s="81">
        <v>1317.6</v>
      </c>
      <c r="E610" s="151">
        <v>44748</v>
      </c>
      <c r="F610" s="81">
        <v>1317.6</v>
      </c>
      <c r="G610" s="156">
        <f>Tabla18[[#This Row],[Importe]]-Tabla18[[#This Row],[Pagado]]</f>
        <v>0</v>
      </c>
      <c r="H610" s="75" t="s">
        <v>10</v>
      </c>
    </row>
    <row r="611" spans="1:8" x14ac:dyDescent="0.25">
      <c r="A611" s="148">
        <v>44748</v>
      </c>
      <c r="B611" s="149" t="s">
        <v>21897</v>
      </c>
      <c r="C611" s="153" t="s">
        <v>555</v>
      </c>
      <c r="D611" s="154">
        <v>49152.32</v>
      </c>
      <c r="E611" s="155">
        <v>44748</v>
      </c>
      <c r="F611" s="154">
        <v>49152.32</v>
      </c>
      <c r="G611" s="156">
        <f>Tabla18[[#This Row],[Importe]]-Tabla18[[#This Row],[Pagado]]</f>
        <v>0</v>
      </c>
      <c r="H611" s="153" t="s">
        <v>10</v>
      </c>
    </row>
    <row r="612" spans="1:8" x14ac:dyDescent="0.25">
      <c r="A612" s="73">
        <v>44748</v>
      </c>
      <c r="B612" s="74" t="s">
        <v>21898</v>
      </c>
      <c r="C612" s="75" t="s">
        <v>179</v>
      </c>
      <c r="D612" s="81">
        <v>1252.8</v>
      </c>
      <c r="E612" s="151">
        <v>44748</v>
      </c>
      <c r="F612" s="81">
        <v>1252.8</v>
      </c>
      <c r="G612" s="156">
        <f>Tabla18[[#This Row],[Importe]]-Tabla18[[#This Row],[Pagado]]</f>
        <v>0</v>
      </c>
      <c r="H612" s="75" t="s">
        <v>10</v>
      </c>
    </row>
    <row r="613" spans="1:8" x14ac:dyDescent="0.25">
      <c r="A613" s="148">
        <v>44748</v>
      </c>
      <c r="B613" s="149" t="s">
        <v>21899</v>
      </c>
      <c r="C613" s="153" t="s">
        <v>191</v>
      </c>
      <c r="D613" s="154">
        <v>2395.8000000000002</v>
      </c>
      <c r="E613" s="155">
        <v>44748</v>
      </c>
      <c r="F613" s="154">
        <v>2395.8000000000002</v>
      </c>
      <c r="G613" s="156">
        <f>Tabla18[[#This Row],[Importe]]-Tabla18[[#This Row],[Pagado]]</f>
        <v>0</v>
      </c>
      <c r="H613" s="153" t="s">
        <v>10</v>
      </c>
    </row>
    <row r="614" spans="1:8" x14ac:dyDescent="0.25">
      <c r="A614" s="73">
        <v>44748</v>
      </c>
      <c r="B614" s="74" t="s">
        <v>21900</v>
      </c>
      <c r="C614" s="75" t="s">
        <v>31</v>
      </c>
      <c r="D614" s="81">
        <v>741.6</v>
      </c>
      <c r="E614" s="151">
        <v>44748</v>
      </c>
      <c r="F614" s="81">
        <v>741.6</v>
      </c>
      <c r="G614" s="156">
        <f>Tabla18[[#This Row],[Importe]]-Tabla18[[#This Row],[Pagado]]</f>
        <v>0</v>
      </c>
      <c r="H614" s="75" t="s">
        <v>10</v>
      </c>
    </row>
    <row r="615" spans="1:8" x14ac:dyDescent="0.25">
      <c r="A615" s="148">
        <v>44748</v>
      </c>
      <c r="B615" s="149" t="s">
        <v>21901</v>
      </c>
      <c r="C615" s="153" t="s">
        <v>4136</v>
      </c>
      <c r="D615" s="154">
        <v>2320.5</v>
      </c>
      <c r="E615" s="155">
        <v>44748</v>
      </c>
      <c r="F615" s="154">
        <v>2320.5</v>
      </c>
      <c r="G615" s="156">
        <f>Tabla18[[#This Row],[Importe]]-Tabla18[[#This Row],[Pagado]]</f>
        <v>0</v>
      </c>
      <c r="H615" s="153" t="s">
        <v>10</v>
      </c>
    </row>
    <row r="616" spans="1:8" x14ac:dyDescent="0.25">
      <c r="A616" s="73">
        <v>44748</v>
      </c>
      <c r="B616" s="74" t="s">
        <v>21902</v>
      </c>
      <c r="C616" s="75" t="s">
        <v>216</v>
      </c>
      <c r="D616" s="81">
        <v>1929.6</v>
      </c>
      <c r="E616" s="151">
        <v>44748</v>
      </c>
      <c r="F616" s="81">
        <v>1929.6</v>
      </c>
      <c r="G616" s="156">
        <f>Tabla18[[#This Row],[Importe]]-Tabla18[[#This Row],[Pagado]]</f>
        <v>0</v>
      </c>
      <c r="H616" s="75" t="s">
        <v>10</v>
      </c>
    </row>
    <row r="617" spans="1:8" x14ac:dyDescent="0.25">
      <c r="A617" s="148">
        <v>44748</v>
      </c>
      <c r="B617" s="149" t="s">
        <v>21903</v>
      </c>
      <c r="C617" s="153" t="s">
        <v>9827</v>
      </c>
      <c r="D617" s="154">
        <v>3837.6</v>
      </c>
      <c r="E617" s="155">
        <v>44748</v>
      </c>
      <c r="F617" s="154">
        <v>3837.6</v>
      </c>
      <c r="G617" s="156">
        <f>Tabla18[[#This Row],[Importe]]-Tabla18[[#This Row],[Pagado]]</f>
        <v>0</v>
      </c>
      <c r="H617" s="153" t="s">
        <v>10</v>
      </c>
    </row>
    <row r="618" spans="1:8" x14ac:dyDescent="0.25">
      <c r="A618" s="73">
        <v>44748</v>
      </c>
      <c r="B618" s="74" t="s">
        <v>21904</v>
      </c>
      <c r="C618" s="75" t="s">
        <v>3402</v>
      </c>
      <c r="D618" s="81">
        <v>897.6</v>
      </c>
      <c r="E618" s="151">
        <v>44748</v>
      </c>
      <c r="F618" s="81">
        <v>897.6</v>
      </c>
      <c r="G618" s="156">
        <f>Tabla18[[#This Row],[Importe]]-Tabla18[[#This Row],[Pagado]]</f>
        <v>0</v>
      </c>
      <c r="H618" s="75" t="s">
        <v>10</v>
      </c>
    </row>
    <row r="619" spans="1:8" x14ac:dyDescent="0.25">
      <c r="A619" s="148">
        <v>44748</v>
      </c>
      <c r="B619" s="149" t="s">
        <v>21905</v>
      </c>
      <c r="C619" s="153" t="s">
        <v>58</v>
      </c>
      <c r="D619" s="154">
        <v>3574.8</v>
      </c>
      <c r="E619" s="155">
        <v>44748</v>
      </c>
      <c r="F619" s="154">
        <v>3574.8</v>
      </c>
      <c r="G619" s="156">
        <f>Tabla18[[#This Row],[Importe]]-Tabla18[[#This Row],[Pagado]]</f>
        <v>0</v>
      </c>
      <c r="H619" s="153" t="s">
        <v>10</v>
      </c>
    </row>
    <row r="620" spans="1:8" x14ac:dyDescent="0.25">
      <c r="A620" s="73">
        <v>44748</v>
      </c>
      <c r="B620" s="74" t="s">
        <v>21906</v>
      </c>
      <c r="C620" s="75" t="s">
        <v>587</v>
      </c>
      <c r="D620" s="81">
        <v>6993.84</v>
      </c>
      <c r="E620" s="151">
        <v>44748</v>
      </c>
      <c r="F620" s="81">
        <v>6993.84</v>
      </c>
      <c r="G620" s="156">
        <f>Tabla18[[#This Row],[Importe]]-Tabla18[[#This Row],[Pagado]]</f>
        <v>0</v>
      </c>
      <c r="H620" s="75" t="s">
        <v>10</v>
      </c>
    </row>
    <row r="621" spans="1:8" x14ac:dyDescent="0.25">
      <c r="A621" s="148">
        <v>44748</v>
      </c>
      <c r="B621" s="149" t="s">
        <v>21907</v>
      </c>
      <c r="C621" s="153" t="s">
        <v>528</v>
      </c>
      <c r="D621" s="154">
        <v>42933.7</v>
      </c>
      <c r="E621" s="155">
        <v>44749</v>
      </c>
      <c r="F621" s="154">
        <v>42933.7</v>
      </c>
      <c r="G621" s="156">
        <f>Tabla18[[#This Row],[Importe]]-Tabla18[[#This Row],[Pagado]]</f>
        <v>0</v>
      </c>
      <c r="H621" s="153" t="s">
        <v>10</v>
      </c>
    </row>
    <row r="622" spans="1:8" x14ac:dyDescent="0.25">
      <c r="A622" s="73">
        <v>44748</v>
      </c>
      <c r="B622" s="74" t="s">
        <v>21908</v>
      </c>
      <c r="C622" s="75" t="s">
        <v>140</v>
      </c>
      <c r="D622" s="81">
        <v>5684.2</v>
      </c>
      <c r="E622" s="151">
        <v>44748</v>
      </c>
      <c r="F622" s="81">
        <v>5684.2</v>
      </c>
      <c r="G622" s="156">
        <f>Tabla18[[#This Row],[Importe]]-Tabla18[[#This Row],[Pagado]]</f>
        <v>0</v>
      </c>
      <c r="H622" s="75" t="s">
        <v>10</v>
      </c>
    </row>
    <row r="623" spans="1:8" x14ac:dyDescent="0.25">
      <c r="A623" s="148">
        <v>44748</v>
      </c>
      <c r="B623" s="149" t="s">
        <v>21909</v>
      </c>
      <c r="C623" s="153" t="s">
        <v>127</v>
      </c>
      <c r="D623" s="154">
        <v>6981.1</v>
      </c>
      <c r="E623" s="155">
        <v>44748</v>
      </c>
      <c r="F623" s="154">
        <v>6981.1</v>
      </c>
      <c r="G623" s="156">
        <f>Tabla18[[#This Row],[Importe]]-Tabla18[[#This Row],[Pagado]]</f>
        <v>0</v>
      </c>
      <c r="H623" s="153" t="s">
        <v>10</v>
      </c>
    </row>
    <row r="624" spans="1:8" x14ac:dyDescent="0.25">
      <c r="A624" s="73">
        <v>44748</v>
      </c>
      <c r="B624" s="74" t="s">
        <v>21910</v>
      </c>
      <c r="C624" s="75" t="s">
        <v>129</v>
      </c>
      <c r="D624" s="81">
        <v>2002.4</v>
      </c>
      <c r="E624" s="151">
        <v>44748</v>
      </c>
      <c r="F624" s="81">
        <v>2002.4</v>
      </c>
      <c r="G624" s="156">
        <f>Tabla18[[#This Row],[Importe]]-Tabla18[[#This Row],[Pagado]]</f>
        <v>0</v>
      </c>
      <c r="H624" s="75" t="s">
        <v>10</v>
      </c>
    </row>
    <row r="625" spans="1:8" x14ac:dyDescent="0.25">
      <c r="A625" s="148">
        <v>44748</v>
      </c>
      <c r="B625" s="149" t="s">
        <v>21911</v>
      </c>
      <c r="C625" s="153" t="s">
        <v>339</v>
      </c>
      <c r="D625" s="154">
        <v>614.20000000000005</v>
      </c>
      <c r="E625" s="155">
        <v>44748</v>
      </c>
      <c r="F625" s="154">
        <v>614.20000000000005</v>
      </c>
      <c r="G625" s="156">
        <f>Tabla18[[#This Row],[Importe]]-Tabla18[[#This Row],[Pagado]]</f>
        <v>0</v>
      </c>
      <c r="H625" s="153" t="s">
        <v>10</v>
      </c>
    </row>
    <row r="626" spans="1:8" x14ac:dyDescent="0.25">
      <c r="A626" s="73">
        <v>44748</v>
      </c>
      <c r="B626" s="74" t="s">
        <v>21912</v>
      </c>
      <c r="C626" s="75" t="s">
        <v>31</v>
      </c>
      <c r="D626" s="81">
        <v>2867.1</v>
      </c>
      <c r="E626" s="151">
        <v>44748</v>
      </c>
      <c r="F626" s="81">
        <v>2867.1</v>
      </c>
      <c r="G626" s="156">
        <f>Tabla18[[#This Row],[Importe]]-Tabla18[[#This Row],[Pagado]]</f>
        <v>0</v>
      </c>
      <c r="H626" s="75" t="s">
        <v>10</v>
      </c>
    </row>
    <row r="627" spans="1:8" x14ac:dyDescent="0.25">
      <c r="A627" s="148">
        <v>44748</v>
      </c>
      <c r="B627" s="149" t="s">
        <v>21913</v>
      </c>
      <c r="C627" s="153" t="s">
        <v>541</v>
      </c>
      <c r="D627" s="154">
        <v>76145.600000000006</v>
      </c>
      <c r="E627" s="155">
        <v>44749</v>
      </c>
      <c r="F627" s="154">
        <v>76145.600000000006</v>
      </c>
      <c r="G627" s="156">
        <f>Tabla18[[#This Row],[Importe]]-Tabla18[[#This Row],[Pagado]]</f>
        <v>0</v>
      </c>
      <c r="H627" s="153" t="s">
        <v>10</v>
      </c>
    </row>
    <row r="628" spans="1:8" x14ac:dyDescent="0.25">
      <c r="A628" s="73">
        <v>44748</v>
      </c>
      <c r="B628" s="74" t="s">
        <v>21914</v>
      </c>
      <c r="C628" s="75" t="s">
        <v>15868</v>
      </c>
      <c r="D628" s="81">
        <v>31644.7</v>
      </c>
      <c r="E628" s="151">
        <v>44749</v>
      </c>
      <c r="F628" s="81">
        <v>31644.7</v>
      </c>
      <c r="G628" s="156">
        <f>Tabla18[[#This Row],[Importe]]-Tabla18[[#This Row],[Pagado]]</f>
        <v>0</v>
      </c>
      <c r="H628" s="75" t="s">
        <v>10</v>
      </c>
    </row>
    <row r="629" spans="1:8" x14ac:dyDescent="0.25">
      <c r="A629" s="148">
        <v>44748</v>
      </c>
      <c r="B629" s="149" t="s">
        <v>21915</v>
      </c>
      <c r="C629" s="153" t="s">
        <v>698</v>
      </c>
      <c r="D629" s="154">
        <v>9602.9</v>
      </c>
      <c r="E629" s="155">
        <v>44748</v>
      </c>
      <c r="F629" s="154">
        <v>9602.9</v>
      </c>
      <c r="G629" s="156">
        <f>Tabla18[[#This Row],[Importe]]-Tabla18[[#This Row],[Pagado]]</f>
        <v>0</v>
      </c>
      <c r="H629" s="153" t="s">
        <v>10</v>
      </c>
    </row>
    <row r="630" spans="1:8" x14ac:dyDescent="0.25">
      <c r="A630" s="73">
        <v>44748</v>
      </c>
      <c r="B630" s="74" t="s">
        <v>21916</v>
      </c>
      <c r="C630" s="75" t="s">
        <v>15306</v>
      </c>
      <c r="D630" s="81">
        <v>8626.1</v>
      </c>
      <c r="E630" s="151">
        <v>44748</v>
      </c>
      <c r="F630" s="81">
        <v>8626.1</v>
      </c>
      <c r="G630" s="156">
        <f>Tabla18[[#This Row],[Importe]]-Tabla18[[#This Row],[Pagado]]</f>
        <v>0</v>
      </c>
      <c r="H630" s="75" t="s">
        <v>10</v>
      </c>
    </row>
    <row r="631" spans="1:8" x14ac:dyDescent="0.25">
      <c r="A631" s="148">
        <v>44748</v>
      </c>
      <c r="B631" s="149" t="s">
        <v>21917</v>
      </c>
      <c r="C631" s="153" t="s">
        <v>12</v>
      </c>
      <c r="D631" s="154">
        <v>1749.6</v>
      </c>
      <c r="E631" s="155">
        <v>44748</v>
      </c>
      <c r="F631" s="154">
        <v>1749.6</v>
      </c>
      <c r="G631" s="156">
        <f>Tabla18[[#This Row],[Importe]]-Tabla18[[#This Row],[Pagado]]</f>
        <v>0</v>
      </c>
      <c r="H631" s="153" t="s">
        <v>10</v>
      </c>
    </row>
    <row r="632" spans="1:8" x14ac:dyDescent="0.25">
      <c r="A632" s="73">
        <v>44748</v>
      </c>
      <c r="B632" s="74" t="s">
        <v>21918</v>
      </c>
      <c r="C632" s="75" t="s">
        <v>21919</v>
      </c>
      <c r="D632" s="81">
        <v>0</v>
      </c>
      <c r="E632" s="157" t="s">
        <v>189</v>
      </c>
      <c r="F632" s="81">
        <v>0</v>
      </c>
      <c r="G632" s="156">
        <f>Tabla18[[#This Row],[Importe]]-Tabla18[[#This Row],[Pagado]]</f>
        <v>0</v>
      </c>
      <c r="H632" s="75" t="s">
        <v>189</v>
      </c>
    </row>
    <row r="633" spans="1:8" x14ac:dyDescent="0.25">
      <c r="A633" s="148">
        <v>44748</v>
      </c>
      <c r="B633" s="149" t="s">
        <v>21920</v>
      </c>
      <c r="C633" s="153" t="s">
        <v>450</v>
      </c>
      <c r="D633" s="154">
        <v>9250</v>
      </c>
      <c r="E633" s="155">
        <v>44748</v>
      </c>
      <c r="F633" s="154">
        <v>9250</v>
      </c>
      <c r="G633" s="156">
        <f>Tabla18[[#This Row],[Importe]]-Tabla18[[#This Row],[Pagado]]</f>
        <v>0</v>
      </c>
      <c r="H633" s="153" t="s">
        <v>10</v>
      </c>
    </row>
    <row r="634" spans="1:8" x14ac:dyDescent="0.25">
      <c r="A634" s="73">
        <v>44748</v>
      </c>
      <c r="B634" s="74" t="s">
        <v>21921</v>
      </c>
      <c r="C634" s="75" t="s">
        <v>31</v>
      </c>
      <c r="D634" s="81">
        <v>2137.5</v>
      </c>
      <c r="E634" s="151">
        <v>44748</v>
      </c>
      <c r="F634" s="81">
        <v>2137.5</v>
      </c>
      <c r="G634" s="156">
        <f>Tabla18[[#This Row],[Importe]]-Tabla18[[#This Row],[Pagado]]</f>
        <v>0</v>
      </c>
      <c r="H634" s="75" t="s">
        <v>10</v>
      </c>
    </row>
    <row r="635" spans="1:8" x14ac:dyDescent="0.25">
      <c r="A635" s="148">
        <v>44748</v>
      </c>
      <c r="B635" s="149" t="s">
        <v>21922</v>
      </c>
      <c r="C635" s="153" t="s">
        <v>284</v>
      </c>
      <c r="D635" s="154">
        <v>7387.2</v>
      </c>
      <c r="E635" s="155">
        <v>44749</v>
      </c>
      <c r="F635" s="154">
        <v>7387.2</v>
      </c>
      <c r="G635" s="156">
        <f>Tabla18[[#This Row],[Importe]]-Tabla18[[#This Row],[Pagado]]</f>
        <v>0</v>
      </c>
      <c r="H635" s="153" t="s">
        <v>10</v>
      </c>
    </row>
    <row r="636" spans="1:8" x14ac:dyDescent="0.25">
      <c r="A636" s="73">
        <v>44748</v>
      </c>
      <c r="B636" s="74" t="s">
        <v>21923</v>
      </c>
      <c r="C636" s="75" t="s">
        <v>10190</v>
      </c>
      <c r="D636" s="81">
        <v>17942.400000000001</v>
      </c>
      <c r="E636" s="151">
        <v>44749</v>
      </c>
      <c r="F636" s="81">
        <v>17942.400000000001</v>
      </c>
      <c r="G636" s="156">
        <f>Tabla18[[#This Row],[Importe]]-Tabla18[[#This Row],[Pagado]]</f>
        <v>0</v>
      </c>
      <c r="H636" s="75" t="s">
        <v>10</v>
      </c>
    </row>
    <row r="637" spans="1:8" x14ac:dyDescent="0.25">
      <c r="A637" s="148">
        <v>44748</v>
      </c>
      <c r="B637" s="149" t="s">
        <v>21924</v>
      </c>
      <c r="C637" s="153" t="s">
        <v>21925</v>
      </c>
      <c r="D637" s="154">
        <v>0</v>
      </c>
      <c r="E637" s="158" t="s">
        <v>189</v>
      </c>
      <c r="F637" s="154">
        <v>0</v>
      </c>
      <c r="G637" s="156">
        <f>Tabla18[[#This Row],[Importe]]-Tabla18[[#This Row],[Pagado]]</f>
        <v>0</v>
      </c>
      <c r="H637" s="159" t="s">
        <v>21926</v>
      </c>
    </row>
    <row r="638" spans="1:8" x14ac:dyDescent="0.25">
      <c r="A638" s="73">
        <v>44748</v>
      </c>
      <c r="B638" s="74" t="s">
        <v>21927</v>
      </c>
      <c r="C638" s="75" t="s">
        <v>5345</v>
      </c>
      <c r="D638" s="81">
        <v>3146.4</v>
      </c>
      <c r="E638" s="151">
        <v>44749</v>
      </c>
      <c r="F638" s="81">
        <v>3146.4</v>
      </c>
      <c r="G638" s="156">
        <f>Tabla18[[#This Row],[Importe]]-Tabla18[[#This Row],[Pagado]]</f>
        <v>0</v>
      </c>
      <c r="H638" s="75" t="s">
        <v>10</v>
      </c>
    </row>
    <row r="639" spans="1:8" x14ac:dyDescent="0.25">
      <c r="A639" s="148">
        <v>44748</v>
      </c>
      <c r="B639" s="149" t="s">
        <v>21928</v>
      </c>
      <c r="C639" s="153" t="s">
        <v>282</v>
      </c>
      <c r="D639" s="154">
        <v>2109.6</v>
      </c>
      <c r="E639" s="155">
        <v>44749</v>
      </c>
      <c r="F639" s="154">
        <v>2109.6</v>
      </c>
      <c r="G639" s="156">
        <f>Tabla18[[#This Row],[Importe]]-Tabla18[[#This Row],[Pagado]]</f>
        <v>0</v>
      </c>
      <c r="H639" s="153" t="s">
        <v>10</v>
      </c>
    </row>
    <row r="640" spans="1:8" x14ac:dyDescent="0.25">
      <c r="A640" s="73">
        <v>44748</v>
      </c>
      <c r="B640" s="74" t="s">
        <v>21929</v>
      </c>
      <c r="C640" s="75" t="s">
        <v>275</v>
      </c>
      <c r="D640" s="81">
        <v>132928.42000000001</v>
      </c>
      <c r="E640" s="151">
        <v>44764</v>
      </c>
      <c r="F640" s="81">
        <v>132928.42000000001</v>
      </c>
      <c r="G640" s="156">
        <f>Tabla18[[#This Row],[Importe]]-Tabla18[[#This Row],[Pagado]]</f>
        <v>0</v>
      </c>
      <c r="H640" s="75" t="s">
        <v>10</v>
      </c>
    </row>
    <row r="641" spans="1:8" x14ac:dyDescent="0.25">
      <c r="A641" s="148">
        <v>44748</v>
      </c>
      <c r="B641" s="149" t="s">
        <v>21930</v>
      </c>
      <c r="C641" s="153" t="s">
        <v>9577</v>
      </c>
      <c r="D641" s="154">
        <v>280</v>
      </c>
      <c r="E641" s="155">
        <v>44749</v>
      </c>
      <c r="F641" s="154">
        <v>280</v>
      </c>
      <c r="G641" s="156">
        <f>Tabla18[[#This Row],[Importe]]-Tabla18[[#This Row],[Pagado]]</f>
        <v>0</v>
      </c>
      <c r="H641" s="153" t="s">
        <v>10</v>
      </c>
    </row>
    <row r="642" spans="1:8" x14ac:dyDescent="0.25">
      <c r="A642" s="73">
        <v>44748</v>
      </c>
      <c r="B642" s="74" t="s">
        <v>21931</v>
      </c>
      <c r="C642" s="75" t="s">
        <v>9577</v>
      </c>
      <c r="D642" s="81">
        <v>6839.6</v>
      </c>
      <c r="E642" s="151">
        <v>44749</v>
      </c>
      <c r="F642" s="81">
        <v>6839.6</v>
      </c>
      <c r="G642" s="156">
        <f>Tabla18[[#This Row],[Importe]]-Tabla18[[#This Row],[Pagado]]</f>
        <v>0</v>
      </c>
      <c r="H642" s="75" t="s">
        <v>10</v>
      </c>
    </row>
    <row r="643" spans="1:8" x14ac:dyDescent="0.25">
      <c r="A643" s="148">
        <v>44748</v>
      </c>
      <c r="B643" s="149" t="s">
        <v>21932</v>
      </c>
      <c r="C643" s="153" t="s">
        <v>9577</v>
      </c>
      <c r="D643" s="154">
        <v>20084.8</v>
      </c>
      <c r="E643" s="155">
        <v>44749</v>
      </c>
      <c r="F643" s="154">
        <v>20084.8</v>
      </c>
      <c r="G643" s="156">
        <f>Tabla18[[#This Row],[Importe]]-Tabla18[[#This Row],[Pagado]]</f>
        <v>0</v>
      </c>
      <c r="H643" s="153" t="s">
        <v>10</v>
      </c>
    </row>
    <row r="644" spans="1:8" x14ac:dyDescent="0.25">
      <c r="A644" s="73">
        <v>44748</v>
      </c>
      <c r="B644" s="74" t="s">
        <v>21933</v>
      </c>
      <c r="C644" s="75" t="s">
        <v>53</v>
      </c>
      <c r="D644" s="81">
        <v>2064.4</v>
      </c>
      <c r="E644" s="151">
        <v>44748</v>
      </c>
      <c r="F644" s="81">
        <v>2064.4</v>
      </c>
      <c r="G644" s="156">
        <f>Tabla18[[#This Row],[Importe]]-Tabla18[[#This Row],[Pagado]]</f>
        <v>0</v>
      </c>
      <c r="H644" s="75" t="s">
        <v>10</v>
      </c>
    </row>
    <row r="645" spans="1:8" x14ac:dyDescent="0.25">
      <c r="A645" s="148">
        <v>44748</v>
      </c>
      <c r="B645" s="149" t="s">
        <v>21934</v>
      </c>
      <c r="C645" s="153" t="s">
        <v>53</v>
      </c>
      <c r="D645" s="154">
        <v>562.4</v>
      </c>
      <c r="E645" s="155">
        <v>44748</v>
      </c>
      <c r="F645" s="154">
        <v>562.4</v>
      </c>
      <c r="G645" s="156">
        <f>Tabla18[[#This Row],[Importe]]-Tabla18[[#This Row],[Pagado]]</f>
        <v>0</v>
      </c>
      <c r="H645" s="153" t="s">
        <v>10</v>
      </c>
    </row>
    <row r="646" spans="1:8" x14ac:dyDescent="0.25">
      <c r="A646" s="73">
        <v>44748</v>
      </c>
      <c r="B646" s="74" t="s">
        <v>21935</v>
      </c>
      <c r="C646" s="75" t="s">
        <v>296</v>
      </c>
      <c r="D646" s="81">
        <v>1139.5999999999999</v>
      </c>
      <c r="E646" s="151">
        <v>44748</v>
      </c>
      <c r="F646" s="81">
        <v>1139.5999999999999</v>
      </c>
      <c r="G646" s="156">
        <f>Tabla18[[#This Row],[Importe]]-Tabla18[[#This Row],[Pagado]]</f>
        <v>0</v>
      </c>
      <c r="H646" s="75" t="s">
        <v>10</v>
      </c>
    </row>
    <row r="647" spans="1:8" x14ac:dyDescent="0.25">
      <c r="A647" s="148">
        <v>44748</v>
      </c>
      <c r="B647" s="149" t="s">
        <v>21936</v>
      </c>
      <c r="C647" s="153" t="s">
        <v>69</v>
      </c>
      <c r="D647" s="154">
        <v>1908</v>
      </c>
      <c r="E647" s="155">
        <v>44748</v>
      </c>
      <c r="F647" s="154">
        <v>1908</v>
      </c>
      <c r="G647" s="156">
        <f>Tabla18[[#This Row],[Importe]]-Tabla18[[#This Row],[Pagado]]</f>
        <v>0</v>
      </c>
      <c r="H647" s="153" t="s">
        <v>10</v>
      </c>
    </row>
    <row r="648" spans="1:8" x14ac:dyDescent="0.25">
      <c r="A648" s="73">
        <v>44748</v>
      </c>
      <c r="B648" s="74" t="s">
        <v>21937</v>
      </c>
      <c r="C648" s="75" t="s">
        <v>461</v>
      </c>
      <c r="D648" s="81">
        <v>400</v>
      </c>
      <c r="E648" s="151">
        <v>44748</v>
      </c>
      <c r="F648" s="81">
        <v>400</v>
      </c>
      <c r="G648" s="156">
        <f>Tabla18[[#This Row],[Importe]]-Tabla18[[#This Row],[Pagado]]</f>
        <v>0</v>
      </c>
      <c r="H648" s="75" t="s">
        <v>10</v>
      </c>
    </row>
    <row r="649" spans="1:8" x14ac:dyDescent="0.25">
      <c r="A649" s="148">
        <v>44748</v>
      </c>
      <c r="B649" s="149" t="s">
        <v>21938</v>
      </c>
      <c r="C649" s="153" t="s">
        <v>31</v>
      </c>
      <c r="D649" s="154">
        <v>1925</v>
      </c>
      <c r="E649" s="155">
        <v>44748</v>
      </c>
      <c r="F649" s="154">
        <v>1925</v>
      </c>
      <c r="G649" s="156">
        <f>Tabla18[[#This Row],[Importe]]-Tabla18[[#This Row],[Pagado]]</f>
        <v>0</v>
      </c>
      <c r="H649" s="153" t="s">
        <v>10</v>
      </c>
    </row>
    <row r="650" spans="1:8" x14ac:dyDescent="0.25">
      <c r="A650" s="73">
        <v>44748</v>
      </c>
      <c r="B650" s="74" t="s">
        <v>21939</v>
      </c>
      <c r="C650" s="75" t="s">
        <v>610</v>
      </c>
      <c r="D650" s="81">
        <v>23225.599999999999</v>
      </c>
      <c r="E650" s="151">
        <v>44748</v>
      </c>
      <c r="F650" s="81">
        <v>23225.599999999999</v>
      </c>
      <c r="G650" s="156">
        <f>Tabla18[[#This Row],[Importe]]-Tabla18[[#This Row],[Pagado]]</f>
        <v>0</v>
      </c>
      <c r="H650" s="75" t="s">
        <v>10</v>
      </c>
    </row>
    <row r="651" spans="1:8" x14ac:dyDescent="0.25">
      <c r="A651" s="148">
        <v>44748</v>
      </c>
      <c r="B651" s="149" t="s">
        <v>21940</v>
      </c>
      <c r="C651" s="153" t="s">
        <v>612</v>
      </c>
      <c r="D651" s="154">
        <v>692.4</v>
      </c>
      <c r="E651" s="155">
        <v>44748</v>
      </c>
      <c r="F651" s="154">
        <v>692.4</v>
      </c>
      <c r="G651" s="156">
        <f>Tabla18[[#This Row],[Importe]]-Tabla18[[#This Row],[Pagado]]</f>
        <v>0</v>
      </c>
      <c r="H651" s="153" t="s">
        <v>10</v>
      </c>
    </row>
    <row r="652" spans="1:8" x14ac:dyDescent="0.25">
      <c r="A652" s="73">
        <v>44748</v>
      </c>
      <c r="B652" s="74" t="s">
        <v>21941</v>
      </c>
      <c r="C652" s="75" t="s">
        <v>31</v>
      </c>
      <c r="D652" s="81">
        <v>152</v>
      </c>
      <c r="E652" s="151">
        <v>44748</v>
      </c>
      <c r="F652" s="81">
        <v>152</v>
      </c>
      <c r="G652" s="156">
        <f>Tabla18[[#This Row],[Importe]]-Tabla18[[#This Row],[Pagado]]</f>
        <v>0</v>
      </c>
      <c r="H652" s="75" t="s">
        <v>10</v>
      </c>
    </row>
    <row r="653" spans="1:8" x14ac:dyDescent="0.25">
      <c r="A653" s="148">
        <v>44748</v>
      </c>
      <c r="B653" s="149" t="s">
        <v>21942</v>
      </c>
      <c r="C653" s="153" t="s">
        <v>107</v>
      </c>
      <c r="D653" s="154">
        <v>660</v>
      </c>
      <c r="E653" s="155">
        <v>44748</v>
      </c>
      <c r="F653" s="154">
        <v>660</v>
      </c>
      <c r="G653" s="156">
        <f>Tabla18[[#This Row],[Importe]]-Tabla18[[#This Row],[Pagado]]</f>
        <v>0</v>
      </c>
      <c r="H653" s="153" t="s">
        <v>10</v>
      </c>
    </row>
    <row r="654" spans="1:8" x14ac:dyDescent="0.25">
      <c r="A654" s="73">
        <v>44748</v>
      </c>
      <c r="B654" s="74" t="s">
        <v>21943</v>
      </c>
      <c r="C654" s="75" t="s">
        <v>289</v>
      </c>
      <c r="D654" s="81">
        <v>7708.8</v>
      </c>
      <c r="E654" s="151">
        <v>44749</v>
      </c>
      <c r="F654" s="81">
        <v>7708.8</v>
      </c>
      <c r="G654" s="156">
        <f>Tabla18[[#This Row],[Importe]]-Tabla18[[#This Row],[Pagado]]</f>
        <v>0</v>
      </c>
      <c r="H654" s="75" t="s">
        <v>10</v>
      </c>
    </row>
    <row r="655" spans="1:8" x14ac:dyDescent="0.25">
      <c r="A655" s="148">
        <v>44748</v>
      </c>
      <c r="B655" s="149" t="s">
        <v>21944</v>
      </c>
      <c r="C655" s="153" t="s">
        <v>53</v>
      </c>
      <c r="D655" s="154">
        <v>1265.4000000000001</v>
      </c>
      <c r="E655" s="155">
        <v>44749</v>
      </c>
      <c r="F655" s="154">
        <v>1265.4000000000001</v>
      </c>
      <c r="G655" s="156">
        <f>Tabla18[[#This Row],[Importe]]-Tabla18[[#This Row],[Pagado]]</f>
        <v>0</v>
      </c>
      <c r="H655" s="153" t="s">
        <v>10</v>
      </c>
    </row>
    <row r="656" spans="1:8" x14ac:dyDescent="0.25">
      <c r="A656" s="73">
        <v>44748</v>
      </c>
      <c r="B656" s="74" t="s">
        <v>21945</v>
      </c>
      <c r="C656" s="75" t="s">
        <v>31</v>
      </c>
      <c r="D656" s="81">
        <v>2366.8000000000002</v>
      </c>
      <c r="E656" s="151">
        <v>44749</v>
      </c>
      <c r="F656" s="81">
        <v>2366.8000000000002</v>
      </c>
      <c r="G656" s="156">
        <f>Tabla18[[#This Row],[Importe]]-Tabla18[[#This Row],[Pagado]]</f>
        <v>0</v>
      </c>
      <c r="H656" s="75" t="s">
        <v>10</v>
      </c>
    </row>
    <row r="657" spans="1:8" x14ac:dyDescent="0.25">
      <c r="A657" s="148">
        <v>44748</v>
      </c>
      <c r="B657" s="149" t="s">
        <v>21946</v>
      </c>
      <c r="C657" s="153" t="s">
        <v>6405</v>
      </c>
      <c r="D657" s="154">
        <v>1.56</v>
      </c>
      <c r="E657" s="155">
        <v>44757</v>
      </c>
      <c r="F657" s="154">
        <v>1.56</v>
      </c>
      <c r="G657" s="156">
        <f>Tabla18[[#This Row],[Importe]]-Tabla18[[#This Row],[Pagado]]</f>
        <v>0</v>
      </c>
      <c r="H657" s="153" t="s">
        <v>10</v>
      </c>
    </row>
    <row r="658" spans="1:8" x14ac:dyDescent="0.25">
      <c r="A658" s="73">
        <v>44748</v>
      </c>
      <c r="B658" s="74" t="s">
        <v>21947</v>
      </c>
      <c r="C658" s="75" t="s">
        <v>605</v>
      </c>
      <c r="D658" s="81">
        <v>49012.7</v>
      </c>
      <c r="E658" s="151">
        <v>44749</v>
      </c>
      <c r="F658" s="81">
        <v>49012.7</v>
      </c>
      <c r="G658" s="156">
        <f>Tabla18[[#This Row],[Importe]]-Tabla18[[#This Row],[Pagado]]</f>
        <v>0</v>
      </c>
      <c r="H658" s="75" t="s">
        <v>10</v>
      </c>
    </row>
    <row r="659" spans="1:8" x14ac:dyDescent="0.25">
      <c r="A659" s="148">
        <v>44748</v>
      </c>
      <c r="B659" s="149" t="s">
        <v>21948</v>
      </c>
      <c r="C659" s="153" t="s">
        <v>11383</v>
      </c>
      <c r="D659" s="154">
        <v>37001.599999999999</v>
      </c>
      <c r="E659" s="155">
        <v>44749</v>
      </c>
      <c r="F659" s="154">
        <v>37001.599999999999</v>
      </c>
      <c r="G659" s="156">
        <f>Tabla18[[#This Row],[Importe]]-Tabla18[[#This Row],[Pagado]]</f>
        <v>0</v>
      </c>
      <c r="H659" s="153" t="s">
        <v>10</v>
      </c>
    </row>
    <row r="660" spans="1:8" x14ac:dyDescent="0.25">
      <c r="A660" s="73">
        <v>44749</v>
      </c>
      <c r="B660" s="74" t="s">
        <v>21949</v>
      </c>
      <c r="C660" s="75" t="s">
        <v>618</v>
      </c>
      <c r="D660" s="81">
        <v>10108.4</v>
      </c>
      <c r="E660" s="151">
        <v>44749</v>
      </c>
      <c r="F660" s="81">
        <v>10108.4</v>
      </c>
      <c r="G660" s="156">
        <f>Tabla18[[#This Row],[Importe]]-Tabla18[[#This Row],[Pagado]]</f>
        <v>0</v>
      </c>
      <c r="H660" s="75" t="s">
        <v>10</v>
      </c>
    </row>
    <row r="661" spans="1:8" x14ac:dyDescent="0.25">
      <c r="A661" s="148">
        <v>44749</v>
      </c>
      <c r="B661" s="149" t="s">
        <v>21950</v>
      </c>
      <c r="C661" s="153" t="s">
        <v>473</v>
      </c>
      <c r="D661" s="154">
        <v>12064.9</v>
      </c>
      <c r="E661" s="155">
        <v>44749</v>
      </c>
      <c r="F661" s="154">
        <v>12064.9</v>
      </c>
      <c r="G661" s="156">
        <f>Tabla18[[#This Row],[Importe]]-Tabla18[[#This Row],[Pagado]]</f>
        <v>0</v>
      </c>
      <c r="H661" s="153" t="s">
        <v>10</v>
      </c>
    </row>
    <row r="662" spans="1:8" x14ac:dyDescent="0.25">
      <c r="A662" s="73">
        <v>44749</v>
      </c>
      <c r="B662" s="74" t="s">
        <v>21951</v>
      </c>
      <c r="C662" s="75" t="s">
        <v>75</v>
      </c>
      <c r="D662" s="81">
        <v>7272</v>
      </c>
      <c r="E662" s="151">
        <v>44749</v>
      </c>
      <c r="F662" s="81">
        <v>7272</v>
      </c>
      <c r="G662" s="156">
        <f>Tabla18[[#This Row],[Importe]]-Tabla18[[#This Row],[Pagado]]</f>
        <v>0</v>
      </c>
      <c r="H662" s="75" t="s">
        <v>10</v>
      </c>
    </row>
    <row r="663" spans="1:8" x14ac:dyDescent="0.25">
      <c r="A663" s="148">
        <v>44749</v>
      </c>
      <c r="B663" s="149" t="s">
        <v>21952</v>
      </c>
      <c r="C663" s="153" t="s">
        <v>87</v>
      </c>
      <c r="D663" s="154">
        <v>3993.2</v>
      </c>
      <c r="E663" s="155">
        <v>44749</v>
      </c>
      <c r="F663" s="154">
        <v>3993.2</v>
      </c>
      <c r="G663" s="156">
        <f>Tabla18[[#This Row],[Importe]]-Tabla18[[#This Row],[Pagado]]</f>
        <v>0</v>
      </c>
      <c r="H663" s="153" t="s">
        <v>10</v>
      </c>
    </row>
    <row r="664" spans="1:8" x14ac:dyDescent="0.25">
      <c r="A664" s="73">
        <v>44749</v>
      </c>
      <c r="B664" s="74" t="s">
        <v>21953</v>
      </c>
      <c r="C664" s="75" t="s">
        <v>475</v>
      </c>
      <c r="D664" s="81">
        <v>84448</v>
      </c>
      <c r="E664" s="151">
        <v>44750</v>
      </c>
      <c r="F664" s="81">
        <v>84448</v>
      </c>
      <c r="G664" s="156">
        <f>Tabla18[[#This Row],[Importe]]-Tabla18[[#This Row],[Pagado]]</f>
        <v>0</v>
      </c>
      <c r="H664" s="75" t="s">
        <v>10</v>
      </c>
    </row>
    <row r="665" spans="1:8" x14ac:dyDescent="0.25">
      <c r="A665" s="148">
        <v>44749</v>
      </c>
      <c r="B665" s="149" t="s">
        <v>21954</v>
      </c>
      <c r="C665" s="153" t="s">
        <v>95</v>
      </c>
      <c r="D665" s="154">
        <v>31448</v>
      </c>
      <c r="E665" s="155">
        <v>44749</v>
      </c>
      <c r="F665" s="154">
        <v>31448</v>
      </c>
      <c r="G665" s="156">
        <f>Tabla18[[#This Row],[Importe]]-Tabla18[[#This Row],[Pagado]]</f>
        <v>0</v>
      </c>
      <c r="H665" s="153" t="s">
        <v>10</v>
      </c>
    </row>
    <row r="666" spans="1:8" ht="31.5" x14ac:dyDescent="0.25">
      <c r="A666" s="73">
        <v>44749</v>
      </c>
      <c r="B666" s="74" t="s">
        <v>21955</v>
      </c>
      <c r="C666" s="75" t="s">
        <v>22</v>
      </c>
      <c r="D666" s="81">
        <v>73368</v>
      </c>
      <c r="E666" s="147" t="s">
        <v>21956</v>
      </c>
      <c r="F666" s="81">
        <f>62000+11368</f>
        <v>73368</v>
      </c>
      <c r="G666" s="156">
        <f>Tabla18[[#This Row],[Importe]]-Tabla18[[#This Row],[Pagado]]</f>
        <v>0</v>
      </c>
      <c r="H666" s="75" t="s">
        <v>10</v>
      </c>
    </row>
    <row r="667" spans="1:8" x14ac:dyDescent="0.25">
      <c r="A667" s="148">
        <v>44749</v>
      </c>
      <c r="B667" s="149" t="s">
        <v>21957</v>
      </c>
      <c r="C667" s="153" t="s">
        <v>20</v>
      </c>
      <c r="D667" s="154">
        <v>2365</v>
      </c>
      <c r="E667" s="155">
        <v>44749</v>
      </c>
      <c r="F667" s="154">
        <v>2365</v>
      </c>
      <c r="G667" s="156">
        <f>Tabla18[[#This Row],[Importe]]-Tabla18[[#This Row],[Pagado]]</f>
        <v>0</v>
      </c>
      <c r="H667" s="153" t="s">
        <v>10</v>
      </c>
    </row>
    <row r="668" spans="1:8" x14ac:dyDescent="0.25">
      <c r="A668" s="73">
        <v>44749</v>
      </c>
      <c r="B668" s="74" t="s">
        <v>21958</v>
      </c>
      <c r="C668" s="75" t="s">
        <v>64</v>
      </c>
      <c r="D668" s="81">
        <v>5580.8</v>
      </c>
      <c r="E668" s="151">
        <v>44750</v>
      </c>
      <c r="F668" s="81">
        <v>5580.8</v>
      </c>
      <c r="G668" s="156">
        <f>Tabla18[[#This Row],[Importe]]-Tabla18[[#This Row],[Pagado]]</f>
        <v>0</v>
      </c>
      <c r="H668" s="75" t="s">
        <v>10</v>
      </c>
    </row>
    <row r="669" spans="1:8" x14ac:dyDescent="0.25">
      <c r="A669" s="148">
        <v>44749</v>
      </c>
      <c r="B669" s="149" t="s">
        <v>21959</v>
      </c>
      <c r="C669" s="153" t="s">
        <v>114</v>
      </c>
      <c r="D669" s="154">
        <v>5852.8</v>
      </c>
      <c r="E669" s="155">
        <v>44751</v>
      </c>
      <c r="F669" s="154">
        <v>5852.8</v>
      </c>
      <c r="G669" s="156">
        <f>Tabla18[[#This Row],[Importe]]-Tabla18[[#This Row],[Pagado]]</f>
        <v>0</v>
      </c>
      <c r="H669" s="153" t="s">
        <v>10</v>
      </c>
    </row>
    <row r="670" spans="1:8" x14ac:dyDescent="0.25">
      <c r="A670" s="73">
        <v>44749</v>
      </c>
      <c r="B670" s="74" t="s">
        <v>21960</v>
      </c>
      <c r="C670" s="75" t="s">
        <v>116</v>
      </c>
      <c r="D670" s="81">
        <v>1461.6</v>
      </c>
      <c r="E670" s="151">
        <v>44750</v>
      </c>
      <c r="F670" s="81">
        <v>1461.6</v>
      </c>
      <c r="G670" s="156">
        <f>Tabla18[[#This Row],[Importe]]-Tabla18[[#This Row],[Pagado]]</f>
        <v>0</v>
      </c>
      <c r="H670" s="75" t="s">
        <v>10</v>
      </c>
    </row>
    <row r="671" spans="1:8" x14ac:dyDescent="0.25">
      <c r="A671" s="148">
        <v>44749</v>
      </c>
      <c r="B671" s="149" t="s">
        <v>21961</v>
      </c>
      <c r="C671" s="153" t="s">
        <v>97</v>
      </c>
      <c r="D671" s="154">
        <v>5465.6</v>
      </c>
      <c r="E671" s="155">
        <v>44750</v>
      </c>
      <c r="F671" s="154">
        <v>5465.6</v>
      </c>
      <c r="G671" s="156">
        <f>Tabla18[[#This Row],[Importe]]-Tabla18[[#This Row],[Pagado]]</f>
        <v>0</v>
      </c>
      <c r="H671" s="153" t="s">
        <v>10</v>
      </c>
    </row>
    <row r="672" spans="1:8" x14ac:dyDescent="0.25">
      <c r="A672" s="73">
        <v>44749</v>
      </c>
      <c r="B672" s="74" t="s">
        <v>21962</v>
      </c>
      <c r="C672" s="75" t="s">
        <v>89</v>
      </c>
      <c r="D672" s="81">
        <v>7828.8</v>
      </c>
      <c r="E672" s="151">
        <v>44750</v>
      </c>
      <c r="F672" s="81">
        <v>7828.8</v>
      </c>
      <c r="G672" s="156">
        <f>Tabla18[[#This Row],[Importe]]-Tabla18[[#This Row],[Pagado]]</f>
        <v>0</v>
      </c>
      <c r="H672" s="75" t="s">
        <v>10</v>
      </c>
    </row>
    <row r="673" spans="1:8" x14ac:dyDescent="0.25">
      <c r="A673" s="148">
        <v>44749</v>
      </c>
      <c r="B673" s="149" t="s">
        <v>21963</v>
      </c>
      <c r="C673" s="153" t="s">
        <v>99</v>
      </c>
      <c r="D673" s="154">
        <v>2357.9</v>
      </c>
      <c r="E673" s="155">
        <v>44750</v>
      </c>
      <c r="F673" s="154">
        <v>2357.9</v>
      </c>
      <c r="G673" s="156">
        <f>Tabla18[[#This Row],[Importe]]-Tabla18[[#This Row],[Pagado]]</f>
        <v>0</v>
      </c>
      <c r="H673" s="153" t="s">
        <v>10</v>
      </c>
    </row>
    <row r="674" spans="1:8" x14ac:dyDescent="0.25">
      <c r="A674" s="73">
        <v>44749</v>
      </c>
      <c r="B674" s="74" t="s">
        <v>21964</v>
      </c>
      <c r="C674" s="75" t="s">
        <v>10742</v>
      </c>
      <c r="D674" s="81">
        <v>5523.2</v>
      </c>
      <c r="E674" s="151">
        <v>44751</v>
      </c>
      <c r="F674" s="81">
        <v>5523.2</v>
      </c>
      <c r="G674" s="156">
        <f>Tabla18[[#This Row],[Importe]]-Tabla18[[#This Row],[Pagado]]</f>
        <v>0</v>
      </c>
      <c r="H674" s="75" t="s">
        <v>10</v>
      </c>
    </row>
    <row r="675" spans="1:8" ht="31.5" x14ac:dyDescent="0.25">
      <c r="A675" s="148">
        <v>44749</v>
      </c>
      <c r="B675" s="149" t="s">
        <v>21965</v>
      </c>
      <c r="C675" s="153" t="s">
        <v>93</v>
      </c>
      <c r="D675" s="154">
        <v>8372.4</v>
      </c>
      <c r="E675" s="150" t="s">
        <v>21956</v>
      </c>
      <c r="F675" s="154">
        <f>3000+5372.4</f>
        <v>8372.4</v>
      </c>
      <c r="G675" s="156">
        <f>Tabla18[[#This Row],[Importe]]-Tabla18[[#This Row],[Pagado]]</f>
        <v>0</v>
      </c>
      <c r="H675" s="153" t="s">
        <v>10</v>
      </c>
    </row>
    <row r="676" spans="1:8" x14ac:dyDescent="0.25">
      <c r="A676" s="73">
        <v>44749</v>
      </c>
      <c r="B676" s="74" t="s">
        <v>21966</v>
      </c>
      <c r="C676" s="75" t="s">
        <v>22</v>
      </c>
      <c r="D676" s="81">
        <v>5712</v>
      </c>
      <c r="E676" s="151">
        <v>44750</v>
      </c>
      <c r="F676" s="81">
        <v>5712</v>
      </c>
      <c r="G676" s="156">
        <f>Tabla18[[#This Row],[Importe]]-Tabla18[[#This Row],[Pagado]]</f>
        <v>0</v>
      </c>
      <c r="H676" s="75" t="s">
        <v>10</v>
      </c>
    </row>
    <row r="677" spans="1:8" x14ac:dyDescent="0.25">
      <c r="A677" s="148">
        <v>44749</v>
      </c>
      <c r="B677" s="149" t="s">
        <v>21967</v>
      </c>
      <c r="C677" s="153" t="s">
        <v>105</v>
      </c>
      <c r="D677" s="154">
        <v>9283.4</v>
      </c>
      <c r="E677" s="155">
        <v>44750</v>
      </c>
      <c r="F677" s="154">
        <v>9283.4</v>
      </c>
      <c r="G677" s="156">
        <f>Tabla18[[#This Row],[Importe]]-Tabla18[[#This Row],[Pagado]]</f>
        <v>0</v>
      </c>
      <c r="H677" s="153" t="s">
        <v>10</v>
      </c>
    </row>
    <row r="678" spans="1:8" x14ac:dyDescent="0.25">
      <c r="A678" s="73">
        <v>44749</v>
      </c>
      <c r="B678" s="74" t="s">
        <v>21968</v>
      </c>
      <c r="C678" s="75" t="s">
        <v>353</v>
      </c>
      <c r="D678" s="81">
        <v>1986.6</v>
      </c>
      <c r="E678" s="151">
        <v>44749</v>
      </c>
      <c r="F678" s="81">
        <v>1986.6</v>
      </c>
      <c r="G678" s="156">
        <f>Tabla18[[#This Row],[Importe]]-Tabla18[[#This Row],[Pagado]]</f>
        <v>0</v>
      </c>
      <c r="H678" s="75" t="s">
        <v>10</v>
      </c>
    </row>
    <row r="679" spans="1:8" x14ac:dyDescent="0.25">
      <c r="A679" s="148">
        <v>44749</v>
      </c>
      <c r="B679" s="149" t="s">
        <v>21969</v>
      </c>
      <c r="C679" s="153" t="s">
        <v>481</v>
      </c>
      <c r="D679" s="154">
        <v>822.6</v>
      </c>
      <c r="E679" s="155">
        <v>44749</v>
      </c>
      <c r="F679" s="154">
        <v>822.6</v>
      </c>
      <c r="G679" s="156">
        <f>Tabla18[[#This Row],[Importe]]-Tabla18[[#This Row],[Pagado]]</f>
        <v>0</v>
      </c>
      <c r="H679" s="153" t="s">
        <v>10</v>
      </c>
    </row>
    <row r="680" spans="1:8" x14ac:dyDescent="0.25">
      <c r="A680" s="73">
        <v>44749</v>
      </c>
      <c r="B680" s="74" t="s">
        <v>21970</v>
      </c>
      <c r="C680" s="75" t="s">
        <v>348</v>
      </c>
      <c r="D680" s="81">
        <v>3477.6</v>
      </c>
      <c r="E680" s="151">
        <v>44749</v>
      </c>
      <c r="F680" s="81">
        <v>3477.6</v>
      </c>
      <c r="G680" s="156">
        <f>Tabla18[[#This Row],[Importe]]-Tabla18[[#This Row],[Pagado]]</f>
        <v>0</v>
      </c>
      <c r="H680" s="75" t="s">
        <v>10</v>
      </c>
    </row>
    <row r="681" spans="1:8" x14ac:dyDescent="0.25">
      <c r="A681" s="148">
        <v>44749</v>
      </c>
      <c r="B681" s="149" t="s">
        <v>21971</v>
      </c>
      <c r="C681" s="153" t="s">
        <v>326</v>
      </c>
      <c r="D681" s="154">
        <v>5580.8</v>
      </c>
      <c r="E681" s="155">
        <v>44751</v>
      </c>
      <c r="F681" s="154">
        <v>5580.8</v>
      </c>
      <c r="G681" s="156">
        <f>Tabla18[[#This Row],[Importe]]-Tabla18[[#This Row],[Pagado]]</f>
        <v>0</v>
      </c>
      <c r="H681" s="153" t="s">
        <v>10</v>
      </c>
    </row>
    <row r="682" spans="1:8" x14ac:dyDescent="0.25">
      <c r="A682" s="73">
        <v>44749</v>
      </c>
      <c r="B682" s="74" t="s">
        <v>21972</v>
      </c>
      <c r="C682" s="75" t="s">
        <v>326</v>
      </c>
      <c r="D682" s="81">
        <v>772</v>
      </c>
      <c r="E682" s="151">
        <v>44751</v>
      </c>
      <c r="F682" s="81">
        <v>772</v>
      </c>
      <c r="G682" s="156">
        <f>Tabla18[[#This Row],[Importe]]-Tabla18[[#This Row],[Pagado]]</f>
        <v>0</v>
      </c>
      <c r="H682" s="75" t="s">
        <v>10</v>
      </c>
    </row>
    <row r="683" spans="1:8" x14ac:dyDescent="0.25">
      <c r="A683" s="148">
        <v>44749</v>
      </c>
      <c r="B683" s="149" t="s">
        <v>21973</v>
      </c>
      <c r="C683" s="153" t="s">
        <v>918</v>
      </c>
      <c r="D683" s="154">
        <v>1019.2</v>
      </c>
      <c r="E683" s="155">
        <v>44749</v>
      </c>
      <c r="F683" s="154">
        <v>1019.2</v>
      </c>
      <c r="G683" s="156">
        <f>Tabla18[[#This Row],[Importe]]-Tabla18[[#This Row],[Pagado]]</f>
        <v>0</v>
      </c>
      <c r="H683" s="153" t="s">
        <v>10</v>
      </c>
    </row>
    <row r="684" spans="1:8" x14ac:dyDescent="0.25">
      <c r="A684" s="73">
        <v>44749</v>
      </c>
      <c r="B684" s="74" t="s">
        <v>21974</v>
      </c>
      <c r="C684" s="75" t="s">
        <v>5043</v>
      </c>
      <c r="D684" s="81">
        <v>5606.4</v>
      </c>
      <c r="E684" s="151">
        <v>44750</v>
      </c>
      <c r="F684" s="81">
        <v>5606.4</v>
      </c>
      <c r="G684" s="156">
        <f>Tabla18[[#This Row],[Importe]]-Tabla18[[#This Row],[Pagado]]</f>
        <v>0</v>
      </c>
      <c r="H684" s="75" t="s">
        <v>10</v>
      </c>
    </row>
    <row r="685" spans="1:8" x14ac:dyDescent="0.25">
      <c r="A685" s="148">
        <v>44749</v>
      </c>
      <c r="B685" s="149" t="s">
        <v>21975</v>
      </c>
      <c r="C685" s="153" t="s">
        <v>2151</v>
      </c>
      <c r="D685" s="154">
        <v>22741.4</v>
      </c>
      <c r="E685" s="155">
        <v>44749</v>
      </c>
      <c r="F685" s="154">
        <v>22741.4</v>
      </c>
      <c r="G685" s="156">
        <f>Tabla18[[#This Row],[Importe]]-Tabla18[[#This Row],[Pagado]]</f>
        <v>0</v>
      </c>
      <c r="H685" s="153" t="s">
        <v>10</v>
      </c>
    </row>
    <row r="686" spans="1:8" x14ac:dyDescent="0.25">
      <c r="A686" s="73">
        <v>44749</v>
      </c>
      <c r="B686" s="74" t="s">
        <v>21976</v>
      </c>
      <c r="C686" s="75" t="s">
        <v>79</v>
      </c>
      <c r="D686" s="81">
        <v>15201.68</v>
      </c>
      <c r="E686" s="151">
        <v>44749</v>
      </c>
      <c r="F686" s="81">
        <v>15201.68</v>
      </c>
      <c r="G686" s="156">
        <f>Tabla18[[#This Row],[Importe]]-Tabla18[[#This Row],[Pagado]]</f>
        <v>0</v>
      </c>
      <c r="H686" s="75" t="s">
        <v>10</v>
      </c>
    </row>
    <row r="687" spans="1:8" x14ac:dyDescent="0.25">
      <c r="A687" s="148">
        <v>44749</v>
      </c>
      <c r="B687" s="149" t="s">
        <v>21977</v>
      </c>
      <c r="C687" s="153" t="s">
        <v>9</v>
      </c>
      <c r="D687" s="154">
        <v>12254.2</v>
      </c>
      <c r="E687" s="155">
        <v>44749</v>
      </c>
      <c r="F687" s="154">
        <v>12254.2</v>
      </c>
      <c r="G687" s="156">
        <f>Tabla18[[#This Row],[Importe]]-Tabla18[[#This Row],[Pagado]]</f>
        <v>0</v>
      </c>
      <c r="H687" s="153" t="s">
        <v>10</v>
      </c>
    </row>
    <row r="688" spans="1:8" x14ac:dyDescent="0.25">
      <c r="A688" s="73">
        <v>44749</v>
      </c>
      <c r="B688" s="74" t="s">
        <v>21978</v>
      </c>
      <c r="C688" s="75" t="s">
        <v>2563</v>
      </c>
      <c r="D688" s="81">
        <v>6188.8</v>
      </c>
      <c r="E688" s="151">
        <v>44750</v>
      </c>
      <c r="F688" s="81">
        <v>6188.8</v>
      </c>
      <c r="G688" s="156">
        <f>Tabla18[[#This Row],[Importe]]-Tabla18[[#This Row],[Pagado]]</f>
        <v>0</v>
      </c>
      <c r="H688" s="75" t="s">
        <v>10</v>
      </c>
    </row>
    <row r="689" spans="1:8" x14ac:dyDescent="0.25">
      <c r="A689" s="148">
        <v>44749</v>
      </c>
      <c r="B689" s="149" t="s">
        <v>21979</v>
      </c>
      <c r="C689" s="153" t="s">
        <v>1237</v>
      </c>
      <c r="D689" s="154">
        <v>100841.22</v>
      </c>
      <c r="E689" s="155">
        <v>44749</v>
      </c>
      <c r="F689" s="154">
        <v>100841.22</v>
      </c>
      <c r="G689" s="156">
        <f>Tabla18[[#This Row],[Importe]]-Tabla18[[#This Row],[Pagado]]</f>
        <v>0</v>
      </c>
      <c r="H689" s="153" t="s">
        <v>10</v>
      </c>
    </row>
    <row r="690" spans="1:8" x14ac:dyDescent="0.25">
      <c r="A690" s="73">
        <v>44749</v>
      </c>
      <c r="B690" s="74" t="s">
        <v>21980</v>
      </c>
      <c r="C690" s="75" t="s">
        <v>450</v>
      </c>
      <c r="D690" s="81">
        <v>9199.2000000000007</v>
      </c>
      <c r="E690" s="151">
        <v>44749</v>
      </c>
      <c r="F690" s="81">
        <v>9199.2000000000007</v>
      </c>
      <c r="G690" s="156">
        <f>Tabla18[[#This Row],[Importe]]-Tabla18[[#This Row],[Pagado]]</f>
        <v>0</v>
      </c>
      <c r="H690" s="75" t="s">
        <v>10</v>
      </c>
    </row>
    <row r="691" spans="1:8" x14ac:dyDescent="0.25">
      <c r="A691" s="148">
        <v>44749</v>
      </c>
      <c r="B691" s="149" t="s">
        <v>21981</v>
      </c>
      <c r="C691" s="153" t="s">
        <v>1187</v>
      </c>
      <c r="D691" s="154">
        <v>2449.6999999999998</v>
      </c>
      <c r="E691" s="155">
        <v>44749</v>
      </c>
      <c r="F691" s="154">
        <v>2449.6999999999998</v>
      </c>
      <c r="G691" s="156">
        <f>Tabla18[[#This Row],[Importe]]-Tabla18[[#This Row],[Pagado]]</f>
        <v>0</v>
      </c>
      <c r="H691" s="153" t="s">
        <v>10</v>
      </c>
    </row>
    <row r="692" spans="1:8" x14ac:dyDescent="0.25">
      <c r="A692" s="73">
        <v>44749</v>
      </c>
      <c r="B692" s="74" t="s">
        <v>21982</v>
      </c>
      <c r="C692" s="75" t="s">
        <v>31</v>
      </c>
      <c r="D692" s="81">
        <v>2630.2</v>
      </c>
      <c r="E692" s="151">
        <v>44749</v>
      </c>
      <c r="F692" s="81">
        <v>2630.2</v>
      </c>
      <c r="G692" s="156">
        <f>Tabla18[[#This Row],[Importe]]-Tabla18[[#This Row],[Pagado]]</f>
        <v>0</v>
      </c>
      <c r="H692" s="75" t="s">
        <v>10</v>
      </c>
    </row>
    <row r="693" spans="1:8" x14ac:dyDescent="0.25">
      <c r="A693" s="148">
        <v>44749</v>
      </c>
      <c r="B693" s="149" t="s">
        <v>21983</v>
      </c>
      <c r="C693" s="153" t="s">
        <v>142</v>
      </c>
      <c r="D693" s="154">
        <v>106705.96</v>
      </c>
      <c r="E693" s="155">
        <v>44799</v>
      </c>
      <c r="F693" s="154">
        <v>106705.96</v>
      </c>
      <c r="G693" s="156">
        <f>Tabla18[[#This Row],[Importe]]-Tabla18[[#This Row],[Pagado]]</f>
        <v>0</v>
      </c>
      <c r="H693" s="153" t="s">
        <v>10</v>
      </c>
    </row>
    <row r="694" spans="1:8" x14ac:dyDescent="0.25">
      <c r="A694" s="73">
        <v>44749</v>
      </c>
      <c r="B694" s="74" t="s">
        <v>21984</v>
      </c>
      <c r="C694" s="75" t="s">
        <v>11033</v>
      </c>
      <c r="D694" s="81">
        <v>3672.9</v>
      </c>
      <c r="E694" s="151">
        <v>44749</v>
      </c>
      <c r="F694" s="81">
        <v>3672.9</v>
      </c>
      <c r="G694" s="156">
        <f>Tabla18[[#This Row],[Importe]]-Tabla18[[#This Row],[Pagado]]</f>
        <v>0</v>
      </c>
      <c r="H694" s="75" t="s">
        <v>10</v>
      </c>
    </row>
    <row r="695" spans="1:8" x14ac:dyDescent="0.25">
      <c r="A695" s="148">
        <v>44749</v>
      </c>
      <c r="B695" s="149" t="s">
        <v>21985</v>
      </c>
      <c r="C695" s="153" t="s">
        <v>131</v>
      </c>
      <c r="D695" s="154">
        <v>6203.8</v>
      </c>
      <c r="E695" s="155">
        <v>44749</v>
      </c>
      <c r="F695" s="154">
        <v>6203.8</v>
      </c>
      <c r="G695" s="156">
        <f>Tabla18[[#This Row],[Importe]]-Tabla18[[#This Row],[Pagado]]</f>
        <v>0</v>
      </c>
      <c r="H695" s="153" t="s">
        <v>10</v>
      </c>
    </row>
    <row r="696" spans="1:8" x14ac:dyDescent="0.25">
      <c r="A696" s="73">
        <v>44749</v>
      </c>
      <c r="B696" s="74" t="s">
        <v>21986</v>
      </c>
      <c r="C696" s="75" t="s">
        <v>53</v>
      </c>
      <c r="D696" s="81">
        <v>3248.6</v>
      </c>
      <c r="E696" s="151">
        <v>44749</v>
      </c>
      <c r="F696" s="81">
        <v>3248.6</v>
      </c>
      <c r="G696" s="156">
        <f>Tabla18[[#This Row],[Importe]]-Tabla18[[#This Row],[Pagado]]</f>
        <v>0</v>
      </c>
      <c r="H696" s="75" t="s">
        <v>10</v>
      </c>
    </row>
    <row r="697" spans="1:8" x14ac:dyDescent="0.25">
      <c r="A697" s="148">
        <v>44749</v>
      </c>
      <c r="B697" s="149" t="s">
        <v>21987</v>
      </c>
      <c r="C697" s="153" t="s">
        <v>407</v>
      </c>
      <c r="D697" s="154">
        <v>9800</v>
      </c>
      <c r="E697" s="155">
        <v>44750</v>
      </c>
      <c r="F697" s="154">
        <v>9800</v>
      </c>
      <c r="G697" s="156">
        <f>Tabla18[[#This Row],[Importe]]-Tabla18[[#This Row],[Pagado]]</f>
        <v>0</v>
      </c>
      <c r="H697" s="153" t="s">
        <v>10</v>
      </c>
    </row>
    <row r="698" spans="1:8" x14ac:dyDescent="0.25">
      <c r="A698" s="73">
        <v>44749</v>
      </c>
      <c r="B698" s="74" t="s">
        <v>21988</v>
      </c>
      <c r="C698" s="75" t="s">
        <v>127</v>
      </c>
      <c r="D698" s="81">
        <v>1679.8</v>
      </c>
      <c r="E698" s="151">
        <v>44749</v>
      </c>
      <c r="F698" s="81">
        <v>1679.8</v>
      </c>
      <c r="G698" s="156">
        <f>Tabla18[[#This Row],[Importe]]-Tabla18[[#This Row],[Pagado]]</f>
        <v>0</v>
      </c>
      <c r="H698" s="75" t="s">
        <v>10</v>
      </c>
    </row>
    <row r="699" spans="1:8" x14ac:dyDescent="0.25">
      <c r="A699" s="148">
        <v>44749</v>
      </c>
      <c r="B699" s="149" t="s">
        <v>21989</v>
      </c>
      <c r="C699" s="153" t="s">
        <v>49</v>
      </c>
      <c r="D699" s="154">
        <v>4883.6000000000004</v>
      </c>
      <c r="E699" s="155">
        <v>44749</v>
      </c>
      <c r="F699" s="154">
        <v>4883.6000000000004</v>
      </c>
      <c r="G699" s="156">
        <f>Tabla18[[#This Row],[Importe]]-Tabla18[[#This Row],[Pagado]]</f>
        <v>0</v>
      </c>
      <c r="H699" s="153" t="s">
        <v>10</v>
      </c>
    </row>
    <row r="700" spans="1:8" x14ac:dyDescent="0.25">
      <c r="A700" s="73">
        <v>44749</v>
      </c>
      <c r="B700" s="74" t="s">
        <v>21990</v>
      </c>
      <c r="C700" s="75" t="s">
        <v>216</v>
      </c>
      <c r="D700" s="81">
        <v>1936.8</v>
      </c>
      <c r="E700" s="151">
        <v>44749</v>
      </c>
      <c r="F700" s="81">
        <v>1936.8</v>
      </c>
      <c r="G700" s="156">
        <f>Tabla18[[#This Row],[Importe]]-Tabla18[[#This Row],[Pagado]]</f>
        <v>0</v>
      </c>
      <c r="H700" s="75" t="s">
        <v>10</v>
      </c>
    </row>
    <row r="701" spans="1:8" x14ac:dyDescent="0.25">
      <c r="A701" s="148">
        <v>44749</v>
      </c>
      <c r="B701" s="149" t="s">
        <v>21991</v>
      </c>
      <c r="C701" s="153" t="s">
        <v>129</v>
      </c>
      <c r="D701" s="154">
        <v>5574.5</v>
      </c>
      <c r="E701" s="155">
        <v>44749</v>
      </c>
      <c r="F701" s="154">
        <v>5574.5</v>
      </c>
      <c r="G701" s="156">
        <f>Tabla18[[#This Row],[Importe]]-Tabla18[[#This Row],[Pagado]]</f>
        <v>0</v>
      </c>
      <c r="H701" s="153" t="s">
        <v>10</v>
      </c>
    </row>
    <row r="702" spans="1:8" x14ac:dyDescent="0.25">
      <c r="A702" s="73">
        <v>44749</v>
      </c>
      <c r="B702" s="74" t="s">
        <v>21992</v>
      </c>
      <c r="C702" s="75" t="s">
        <v>140</v>
      </c>
      <c r="D702" s="81">
        <v>2211</v>
      </c>
      <c r="E702" s="151">
        <v>44749</v>
      </c>
      <c r="F702" s="81">
        <v>2211</v>
      </c>
      <c r="G702" s="156">
        <f>Tabla18[[#This Row],[Importe]]-Tabla18[[#This Row],[Pagado]]</f>
        <v>0</v>
      </c>
      <c r="H702" s="75" t="s">
        <v>10</v>
      </c>
    </row>
    <row r="703" spans="1:8" x14ac:dyDescent="0.25">
      <c r="A703" s="148">
        <v>44749</v>
      </c>
      <c r="B703" s="149" t="s">
        <v>21993</v>
      </c>
      <c r="C703" s="153" t="s">
        <v>357</v>
      </c>
      <c r="D703" s="154">
        <v>336</v>
      </c>
      <c r="E703" s="155">
        <v>44749</v>
      </c>
      <c r="F703" s="154">
        <v>336</v>
      </c>
      <c r="G703" s="156">
        <f>Tabla18[[#This Row],[Importe]]-Tabla18[[#This Row],[Pagado]]</f>
        <v>0</v>
      </c>
      <c r="H703" s="153" t="s">
        <v>10</v>
      </c>
    </row>
    <row r="704" spans="1:8" x14ac:dyDescent="0.25">
      <c r="A704" s="73">
        <v>44749</v>
      </c>
      <c r="B704" s="74" t="s">
        <v>21994</v>
      </c>
      <c r="C704" s="75" t="s">
        <v>27</v>
      </c>
      <c r="D704" s="81">
        <v>1355.7</v>
      </c>
      <c r="E704" s="151">
        <v>44749</v>
      </c>
      <c r="F704" s="81">
        <v>1355.7</v>
      </c>
      <c r="G704" s="156">
        <f>Tabla18[[#This Row],[Importe]]-Tabla18[[#This Row],[Pagado]]</f>
        <v>0</v>
      </c>
      <c r="H704" s="75" t="s">
        <v>10</v>
      </c>
    </row>
    <row r="705" spans="1:8" x14ac:dyDescent="0.25">
      <c r="A705" s="148">
        <v>44749</v>
      </c>
      <c r="B705" s="149" t="s">
        <v>21995</v>
      </c>
      <c r="C705" s="153" t="s">
        <v>107</v>
      </c>
      <c r="D705" s="154">
        <v>10048</v>
      </c>
      <c r="E705" s="155">
        <v>44749</v>
      </c>
      <c r="F705" s="154">
        <v>10048</v>
      </c>
      <c r="G705" s="156">
        <f>Tabla18[[#This Row],[Importe]]-Tabla18[[#This Row],[Pagado]]</f>
        <v>0</v>
      </c>
      <c r="H705" s="153" t="s">
        <v>10</v>
      </c>
    </row>
    <row r="706" spans="1:8" x14ac:dyDescent="0.25">
      <c r="A706" s="73">
        <v>44749</v>
      </c>
      <c r="B706" s="74" t="s">
        <v>21996</v>
      </c>
      <c r="C706" s="75" t="s">
        <v>45</v>
      </c>
      <c r="D706" s="81">
        <v>14927.7</v>
      </c>
      <c r="E706" s="151">
        <v>44749</v>
      </c>
      <c r="F706" s="81">
        <v>14927.7</v>
      </c>
      <c r="G706" s="156">
        <f>Tabla18[[#This Row],[Importe]]-Tabla18[[#This Row],[Pagado]]</f>
        <v>0</v>
      </c>
      <c r="H706" s="75" t="s">
        <v>10</v>
      </c>
    </row>
    <row r="707" spans="1:8" x14ac:dyDescent="0.25">
      <c r="A707" s="148">
        <v>44749</v>
      </c>
      <c r="B707" s="149" t="s">
        <v>21997</v>
      </c>
      <c r="C707" s="153" t="s">
        <v>146</v>
      </c>
      <c r="D707" s="154">
        <v>4022.3</v>
      </c>
      <c r="E707" s="155">
        <v>44749</v>
      </c>
      <c r="F707" s="154">
        <v>4022.3</v>
      </c>
      <c r="G707" s="156">
        <f>Tabla18[[#This Row],[Importe]]-Tabla18[[#This Row],[Pagado]]</f>
        <v>0</v>
      </c>
      <c r="H707" s="153" t="s">
        <v>10</v>
      </c>
    </row>
    <row r="708" spans="1:8" x14ac:dyDescent="0.25">
      <c r="A708" s="73">
        <v>44749</v>
      </c>
      <c r="B708" s="74" t="s">
        <v>21998</v>
      </c>
      <c r="C708" s="75" t="s">
        <v>1265</v>
      </c>
      <c r="D708" s="81">
        <v>2828.7</v>
      </c>
      <c r="E708" s="151">
        <v>44749</v>
      </c>
      <c r="F708" s="81">
        <v>2828.7</v>
      </c>
      <c r="G708" s="156">
        <f>Tabla18[[#This Row],[Importe]]-Tabla18[[#This Row],[Pagado]]</f>
        <v>0</v>
      </c>
      <c r="H708" s="75" t="s">
        <v>10</v>
      </c>
    </row>
    <row r="709" spans="1:8" x14ac:dyDescent="0.25">
      <c r="A709" s="148">
        <v>44749</v>
      </c>
      <c r="B709" s="149" t="s">
        <v>21999</v>
      </c>
      <c r="C709" s="153" t="s">
        <v>62</v>
      </c>
      <c r="D709" s="154">
        <v>5137.5</v>
      </c>
      <c r="E709" s="155">
        <v>44749</v>
      </c>
      <c r="F709" s="154">
        <v>5137.5</v>
      </c>
      <c r="G709" s="156">
        <f>Tabla18[[#This Row],[Importe]]-Tabla18[[#This Row],[Pagado]]</f>
        <v>0</v>
      </c>
      <c r="H709" s="153" t="s">
        <v>10</v>
      </c>
    </row>
    <row r="710" spans="1:8" x14ac:dyDescent="0.25">
      <c r="A710" s="73">
        <v>44749</v>
      </c>
      <c r="B710" s="74" t="s">
        <v>22000</v>
      </c>
      <c r="C710" s="75" t="s">
        <v>214</v>
      </c>
      <c r="D710" s="81">
        <v>8376.7999999999993</v>
      </c>
      <c r="E710" s="151">
        <v>44749</v>
      </c>
      <c r="F710" s="81">
        <v>8376.7999999999993</v>
      </c>
      <c r="G710" s="156">
        <f>Tabla18[[#This Row],[Importe]]-Tabla18[[#This Row],[Pagado]]</f>
        <v>0</v>
      </c>
      <c r="H710" s="75" t="s">
        <v>10</v>
      </c>
    </row>
    <row r="711" spans="1:8" x14ac:dyDescent="0.25">
      <c r="A711" s="148">
        <v>44749</v>
      </c>
      <c r="B711" s="149" t="s">
        <v>22001</v>
      </c>
      <c r="C711" s="153" t="s">
        <v>24</v>
      </c>
      <c r="D711" s="154">
        <v>4142</v>
      </c>
      <c r="E711" s="155">
        <v>44749</v>
      </c>
      <c r="F711" s="154">
        <v>4142</v>
      </c>
      <c r="G711" s="156">
        <f>Tabla18[[#This Row],[Importe]]-Tabla18[[#This Row],[Pagado]]</f>
        <v>0</v>
      </c>
      <c r="H711" s="153" t="s">
        <v>10</v>
      </c>
    </row>
    <row r="712" spans="1:8" x14ac:dyDescent="0.25">
      <c r="A712" s="73">
        <v>44749</v>
      </c>
      <c r="B712" s="74" t="s">
        <v>22002</v>
      </c>
      <c r="C712" s="75" t="s">
        <v>31</v>
      </c>
      <c r="D712" s="81">
        <v>304</v>
      </c>
      <c r="E712" s="151">
        <v>44749</v>
      </c>
      <c r="F712" s="81">
        <v>304</v>
      </c>
      <c r="G712" s="156">
        <f>Tabla18[[#This Row],[Importe]]-Tabla18[[#This Row],[Pagado]]</f>
        <v>0</v>
      </c>
      <c r="H712" s="75" t="s">
        <v>10</v>
      </c>
    </row>
    <row r="713" spans="1:8" x14ac:dyDescent="0.25">
      <c r="A713" s="148">
        <v>44749</v>
      </c>
      <c r="B713" s="149" t="s">
        <v>22003</v>
      </c>
      <c r="C713" s="153" t="s">
        <v>275</v>
      </c>
      <c r="D713" s="154">
        <v>4958.84</v>
      </c>
      <c r="E713" s="155">
        <v>44764</v>
      </c>
      <c r="F713" s="154">
        <v>4958.84</v>
      </c>
      <c r="G713" s="156">
        <f>Tabla18[[#This Row],[Importe]]-Tabla18[[#This Row],[Pagado]]</f>
        <v>0</v>
      </c>
      <c r="H713" s="153" t="s">
        <v>10</v>
      </c>
    </row>
    <row r="714" spans="1:8" x14ac:dyDescent="0.25">
      <c r="A714" s="73">
        <v>44749</v>
      </c>
      <c r="B714" s="74" t="s">
        <v>22004</v>
      </c>
      <c r="C714" s="75" t="s">
        <v>1378</v>
      </c>
      <c r="D714" s="81">
        <v>79905</v>
      </c>
      <c r="E714" s="151">
        <v>44749</v>
      </c>
      <c r="F714" s="81">
        <v>79905</v>
      </c>
      <c r="G714" s="156">
        <f>Tabla18[[#This Row],[Importe]]-Tabla18[[#This Row],[Pagado]]</f>
        <v>0</v>
      </c>
      <c r="H714" s="75" t="s">
        <v>10</v>
      </c>
    </row>
    <row r="715" spans="1:8" x14ac:dyDescent="0.25">
      <c r="A715" s="148">
        <v>44749</v>
      </c>
      <c r="B715" s="149" t="s">
        <v>22005</v>
      </c>
      <c r="C715" s="153" t="s">
        <v>804</v>
      </c>
      <c r="D715" s="154">
        <v>22757.599999999999</v>
      </c>
      <c r="E715" s="155">
        <v>44749</v>
      </c>
      <c r="F715" s="154">
        <v>22757.599999999999</v>
      </c>
      <c r="G715" s="156">
        <f>Tabla18[[#This Row],[Importe]]-Tabla18[[#This Row],[Pagado]]</f>
        <v>0</v>
      </c>
      <c r="H715" s="153" t="s">
        <v>10</v>
      </c>
    </row>
    <row r="716" spans="1:8" x14ac:dyDescent="0.25">
      <c r="A716" s="73">
        <v>44749</v>
      </c>
      <c r="B716" s="74" t="s">
        <v>22006</v>
      </c>
      <c r="C716" s="75" t="s">
        <v>244</v>
      </c>
      <c r="D716" s="81">
        <v>1109.5999999999999</v>
      </c>
      <c r="E716" s="151">
        <v>44749</v>
      </c>
      <c r="F716" s="81">
        <v>1109.5999999999999</v>
      </c>
      <c r="G716" s="156">
        <f>Tabla18[[#This Row],[Importe]]-Tabla18[[#This Row],[Pagado]]</f>
        <v>0</v>
      </c>
      <c r="H716" s="75" t="s">
        <v>10</v>
      </c>
    </row>
    <row r="717" spans="1:8" x14ac:dyDescent="0.25">
      <c r="A717" s="148">
        <v>44749</v>
      </c>
      <c r="B717" s="149" t="s">
        <v>22007</v>
      </c>
      <c r="C717" s="153" t="s">
        <v>29</v>
      </c>
      <c r="D717" s="154">
        <v>3189.6</v>
      </c>
      <c r="E717" s="155">
        <v>44749</v>
      </c>
      <c r="F717" s="154">
        <v>3189.6</v>
      </c>
      <c r="G717" s="156">
        <f>Tabla18[[#This Row],[Importe]]-Tabla18[[#This Row],[Pagado]]</f>
        <v>0</v>
      </c>
      <c r="H717" s="153" t="s">
        <v>10</v>
      </c>
    </row>
    <row r="718" spans="1:8" x14ac:dyDescent="0.25">
      <c r="A718" s="73">
        <v>44749</v>
      </c>
      <c r="B718" s="74" t="s">
        <v>22008</v>
      </c>
      <c r="C718" s="75" t="s">
        <v>214</v>
      </c>
      <c r="D718" s="81">
        <v>1310.4000000000001</v>
      </c>
      <c r="E718" s="151">
        <v>44749</v>
      </c>
      <c r="F718" s="81">
        <v>1310.4000000000001</v>
      </c>
      <c r="G718" s="156">
        <f>Tabla18[[#This Row],[Importe]]-Tabla18[[#This Row],[Pagado]]</f>
        <v>0</v>
      </c>
      <c r="H718" s="75" t="s">
        <v>10</v>
      </c>
    </row>
    <row r="719" spans="1:8" x14ac:dyDescent="0.25">
      <c r="A719" s="148">
        <v>44749</v>
      </c>
      <c r="B719" s="149" t="s">
        <v>22009</v>
      </c>
      <c r="C719" s="153" t="s">
        <v>85</v>
      </c>
      <c r="D719" s="154">
        <v>2404.8000000000002</v>
      </c>
      <c r="E719" s="155">
        <v>44749</v>
      </c>
      <c r="F719" s="154">
        <v>2404.8000000000002</v>
      </c>
      <c r="G719" s="156">
        <f>Tabla18[[#This Row],[Importe]]-Tabla18[[#This Row],[Pagado]]</f>
        <v>0</v>
      </c>
      <c r="H719" s="153" t="s">
        <v>10</v>
      </c>
    </row>
    <row r="720" spans="1:8" x14ac:dyDescent="0.25">
      <c r="A720" s="73">
        <v>44749</v>
      </c>
      <c r="B720" s="74" t="s">
        <v>22010</v>
      </c>
      <c r="C720" s="75" t="s">
        <v>222</v>
      </c>
      <c r="D720" s="81">
        <v>11308.5</v>
      </c>
      <c r="E720" s="151">
        <v>44749</v>
      </c>
      <c r="F720" s="81">
        <v>11308.5</v>
      </c>
      <c r="G720" s="156">
        <f>Tabla18[[#This Row],[Importe]]-Tabla18[[#This Row],[Pagado]]</f>
        <v>0</v>
      </c>
      <c r="H720" s="75" t="s">
        <v>10</v>
      </c>
    </row>
    <row r="721" spans="1:8" x14ac:dyDescent="0.25">
      <c r="A721" s="148">
        <v>44749</v>
      </c>
      <c r="B721" s="149" t="s">
        <v>22011</v>
      </c>
      <c r="C721" s="153" t="s">
        <v>191</v>
      </c>
      <c r="D721" s="154">
        <v>2248.4</v>
      </c>
      <c r="E721" s="155">
        <v>44749</v>
      </c>
      <c r="F721" s="154">
        <v>2248.4</v>
      </c>
      <c r="G721" s="156">
        <f>Tabla18[[#This Row],[Importe]]-Tabla18[[#This Row],[Pagado]]</f>
        <v>0</v>
      </c>
      <c r="H721" s="153" t="s">
        <v>10</v>
      </c>
    </row>
    <row r="722" spans="1:8" x14ac:dyDescent="0.25">
      <c r="A722" s="73">
        <v>44749</v>
      </c>
      <c r="B722" s="74" t="s">
        <v>22012</v>
      </c>
      <c r="C722" s="75" t="s">
        <v>275</v>
      </c>
      <c r="D722" s="81">
        <v>109621.33</v>
      </c>
      <c r="E722" s="151">
        <v>44764</v>
      </c>
      <c r="F722" s="81">
        <v>109621.33</v>
      </c>
      <c r="G722" s="156">
        <f>Tabla18[[#This Row],[Importe]]-Tabla18[[#This Row],[Pagado]]</f>
        <v>0</v>
      </c>
      <c r="H722" s="75" t="s">
        <v>10</v>
      </c>
    </row>
    <row r="723" spans="1:8" x14ac:dyDescent="0.25">
      <c r="A723" s="148">
        <v>44749</v>
      </c>
      <c r="B723" s="149" t="s">
        <v>22013</v>
      </c>
      <c r="C723" s="153" t="s">
        <v>246</v>
      </c>
      <c r="D723" s="154">
        <v>4233.2</v>
      </c>
      <c r="E723" s="155">
        <v>44749</v>
      </c>
      <c r="F723" s="154">
        <v>4233.2</v>
      </c>
      <c r="G723" s="156">
        <f>Tabla18[[#This Row],[Importe]]-Tabla18[[#This Row],[Pagado]]</f>
        <v>0</v>
      </c>
      <c r="H723" s="153" t="s">
        <v>10</v>
      </c>
    </row>
    <row r="724" spans="1:8" x14ac:dyDescent="0.25">
      <c r="A724" s="73">
        <v>44749</v>
      </c>
      <c r="B724" s="74" t="s">
        <v>22014</v>
      </c>
      <c r="C724" s="75" t="s">
        <v>1003</v>
      </c>
      <c r="D724" s="81">
        <v>9067.1</v>
      </c>
      <c r="E724" s="151">
        <v>44751</v>
      </c>
      <c r="F724" s="81">
        <v>9067.1</v>
      </c>
      <c r="G724" s="156">
        <f>Tabla18[[#This Row],[Importe]]-Tabla18[[#This Row],[Pagado]]</f>
        <v>0</v>
      </c>
      <c r="H724" s="75" t="s">
        <v>10</v>
      </c>
    </row>
    <row r="725" spans="1:8" x14ac:dyDescent="0.25">
      <c r="A725" s="148">
        <v>44749</v>
      </c>
      <c r="B725" s="149" t="s">
        <v>22015</v>
      </c>
      <c r="C725" s="153" t="s">
        <v>31</v>
      </c>
      <c r="D725" s="154">
        <v>1231.2</v>
      </c>
      <c r="E725" s="155">
        <v>44749</v>
      </c>
      <c r="F725" s="154">
        <v>1231.2</v>
      </c>
      <c r="G725" s="156">
        <f>Tabla18[[#This Row],[Importe]]-Tabla18[[#This Row],[Pagado]]</f>
        <v>0</v>
      </c>
      <c r="H725" s="153" t="s">
        <v>10</v>
      </c>
    </row>
    <row r="726" spans="1:8" x14ac:dyDescent="0.25">
      <c r="A726" s="73">
        <v>44749</v>
      </c>
      <c r="B726" s="74" t="s">
        <v>22016</v>
      </c>
      <c r="C726" s="75" t="s">
        <v>244</v>
      </c>
      <c r="D726" s="81">
        <v>4258.1000000000004</v>
      </c>
      <c r="E726" s="151">
        <v>44749</v>
      </c>
      <c r="F726" s="81">
        <v>4258.1000000000004</v>
      </c>
      <c r="G726" s="156">
        <f>Tabla18[[#This Row],[Importe]]-Tabla18[[#This Row],[Pagado]]</f>
        <v>0</v>
      </c>
      <c r="H726" s="75" t="s">
        <v>10</v>
      </c>
    </row>
    <row r="727" spans="1:8" x14ac:dyDescent="0.25">
      <c r="A727" s="148">
        <v>44749</v>
      </c>
      <c r="B727" s="149" t="s">
        <v>22017</v>
      </c>
      <c r="C727" s="153" t="s">
        <v>56</v>
      </c>
      <c r="D727" s="154">
        <v>7899.6</v>
      </c>
      <c r="E727" s="155">
        <v>44749</v>
      </c>
      <c r="F727" s="154">
        <v>7899.6</v>
      </c>
      <c r="G727" s="156">
        <f>Tabla18[[#This Row],[Importe]]-Tabla18[[#This Row],[Pagado]]</f>
        <v>0</v>
      </c>
      <c r="H727" s="153" t="s">
        <v>10</v>
      </c>
    </row>
    <row r="728" spans="1:8" x14ac:dyDescent="0.25">
      <c r="A728" s="73">
        <v>44749</v>
      </c>
      <c r="B728" s="74" t="s">
        <v>22018</v>
      </c>
      <c r="C728" s="75" t="s">
        <v>67</v>
      </c>
      <c r="D728" s="81">
        <v>2384.8000000000002</v>
      </c>
      <c r="E728" s="151">
        <v>44749</v>
      </c>
      <c r="F728" s="81">
        <v>2384.8000000000002</v>
      </c>
      <c r="G728" s="156">
        <f>Tabla18[[#This Row],[Importe]]-Tabla18[[#This Row],[Pagado]]</f>
        <v>0</v>
      </c>
      <c r="H728" s="75" t="s">
        <v>10</v>
      </c>
    </row>
    <row r="729" spans="1:8" x14ac:dyDescent="0.25">
      <c r="A729" s="148">
        <v>44749</v>
      </c>
      <c r="B729" s="149" t="s">
        <v>22019</v>
      </c>
      <c r="C729" s="153" t="s">
        <v>31</v>
      </c>
      <c r="D729" s="154">
        <v>3492.2</v>
      </c>
      <c r="E729" s="155">
        <v>44749</v>
      </c>
      <c r="F729" s="154">
        <v>3492.2</v>
      </c>
      <c r="G729" s="156">
        <f>Tabla18[[#This Row],[Importe]]-Tabla18[[#This Row],[Pagado]]</f>
        <v>0</v>
      </c>
      <c r="H729" s="153" t="s">
        <v>10</v>
      </c>
    </row>
    <row r="730" spans="1:8" x14ac:dyDescent="0.25">
      <c r="A730" s="73">
        <v>44749</v>
      </c>
      <c r="B730" s="74" t="s">
        <v>22020</v>
      </c>
      <c r="C730" s="75" t="s">
        <v>58</v>
      </c>
      <c r="D730" s="81">
        <v>1937.6</v>
      </c>
      <c r="E730" s="151">
        <v>44749</v>
      </c>
      <c r="F730" s="81">
        <v>1937.6</v>
      </c>
      <c r="G730" s="156">
        <f>Tabla18[[#This Row],[Importe]]-Tabla18[[#This Row],[Pagado]]</f>
        <v>0</v>
      </c>
      <c r="H730" s="75" t="s">
        <v>10</v>
      </c>
    </row>
    <row r="731" spans="1:8" x14ac:dyDescent="0.25">
      <c r="A731" s="148">
        <v>44749</v>
      </c>
      <c r="B731" s="149" t="s">
        <v>22021</v>
      </c>
      <c r="C731" s="153" t="s">
        <v>14</v>
      </c>
      <c r="D731" s="154">
        <v>25310</v>
      </c>
      <c r="E731" s="155">
        <v>44749</v>
      </c>
      <c r="F731" s="154">
        <v>25310</v>
      </c>
      <c r="G731" s="156">
        <f>Tabla18[[#This Row],[Importe]]-Tabla18[[#This Row],[Pagado]]</f>
        <v>0</v>
      </c>
      <c r="H731" s="153" t="s">
        <v>10</v>
      </c>
    </row>
    <row r="732" spans="1:8" x14ac:dyDescent="0.25">
      <c r="A732" s="73">
        <v>44749</v>
      </c>
      <c r="B732" s="74" t="s">
        <v>22022</v>
      </c>
      <c r="C732" s="75" t="s">
        <v>31</v>
      </c>
      <c r="D732" s="81">
        <v>206.8</v>
      </c>
      <c r="E732" s="151">
        <v>44749</v>
      </c>
      <c r="F732" s="81">
        <v>206.8</v>
      </c>
      <c r="G732" s="156">
        <f>Tabla18[[#This Row],[Importe]]-Tabla18[[#This Row],[Pagado]]</f>
        <v>0</v>
      </c>
      <c r="H732" s="75" t="s">
        <v>10</v>
      </c>
    </row>
    <row r="733" spans="1:8" x14ac:dyDescent="0.25">
      <c r="A733" s="148">
        <v>44749</v>
      </c>
      <c r="B733" s="149" t="s">
        <v>22023</v>
      </c>
      <c r="C733" s="153" t="s">
        <v>670</v>
      </c>
      <c r="D733" s="154">
        <v>5675.8</v>
      </c>
      <c r="E733" s="155">
        <v>44749</v>
      </c>
      <c r="F733" s="154">
        <v>5675.8</v>
      </c>
      <c r="G733" s="156">
        <f>Tabla18[[#This Row],[Importe]]-Tabla18[[#This Row],[Pagado]]</f>
        <v>0</v>
      </c>
      <c r="H733" s="153" t="s">
        <v>10</v>
      </c>
    </row>
    <row r="734" spans="1:8" x14ac:dyDescent="0.25">
      <c r="A734" s="73">
        <v>44749</v>
      </c>
      <c r="B734" s="74" t="s">
        <v>22024</v>
      </c>
      <c r="C734" s="75" t="s">
        <v>698</v>
      </c>
      <c r="D734" s="81">
        <v>5561</v>
      </c>
      <c r="E734" s="151">
        <v>44749</v>
      </c>
      <c r="F734" s="81">
        <v>5561</v>
      </c>
      <c r="G734" s="156">
        <f>Tabla18[[#This Row],[Importe]]-Tabla18[[#This Row],[Pagado]]</f>
        <v>0</v>
      </c>
      <c r="H734" s="75" t="s">
        <v>10</v>
      </c>
    </row>
    <row r="735" spans="1:8" x14ac:dyDescent="0.25">
      <c r="A735" s="148">
        <v>44749</v>
      </c>
      <c r="B735" s="149" t="s">
        <v>22025</v>
      </c>
      <c r="C735" s="153" t="s">
        <v>670</v>
      </c>
      <c r="D735" s="154">
        <v>729</v>
      </c>
      <c r="E735" s="155">
        <v>44749</v>
      </c>
      <c r="F735" s="154">
        <v>729</v>
      </c>
      <c r="G735" s="156">
        <f>Tabla18[[#This Row],[Importe]]-Tabla18[[#This Row],[Pagado]]</f>
        <v>0</v>
      </c>
      <c r="H735" s="153" t="s">
        <v>10</v>
      </c>
    </row>
    <row r="736" spans="1:8" x14ac:dyDescent="0.25">
      <c r="A736" s="73">
        <v>44749</v>
      </c>
      <c r="B736" s="74" t="s">
        <v>22026</v>
      </c>
      <c r="C736" s="75" t="s">
        <v>31</v>
      </c>
      <c r="D736" s="81">
        <v>597.6</v>
      </c>
      <c r="E736" s="151">
        <v>44749</v>
      </c>
      <c r="F736" s="81">
        <v>597.6</v>
      </c>
      <c r="G736" s="156">
        <f>Tabla18[[#This Row],[Importe]]-Tabla18[[#This Row],[Pagado]]</f>
        <v>0</v>
      </c>
      <c r="H736" s="75" t="s">
        <v>10</v>
      </c>
    </row>
    <row r="737" spans="1:8" x14ac:dyDescent="0.25">
      <c r="A737" s="148">
        <v>44749</v>
      </c>
      <c r="B737" s="149" t="s">
        <v>22027</v>
      </c>
      <c r="C737" s="153" t="s">
        <v>16</v>
      </c>
      <c r="D737" s="154">
        <v>1712</v>
      </c>
      <c r="E737" s="155">
        <v>44749</v>
      </c>
      <c r="F737" s="154">
        <v>1712</v>
      </c>
      <c r="G737" s="156">
        <f>Tabla18[[#This Row],[Importe]]-Tabla18[[#This Row],[Pagado]]</f>
        <v>0</v>
      </c>
      <c r="H737" s="153" t="s">
        <v>10</v>
      </c>
    </row>
    <row r="738" spans="1:8" x14ac:dyDescent="0.25">
      <c r="A738" s="73">
        <v>44749</v>
      </c>
      <c r="B738" s="74" t="s">
        <v>22028</v>
      </c>
      <c r="C738" s="75" t="s">
        <v>196</v>
      </c>
      <c r="D738" s="81">
        <v>69904.100000000006</v>
      </c>
      <c r="E738" s="151">
        <v>44750</v>
      </c>
      <c r="F738" s="81">
        <v>69904.100000000006</v>
      </c>
      <c r="G738" s="156">
        <f>Tabla18[[#This Row],[Importe]]-Tabla18[[#This Row],[Pagado]]</f>
        <v>0</v>
      </c>
      <c r="H738" s="75" t="s">
        <v>10</v>
      </c>
    </row>
    <row r="739" spans="1:8" x14ac:dyDescent="0.25">
      <c r="A739" s="148">
        <v>44749</v>
      </c>
      <c r="B739" s="149" t="s">
        <v>22029</v>
      </c>
      <c r="C739" s="153" t="s">
        <v>9827</v>
      </c>
      <c r="D739" s="154">
        <v>3340.8</v>
      </c>
      <c r="E739" s="155">
        <v>44749</v>
      </c>
      <c r="F739" s="154">
        <v>3340.8</v>
      </c>
      <c r="G739" s="156">
        <f>Tabla18[[#This Row],[Importe]]-Tabla18[[#This Row],[Pagado]]</f>
        <v>0</v>
      </c>
      <c r="H739" s="153" t="s">
        <v>10</v>
      </c>
    </row>
    <row r="740" spans="1:8" x14ac:dyDescent="0.25">
      <c r="A740" s="73">
        <v>44749</v>
      </c>
      <c r="B740" s="74" t="s">
        <v>22030</v>
      </c>
      <c r="C740" s="75" t="s">
        <v>69</v>
      </c>
      <c r="D740" s="81">
        <v>1324.8</v>
      </c>
      <c r="E740" s="151">
        <v>44749</v>
      </c>
      <c r="F740" s="81">
        <v>1324.8</v>
      </c>
      <c r="G740" s="156">
        <f>Tabla18[[#This Row],[Importe]]-Tabla18[[#This Row],[Pagado]]</f>
        <v>0</v>
      </c>
      <c r="H740" s="75" t="s">
        <v>10</v>
      </c>
    </row>
    <row r="741" spans="1:8" x14ac:dyDescent="0.25">
      <c r="A741" s="148">
        <v>44749</v>
      </c>
      <c r="B741" s="149" t="s">
        <v>22031</v>
      </c>
      <c r="C741" s="153" t="s">
        <v>484</v>
      </c>
      <c r="D741" s="154">
        <v>8587.7999999999993</v>
      </c>
      <c r="E741" s="155">
        <v>44749</v>
      </c>
      <c r="F741" s="154">
        <v>8587.7999999999993</v>
      </c>
      <c r="G741" s="156">
        <f>Tabla18[[#This Row],[Importe]]-Tabla18[[#This Row],[Pagado]]</f>
        <v>0</v>
      </c>
      <c r="H741" s="153" t="s">
        <v>10</v>
      </c>
    </row>
    <row r="742" spans="1:8" x14ac:dyDescent="0.25">
      <c r="A742" s="73">
        <v>44749</v>
      </c>
      <c r="B742" s="74" t="s">
        <v>22032</v>
      </c>
      <c r="C742" s="75" t="s">
        <v>151</v>
      </c>
      <c r="D742" s="81">
        <v>17357.439999999999</v>
      </c>
      <c r="E742" s="151">
        <v>44750</v>
      </c>
      <c r="F742" s="81">
        <v>17357.439999999999</v>
      </c>
      <c r="G742" s="156">
        <f>Tabla18[[#This Row],[Importe]]-Tabla18[[#This Row],[Pagado]]</f>
        <v>0</v>
      </c>
      <c r="H742" s="75" t="s">
        <v>10</v>
      </c>
    </row>
    <row r="743" spans="1:8" x14ac:dyDescent="0.25">
      <c r="A743" s="148">
        <v>44749</v>
      </c>
      <c r="B743" s="149" t="s">
        <v>22033</v>
      </c>
      <c r="C743" s="153" t="s">
        <v>729</v>
      </c>
      <c r="D743" s="154">
        <v>27240.6</v>
      </c>
      <c r="E743" s="155">
        <v>44750</v>
      </c>
      <c r="F743" s="154">
        <v>27240.6</v>
      </c>
      <c r="G743" s="156">
        <f>Tabla18[[#This Row],[Importe]]-Tabla18[[#This Row],[Pagado]]</f>
        <v>0</v>
      </c>
      <c r="H743" s="153" t="s">
        <v>10</v>
      </c>
    </row>
    <row r="744" spans="1:8" x14ac:dyDescent="0.25">
      <c r="A744" s="73">
        <v>44749</v>
      </c>
      <c r="B744" s="74" t="s">
        <v>22034</v>
      </c>
      <c r="C744" s="75" t="s">
        <v>31</v>
      </c>
      <c r="D744" s="81">
        <v>98.4</v>
      </c>
      <c r="E744" s="151">
        <v>44749</v>
      </c>
      <c r="F744" s="81">
        <v>98.4</v>
      </c>
      <c r="G744" s="156">
        <f>Tabla18[[#This Row],[Importe]]-Tabla18[[#This Row],[Pagado]]</f>
        <v>0</v>
      </c>
      <c r="H744" s="75" t="s">
        <v>10</v>
      </c>
    </row>
    <row r="745" spans="1:8" x14ac:dyDescent="0.25">
      <c r="A745" s="148">
        <v>44749</v>
      </c>
      <c r="B745" s="149" t="s">
        <v>22035</v>
      </c>
      <c r="C745" s="153" t="s">
        <v>284</v>
      </c>
      <c r="D745" s="154">
        <v>8582.4</v>
      </c>
      <c r="E745" s="155">
        <v>44750</v>
      </c>
      <c r="F745" s="154">
        <v>8582.4</v>
      </c>
      <c r="G745" s="156">
        <f>Tabla18[[#This Row],[Importe]]-Tabla18[[#This Row],[Pagado]]</f>
        <v>0</v>
      </c>
      <c r="H745" s="153" t="s">
        <v>10</v>
      </c>
    </row>
    <row r="746" spans="1:8" x14ac:dyDescent="0.25">
      <c r="A746" s="73">
        <v>44749</v>
      </c>
      <c r="B746" s="74" t="s">
        <v>22036</v>
      </c>
      <c r="C746" s="75" t="s">
        <v>5345</v>
      </c>
      <c r="D746" s="81">
        <v>2001.6</v>
      </c>
      <c r="E746" s="151">
        <v>44750</v>
      </c>
      <c r="F746" s="81">
        <v>2001.6</v>
      </c>
      <c r="G746" s="156">
        <f>Tabla18[[#This Row],[Importe]]-Tabla18[[#This Row],[Pagado]]</f>
        <v>0</v>
      </c>
      <c r="H746" s="75" t="s">
        <v>10</v>
      </c>
    </row>
    <row r="747" spans="1:8" x14ac:dyDescent="0.25">
      <c r="A747" s="148">
        <v>44749</v>
      </c>
      <c r="B747" s="149" t="s">
        <v>22037</v>
      </c>
      <c r="C747" s="153" t="s">
        <v>280</v>
      </c>
      <c r="D747" s="154">
        <v>1281.5999999999999</v>
      </c>
      <c r="E747" s="155">
        <v>44750</v>
      </c>
      <c r="F747" s="154">
        <v>1281.5999999999999</v>
      </c>
      <c r="G747" s="156">
        <f>Tabla18[[#This Row],[Importe]]-Tabla18[[#This Row],[Pagado]]</f>
        <v>0</v>
      </c>
      <c r="H747" s="153" t="s">
        <v>10</v>
      </c>
    </row>
    <row r="748" spans="1:8" x14ac:dyDescent="0.25">
      <c r="A748" s="73">
        <v>44749</v>
      </c>
      <c r="B748" s="74" t="s">
        <v>22038</v>
      </c>
      <c r="C748" s="75" t="s">
        <v>282</v>
      </c>
      <c r="D748" s="81">
        <v>3246</v>
      </c>
      <c r="E748" s="151">
        <v>44750</v>
      </c>
      <c r="F748" s="81">
        <v>3246</v>
      </c>
      <c r="G748" s="156">
        <f>Tabla18[[#This Row],[Importe]]-Tabla18[[#This Row],[Pagado]]</f>
        <v>0</v>
      </c>
      <c r="H748" s="75" t="s">
        <v>10</v>
      </c>
    </row>
    <row r="749" spans="1:8" x14ac:dyDescent="0.25">
      <c r="A749" s="148">
        <v>44749</v>
      </c>
      <c r="B749" s="149" t="s">
        <v>22039</v>
      </c>
      <c r="C749" s="153" t="s">
        <v>10819</v>
      </c>
      <c r="D749" s="154">
        <v>727.2</v>
      </c>
      <c r="E749" s="155">
        <v>44750</v>
      </c>
      <c r="F749" s="154">
        <v>727.2</v>
      </c>
      <c r="G749" s="156">
        <f>Tabla18[[#This Row],[Importe]]-Tabla18[[#This Row],[Pagado]]</f>
        <v>0</v>
      </c>
      <c r="H749" s="153" t="s">
        <v>10</v>
      </c>
    </row>
    <row r="750" spans="1:8" x14ac:dyDescent="0.25">
      <c r="A750" s="73">
        <v>44749</v>
      </c>
      <c r="B750" s="74" t="s">
        <v>22040</v>
      </c>
      <c r="C750" s="75" t="s">
        <v>359</v>
      </c>
      <c r="D750" s="81">
        <v>2963.4</v>
      </c>
      <c r="E750" s="151">
        <v>44750</v>
      </c>
      <c r="F750" s="81">
        <v>2963.4</v>
      </c>
      <c r="G750" s="156">
        <f>Tabla18[[#This Row],[Importe]]-Tabla18[[#This Row],[Pagado]]</f>
        <v>0</v>
      </c>
      <c r="H750" s="75" t="s">
        <v>10</v>
      </c>
    </row>
    <row r="751" spans="1:8" x14ac:dyDescent="0.25">
      <c r="A751" s="148">
        <v>44749</v>
      </c>
      <c r="B751" s="149" t="s">
        <v>22041</v>
      </c>
      <c r="C751" s="153" t="s">
        <v>159</v>
      </c>
      <c r="D751" s="154">
        <v>2296</v>
      </c>
      <c r="E751" s="155">
        <v>44750</v>
      </c>
      <c r="F751" s="154">
        <v>2296</v>
      </c>
      <c r="G751" s="156">
        <f>Tabla18[[#This Row],[Importe]]-Tabla18[[#This Row],[Pagado]]</f>
        <v>0</v>
      </c>
      <c r="H751" s="153" t="s">
        <v>10</v>
      </c>
    </row>
    <row r="752" spans="1:8" x14ac:dyDescent="0.25">
      <c r="A752" s="73">
        <v>44749</v>
      </c>
      <c r="B752" s="74" t="s">
        <v>22042</v>
      </c>
      <c r="C752" s="75" t="s">
        <v>157</v>
      </c>
      <c r="D752" s="81">
        <v>5965.4</v>
      </c>
      <c r="E752" s="151">
        <v>44750</v>
      </c>
      <c r="F752" s="81">
        <v>5965.4</v>
      </c>
      <c r="G752" s="156">
        <f>Tabla18[[#This Row],[Importe]]-Tabla18[[#This Row],[Pagado]]</f>
        <v>0</v>
      </c>
      <c r="H752" s="75" t="s">
        <v>10</v>
      </c>
    </row>
    <row r="753" spans="1:8" x14ac:dyDescent="0.25">
      <c r="A753" s="148">
        <v>44749</v>
      </c>
      <c r="B753" s="149" t="s">
        <v>22043</v>
      </c>
      <c r="C753" s="153" t="s">
        <v>520</v>
      </c>
      <c r="D753" s="154">
        <v>11356.8</v>
      </c>
      <c r="E753" s="155">
        <v>44750</v>
      </c>
      <c r="F753" s="154">
        <v>11356.8</v>
      </c>
      <c r="G753" s="156">
        <f>Tabla18[[#This Row],[Importe]]-Tabla18[[#This Row],[Pagado]]</f>
        <v>0</v>
      </c>
      <c r="H753" s="153" t="s">
        <v>10</v>
      </c>
    </row>
    <row r="754" spans="1:8" x14ac:dyDescent="0.25">
      <c r="A754" s="73">
        <v>44749</v>
      </c>
      <c r="B754" s="74" t="s">
        <v>22044</v>
      </c>
      <c r="C754" s="75" t="s">
        <v>319</v>
      </c>
      <c r="D754" s="81">
        <v>9718.2999999999993</v>
      </c>
      <c r="E754" s="151">
        <v>44750</v>
      </c>
      <c r="F754" s="81">
        <v>9718.2999999999993</v>
      </c>
      <c r="G754" s="156">
        <f>Tabla18[[#This Row],[Importe]]-Tabla18[[#This Row],[Pagado]]</f>
        <v>0</v>
      </c>
      <c r="H754" s="75" t="s">
        <v>10</v>
      </c>
    </row>
    <row r="755" spans="1:8" x14ac:dyDescent="0.25">
      <c r="A755" s="148">
        <v>44749</v>
      </c>
      <c r="B755" s="149" t="s">
        <v>22045</v>
      </c>
      <c r="C755" s="153" t="s">
        <v>19637</v>
      </c>
      <c r="D755" s="154">
        <v>5808.8</v>
      </c>
      <c r="E755" s="155">
        <v>44754</v>
      </c>
      <c r="F755" s="154">
        <v>5808.8</v>
      </c>
      <c r="G755" s="156">
        <f>Tabla18[[#This Row],[Importe]]-Tabla18[[#This Row],[Pagado]]</f>
        <v>0</v>
      </c>
      <c r="H755" s="153" t="s">
        <v>10</v>
      </c>
    </row>
    <row r="756" spans="1:8" x14ac:dyDescent="0.25">
      <c r="A756" s="73">
        <v>44749</v>
      </c>
      <c r="B756" s="74" t="s">
        <v>22046</v>
      </c>
      <c r="C756" s="75" t="s">
        <v>409</v>
      </c>
      <c r="D756" s="81">
        <v>5325.3</v>
      </c>
      <c r="E756" s="151">
        <v>44754</v>
      </c>
      <c r="F756" s="81">
        <v>5325.3</v>
      </c>
      <c r="G756" s="156">
        <f>Tabla18[[#This Row],[Importe]]-Tabla18[[#This Row],[Pagado]]</f>
        <v>0</v>
      </c>
      <c r="H756" s="75" t="s">
        <v>10</v>
      </c>
    </row>
    <row r="757" spans="1:8" x14ac:dyDescent="0.25">
      <c r="A757" s="148">
        <v>44749</v>
      </c>
      <c r="B757" s="149" t="s">
        <v>22047</v>
      </c>
      <c r="C757" s="153" t="s">
        <v>2139</v>
      </c>
      <c r="D757" s="154">
        <v>1878</v>
      </c>
      <c r="E757" s="155">
        <v>44749</v>
      </c>
      <c r="F757" s="154">
        <v>1878</v>
      </c>
      <c r="G757" s="156">
        <f>Tabla18[[#This Row],[Importe]]-Tabla18[[#This Row],[Pagado]]</f>
        <v>0</v>
      </c>
      <c r="H757" s="153" t="s">
        <v>10</v>
      </c>
    </row>
    <row r="758" spans="1:8" x14ac:dyDescent="0.25">
      <c r="A758" s="73">
        <v>44749</v>
      </c>
      <c r="B758" s="74" t="s">
        <v>22048</v>
      </c>
      <c r="C758" s="75" t="s">
        <v>407</v>
      </c>
      <c r="D758" s="81">
        <v>22820</v>
      </c>
      <c r="E758" s="151">
        <v>44750</v>
      </c>
      <c r="F758" s="81">
        <v>22820</v>
      </c>
      <c r="G758" s="156">
        <f>Tabla18[[#This Row],[Importe]]-Tabla18[[#This Row],[Pagado]]</f>
        <v>0</v>
      </c>
      <c r="H758" s="75" t="s">
        <v>10</v>
      </c>
    </row>
    <row r="759" spans="1:8" x14ac:dyDescent="0.25">
      <c r="A759" s="148">
        <v>44749</v>
      </c>
      <c r="B759" s="149" t="s">
        <v>22049</v>
      </c>
      <c r="C759" s="153" t="s">
        <v>421</v>
      </c>
      <c r="D759" s="154">
        <v>4223.1000000000004</v>
      </c>
      <c r="E759" s="155">
        <v>44749</v>
      </c>
      <c r="F759" s="154">
        <v>4223.1000000000004</v>
      </c>
      <c r="G759" s="156">
        <f>Tabla18[[#This Row],[Importe]]-Tabla18[[#This Row],[Pagado]]</f>
        <v>0</v>
      </c>
      <c r="H759" s="153" t="s">
        <v>10</v>
      </c>
    </row>
    <row r="760" spans="1:8" x14ac:dyDescent="0.25">
      <c r="A760" s="73">
        <v>44749</v>
      </c>
      <c r="B760" s="74" t="s">
        <v>22050</v>
      </c>
      <c r="C760" s="75" t="s">
        <v>400</v>
      </c>
      <c r="D760" s="81">
        <v>9319.4</v>
      </c>
      <c r="E760" s="151">
        <v>44754</v>
      </c>
      <c r="F760" s="81">
        <v>9319.4</v>
      </c>
      <c r="G760" s="156">
        <f>Tabla18[[#This Row],[Importe]]-Tabla18[[#This Row],[Pagado]]</f>
        <v>0</v>
      </c>
      <c r="H760" s="75" t="s">
        <v>10</v>
      </c>
    </row>
    <row r="761" spans="1:8" x14ac:dyDescent="0.25">
      <c r="A761" s="148">
        <v>44749</v>
      </c>
      <c r="B761" s="149" t="s">
        <v>22051</v>
      </c>
      <c r="C761" s="153" t="s">
        <v>10678</v>
      </c>
      <c r="D761" s="154">
        <v>4688.2</v>
      </c>
      <c r="E761" s="155">
        <v>44749</v>
      </c>
      <c r="F761" s="154">
        <v>4688.2</v>
      </c>
      <c r="G761" s="156">
        <f>Tabla18[[#This Row],[Importe]]-Tabla18[[#This Row],[Pagado]]</f>
        <v>0</v>
      </c>
      <c r="H761" s="153" t="s">
        <v>10</v>
      </c>
    </row>
    <row r="762" spans="1:8" x14ac:dyDescent="0.25">
      <c r="A762" s="73">
        <v>44749</v>
      </c>
      <c r="B762" s="74" t="s">
        <v>22052</v>
      </c>
      <c r="C762" s="75" t="s">
        <v>20710</v>
      </c>
      <c r="D762" s="81">
        <v>21104</v>
      </c>
      <c r="E762" s="151">
        <v>44749</v>
      </c>
      <c r="F762" s="81">
        <v>21104</v>
      </c>
      <c r="G762" s="156">
        <f>Tabla18[[#This Row],[Importe]]-Tabla18[[#This Row],[Pagado]]</f>
        <v>0</v>
      </c>
      <c r="H762" s="75" t="s">
        <v>10</v>
      </c>
    </row>
    <row r="763" spans="1:8" x14ac:dyDescent="0.25">
      <c r="A763" s="148">
        <v>44749</v>
      </c>
      <c r="B763" s="149" t="s">
        <v>22053</v>
      </c>
      <c r="C763" s="153" t="s">
        <v>454</v>
      </c>
      <c r="D763" s="154">
        <v>2866.6</v>
      </c>
      <c r="E763" s="155">
        <v>44749</v>
      </c>
      <c r="F763" s="154">
        <v>2866.6</v>
      </c>
      <c r="G763" s="156">
        <f>Tabla18[[#This Row],[Importe]]-Tabla18[[#This Row],[Pagado]]</f>
        <v>0</v>
      </c>
      <c r="H763" s="153" t="s">
        <v>10</v>
      </c>
    </row>
    <row r="764" spans="1:8" x14ac:dyDescent="0.25">
      <c r="A764" s="73">
        <v>44749</v>
      </c>
      <c r="B764" s="74" t="s">
        <v>22054</v>
      </c>
      <c r="C764" s="75" t="s">
        <v>7444</v>
      </c>
      <c r="D764" s="81">
        <v>15110.8</v>
      </c>
      <c r="E764" s="151">
        <v>44760</v>
      </c>
      <c r="F764" s="81">
        <v>15110.8</v>
      </c>
      <c r="G764" s="156">
        <f>Tabla18[[#This Row],[Importe]]-Tabla18[[#This Row],[Pagado]]</f>
        <v>0</v>
      </c>
      <c r="H764" s="75" t="s">
        <v>10</v>
      </c>
    </row>
    <row r="765" spans="1:8" x14ac:dyDescent="0.25">
      <c r="A765" s="148">
        <v>44749</v>
      </c>
      <c r="B765" s="149" t="s">
        <v>22055</v>
      </c>
      <c r="C765" s="153" t="s">
        <v>22</v>
      </c>
      <c r="D765" s="154">
        <v>1960</v>
      </c>
      <c r="E765" s="155">
        <v>44749</v>
      </c>
      <c r="F765" s="154">
        <v>1960</v>
      </c>
      <c r="G765" s="156">
        <f>Tabla18[[#This Row],[Importe]]-Tabla18[[#This Row],[Pagado]]</f>
        <v>0</v>
      </c>
      <c r="H765" s="153" t="s">
        <v>10</v>
      </c>
    </row>
    <row r="766" spans="1:8" x14ac:dyDescent="0.25">
      <c r="A766" s="73">
        <v>44749</v>
      </c>
      <c r="B766" s="74" t="s">
        <v>22056</v>
      </c>
      <c r="C766" s="75" t="s">
        <v>296</v>
      </c>
      <c r="D766" s="81">
        <v>2271.8000000000002</v>
      </c>
      <c r="E766" s="151">
        <v>44749</v>
      </c>
      <c r="F766" s="81">
        <v>2271.8000000000002</v>
      </c>
      <c r="G766" s="156">
        <f>Tabla18[[#This Row],[Importe]]-Tabla18[[#This Row],[Pagado]]</f>
        <v>0</v>
      </c>
      <c r="H766" s="75" t="s">
        <v>10</v>
      </c>
    </row>
    <row r="767" spans="1:8" x14ac:dyDescent="0.25">
      <c r="A767" s="148">
        <v>44749</v>
      </c>
      <c r="B767" s="149" t="s">
        <v>22057</v>
      </c>
      <c r="C767" s="153" t="s">
        <v>1174</v>
      </c>
      <c r="D767" s="154">
        <v>5652.4</v>
      </c>
      <c r="E767" s="155">
        <v>44749</v>
      </c>
      <c r="F767" s="154">
        <v>5652.4</v>
      </c>
      <c r="G767" s="156">
        <f>Tabla18[[#This Row],[Importe]]-Tabla18[[#This Row],[Pagado]]</f>
        <v>0</v>
      </c>
      <c r="H767" s="153" t="s">
        <v>10</v>
      </c>
    </row>
    <row r="768" spans="1:8" x14ac:dyDescent="0.25">
      <c r="A768" s="73">
        <v>44749</v>
      </c>
      <c r="B768" s="74" t="s">
        <v>22058</v>
      </c>
      <c r="C768" s="75" t="s">
        <v>31</v>
      </c>
      <c r="D768" s="81">
        <v>1363.2</v>
      </c>
      <c r="E768" s="151">
        <v>44749</v>
      </c>
      <c r="F768" s="81">
        <v>1363.2</v>
      </c>
      <c r="G768" s="156">
        <f>Tabla18[[#This Row],[Importe]]-Tabla18[[#This Row],[Pagado]]</f>
        <v>0</v>
      </c>
      <c r="H768" s="75" t="s">
        <v>10</v>
      </c>
    </row>
    <row r="769" spans="1:8" x14ac:dyDescent="0.25">
      <c r="A769" s="148">
        <v>44749</v>
      </c>
      <c r="B769" s="149" t="s">
        <v>22059</v>
      </c>
      <c r="C769" s="153" t="s">
        <v>179</v>
      </c>
      <c r="D769" s="154">
        <v>1267.2</v>
      </c>
      <c r="E769" s="155">
        <v>44750</v>
      </c>
      <c r="F769" s="154">
        <v>1267.2</v>
      </c>
      <c r="G769" s="156">
        <f>Tabla18[[#This Row],[Importe]]-Tabla18[[#This Row],[Pagado]]</f>
        <v>0</v>
      </c>
      <c r="H769" s="153" t="s">
        <v>10</v>
      </c>
    </row>
    <row r="770" spans="1:8" x14ac:dyDescent="0.25">
      <c r="A770" s="73">
        <v>44750</v>
      </c>
      <c r="B770" s="74" t="s">
        <v>22060</v>
      </c>
      <c r="C770" s="75" t="s">
        <v>75</v>
      </c>
      <c r="D770" s="81">
        <v>7200</v>
      </c>
      <c r="E770" s="151">
        <v>44750</v>
      </c>
      <c r="F770" s="81">
        <v>7200</v>
      </c>
      <c r="G770" s="156">
        <f>Tabla18[[#This Row],[Importe]]-Tabla18[[#This Row],[Pagado]]</f>
        <v>0</v>
      </c>
      <c r="H770" s="75" t="s">
        <v>10</v>
      </c>
    </row>
    <row r="771" spans="1:8" x14ac:dyDescent="0.25">
      <c r="A771" s="148">
        <v>44750</v>
      </c>
      <c r="B771" s="149" t="s">
        <v>22061</v>
      </c>
      <c r="C771" s="153" t="s">
        <v>85</v>
      </c>
      <c r="D771" s="154">
        <v>2115.6999999999998</v>
      </c>
      <c r="E771" s="155">
        <v>44750</v>
      </c>
      <c r="F771" s="154">
        <v>2115.6999999999998</v>
      </c>
      <c r="G771" s="156">
        <f>Tabla18[[#This Row],[Importe]]-Tabla18[[#This Row],[Pagado]]</f>
        <v>0</v>
      </c>
      <c r="H771" s="153" t="s">
        <v>10</v>
      </c>
    </row>
    <row r="772" spans="1:8" x14ac:dyDescent="0.25">
      <c r="A772" s="73">
        <v>44750</v>
      </c>
      <c r="B772" s="74" t="s">
        <v>22062</v>
      </c>
      <c r="C772" s="75" t="s">
        <v>475</v>
      </c>
      <c r="D772" s="81">
        <v>90284.800000000003</v>
      </c>
      <c r="E772" s="151">
        <v>44751</v>
      </c>
      <c r="F772" s="81">
        <v>90284.800000000003</v>
      </c>
      <c r="G772" s="156">
        <f>Tabla18[[#This Row],[Importe]]-Tabla18[[#This Row],[Pagado]]</f>
        <v>0</v>
      </c>
      <c r="H772" s="75" t="s">
        <v>10</v>
      </c>
    </row>
    <row r="773" spans="1:8" x14ac:dyDescent="0.25">
      <c r="A773" s="148">
        <v>44750</v>
      </c>
      <c r="B773" s="149" t="s">
        <v>22063</v>
      </c>
      <c r="C773" s="153" t="s">
        <v>481</v>
      </c>
      <c r="D773" s="154">
        <v>471.6</v>
      </c>
      <c r="E773" s="155">
        <v>44750</v>
      </c>
      <c r="F773" s="154">
        <v>471.6</v>
      </c>
      <c r="G773" s="156">
        <f>Tabla18[[#This Row],[Importe]]-Tabla18[[#This Row],[Pagado]]</f>
        <v>0</v>
      </c>
      <c r="H773" s="153" t="s">
        <v>10</v>
      </c>
    </row>
    <row r="774" spans="1:8" x14ac:dyDescent="0.25">
      <c r="A774" s="73">
        <v>44750</v>
      </c>
      <c r="B774" s="74" t="s">
        <v>22064</v>
      </c>
      <c r="C774" s="75" t="s">
        <v>97</v>
      </c>
      <c r="D774" s="81">
        <v>10624</v>
      </c>
      <c r="E774" s="151">
        <v>44751</v>
      </c>
      <c r="F774" s="81">
        <v>10624</v>
      </c>
      <c r="G774" s="156">
        <f>Tabla18[[#This Row],[Importe]]-Tabla18[[#This Row],[Pagado]]</f>
        <v>0</v>
      </c>
      <c r="H774" s="75" t="s">
        <v>10</v>
      </c>
    </row>
    <row r="775" spans="1:8" x14ac:dyDescent="0.25">
      <c r="A775" s="148">
        <v>44750</v>
      </c>
      <c r="B775" s="149" t="s">
        <v>22065</v>
      </c>
      <c r="C775" s="153" t="s">
        <v>2151</v>
      </c>
      <c r="D775" s="154">
        <v>26862.7</v>
      </c>
      <c r="E775" s="155">
        <v>44750</v>
      </c>
      <c r="F775" s="154">
        <v>26862.7</v>
      </c>
      <c r="G775" s="156">
        <f>Tabla18[[#This Row],[Importe]]-Tabla18[[#This Row],[Pagado]]</f>
        <v>0</v>
      </c>
      <c r="H775" s="153" t="s">
        <v>10</v>
      </c>
    </row>
    <row r="776" spans="1:8" x14ac:dyDescent="0.25">
      <c r="A776" s="73">
        <v>44750</v>
      </c>
      <c r="B776" s="74" t="s">
        <v>22066</v>
      </c>
      <c r="C776" s="75" t="s">
        <v>111</v>
      </c>
      <c r="D776" s="81">
        <v>6162.8</v>
      </c>
      <c r="E776" s="151">
        <v>44751</v>
      </c>
      <c r="F776" s="81">
        <v>6162.8</v>
      </c>
      <c r="G776" s="156">
        <f>Tabla18[[#This Row],[Importe]]-Tabla18[[#This Row],[Pagado]]</f>
        <v>0</v>
      </c>
      <c r="H776" s="75" t="s">
        <v>10</v>
      </c>
    </row>
    <row r="777" spans="1:8" ht="31.5" x14ac:dyDescent="0.25">
      <c r="A777" s="148">
        <v>44750</v>
      </c>
      <c r="B777" s="149" t="s">
        <v>22067</v>
      </c>
      <c r="C777" s="153" t="s">
        <v>93</v>
      </c>
      <c r="D777" s="154">
        <v>8406.4</v>
      </c>
      <c r="E777" s="150" t="s">
        <v>22068</v>
      </c>
      <c r="F777" s="154">
        <f>4000+4406.4</f>
        <v>8406.4</v>
      </c>
      <c r="G777" s="156">
        <f>Tabla18[[#This Row],[Importe]]-Tabla18[[#This Row],[Pagado]]</f>
        <v>0</v>
      </c>
      <c r="H777" s="153" t="s">
        <v>10</v>
      </c>
    </row>
    <row r="778" spans="1:8" x14ac:dyDescent="0.25">
      <c r="A778" s="73">
        <v>44750</v>
      </c>
      <c r="B778" s="74" t="s">
        <v>22069</v>
      </c>
      <c r="C778" s="75" t="s">
        <v>5043</v>
      </c>
      <c r="D778" s="81">
        <v>6515.2</v>
      </c>
      <c r="E778" s="151">
        <v>44753</v>
      </c>
      <c r="F778" s="81">
        <v>6515.2</v>
      </c>
      <c r="G778" s="156">
        <f>Tabla18[[#This Row],[Importe]]-Tabla18[[#This Row],[Pagado]]</f>
        <v>0</v>
      </c>
      <c r="H778" s="75" t="s">
        <v>10</v>
      </c>
    </row>
    <row r="779" spans="1:8" x14ac:dyDescent="0.25">
      <c r="A779" s="148">
        <v>44750</v>
      </c>
      <c r="B779" s="149" t="s">
        <v>22070</v>
      </c>
      <c r="C779" s="153" t="s">
        <v>105</v>
      </c>
      <c r="D779" s="154">
        <v>12592.2</v>
      </c>
      <c r="E779" s="155">
        <v>44751</v>
      </c>
      <c r="F779" s="154">
        <v>12592.2</v>
      </c>
      <c r="G779" s="156">
        <f>Tabla18[[#This Row],[Importe]]-Tabla18[[#This Row],[Pagado]]</f>
        <v>0</v>
      </c>
      <c r="H779" s="153" t="s">
        <v>10</v>
      </c>
    </row>
    <row r="780" spans="1:8" x14ac:dyDescent="0.25">
      <c r="A780" s="73">
        <v>44750</v>
      </c>
      <c r="B780" s="74" t="s">
        <v>22071</v>
      </c>
      <c r="C780" s="75" t="s">
        <v>109</v>
      </c>
      <c r="D780" s="81">
        <v>5344.4</v>
      </c>
      <c r="E780" s="151">
        <v>44751</v>
      </c>
      <c r="F780" s="81">
        <v>5344.4</v>
      </c>
      <c r="G780" s="156">
        <f>Tabla18[[#This Row],[Importe]]-Tabla18[[#This Row],[Pagado]]</f>
        <v>0</v>
      </c>
      <c r="H780" s="75" t="s">
        <v>10</v>
      </c>
    </row>
    <row r="781" spans="1:8" x14ac:dyDescent="0.25">
      <c r="A781" s="148">
        <v>44750</v>
      </c>
      <c r="B781" s="149" t="s">
        <v>22072</v>
      </c>
      <c r="C781" s="153" t="s">
        <v>120</v>
      </c>
      <c r="D781" s="154">
        <v>606.79999999999995</v>
      </c>
      <c r="E781" s="155">
        <v>44750</v>
      </c>
      <c r="F781" s="154">
        <v>606.79999999999995</v>
      </c>
      <c r="G781" s="156">
        <f>Tabla18[[#This Row],[Importe]]-Tabla18[[#This Row],[Pagado]]</f>
        <v>0</v>
      </c>
      <c r="H781" s="153" t="s">
        <v>10</v>
      </c>
    </row>
    <row r="782" spans="1:8" x14ac:dyDescent="0.25">
      <c r="A782" s="73">
        <v>44750</v>
      </c>
      <c r="B782" s="74" t="s">
        <v>22073</v>
      </c>
      <c r="C782" s="75" t="s">
        <v>99</v>
      </c>
      <c r="D782" s="81">
        <v>8415.7999999999993</v>
      </c>
      <c r="E782" s="151">
        <v>44753</v>
      </c>
      <c r="F782" s="81">
        <v>8415.7999999999993</v>
      </c>
      <c r="G782" s="156">
        <f>Tabla18[[#This Row],[Importe]]-Tabla18[[#This Row],[Pagado]]</f>
        <v>0</v>
      </c>
      <c r="H782" s="75" t="s">
        <v>10</v>
      </c>
    </row>
    <row r="783" spans="1:8" x14ac:dyDescent="0.25">
      <c r="A783" s="148">
        <v>44750</v>
      </c>
      <c r="B783" s="149" t="s">
        <v>22074</v>
      </c>
      <c r="C783" s="153" t="s">
        <v>348</v>
      </c>
      <c r="D783" s="154">
        <v>2576.4</v>
      </c>
      <c r="E783" s="155">
        <v>44750</v>
      </c>
      <c r="F783" s="154">
        <v>2576.4</v>
      </c>
      <c r="G783" s="156">
        <f>Tabla18[[#This Row],[Importe]]-Tabla18[[#This Row],[Pagado]]</f>
        <v>0</v>
      </c>
      <c r="H783" s="153" t="s">
        <v>10</v>
      </c>
    </row>
    <row r="784" spans="1:8" x14ac:dyDescent="0.25">
      <c r="A784" s="73">
        <v>44750</v>
      </c>
      <c r="B784" s="74" t="s">
        <v>22075</v>
      </c>
      <c r="C784" s="75" t="s">
        <v>89</v>
      </c>
      <c r="D784" s="81">
        <v>15076.7</v>
      </c>
      <c r="E784" s="151">
        <v>44751</v>
      </c>
      <c r="F784" s="81">
        <v>15076.7</v>
      </c>
      <c r="G784" s="156">
        <f>Tabla18[[#This Row],[Importe]]-Tabla18[[#This Row],[Pagado]]</f>
        <v>0</v>
      </c>
      <c r="H784" s="75" t="s">
        <v>10</v>
      </c>
    </row>
    <row r="785" spans="1:8" ht="31.5" x14ac:dyDescent="0.25">
      <c r="A785" s="148">
        <v>44750</v>
      </c>
      <c r="B785" s="149" t="s">
        <v>22076</v>
      </c>
      <c r="C785" s="153" t="s">
        <v>22</v>
      </c>
      <c r="D785" s="154">
        <v>83687.600000000006</v>
      </c>
      <c r="E785" s="150" t="s">
        <v>22077</v>
      </c>
      <c r="F785" s="154">
        <f>56000+27687.6</f>
        <v>83687.600000000006</v>
      </c>
      <c r="G785" s="156">
        <f>Tabla18[[#This Row],[Importe]]-Tabla18[[#This Row],[Pagado]]</f>
        <v>0</v>
      </c>
      <c r="H785" s="153" t="s">
        <v>10</v>
      </c>
    </row>
    <row r="786" spans="1:8" x14ac:dyDescent="0.25">
      <c r="A786" s="73">
        <v>44750</v>
      </c>
      <c r="B786" s="74" t="s">
        <v>22078</v>
      </c>
      <c r="C786" s="75" t="s">
        <v>664</v>
      </c>
      <c r="D786" s="81">
        <v>15532</v>
      </c>
      <c r="E786" s="151">
        <v>44750</v>
      </c>
      <c r="F786" s="81">
        <v>15532</v>
      </c>
      <c r="G786" s="156">
        <f>Tabla18[[#This Row],[Importe]]-Tabla18[[#This Row],[Pagado]]</f>
        <v>0</v>
      </c>
      <c r="H786" s="75" t="s">
        <v>10</v>
      </c>
    </row>
    <row r="787" spans="1:8" x14ac:dyDescent="0.25">
      <c r="A787" s="148">
        <v>44750</v>
      </c>
      <c r="B787" s="149" t="s">
        <v>22079</v>
      </c>
      <c r="C787" s="153" t="s">
        <v>64</v>
      </c>
      <c r="D787" s="154">
        <v>11856.8</v>
      </c>
      <c r="E787" s="155">
        <v>44751</v>
      </c>
      <c r="F787" s="154">
        <v>11856.8</v>
      </c>
      <c r="G787" s="156">
        <f>Tabla18[[#This Row],[Importe]]-Tabla18[[#This Row],[Pagado]]</f>
        <v>0</v>
      </c>
      <c r="H787" s="153" t="s">
        <v>10</v>
      </c>
    </row>
    <row r="788" spans="1:8" x14ac:dyDescent="0.25">
      <c r="A788" s="73">
        <v>44750</v>
      </c>
      <c r="B788" s="74" t="s">
        <v>22080</v>
      </c>
      <c r="C788" s="75" t="s">
        <v>114</v>
      </c>
      <c r="D788" s="81">
        <v>11694.2</v>
      </c>
      <c r="E788" s="151">
        <v>44751</v>
      </c>
      <c r="F788" s="81">
        <v>11694.2</v>
      </c>
      <c r="G788" s="156">
        <f>Tabla18[[#This Row],[Importe]]-Tabla18[[#This Row],[Pagado]]</f>
        <v>0</v>
      </c>
      <c r="H788" s="75" t="s">
        <v>10</v>
      </c>
    </row>
    <row r="789" spans="1:8" ht="31.5" x14ac:dyDescent="0.25">
      <c r="A789" s="148">
        <v>44750</v>
      </c>
      <c r="B789" s="149" t="s">
        <v>22081</v>
      </c>
      <c r="C789" s="153" t="s">
        <v>116</v>
      </c>
      <c r="D789" s="154">
        <v>5095.8</v>
      </c>
      <c r="E789" s="150" t="s">
        <v>22068</v>
      </c>
      <c r="F789" s="154">
        <f>2000+3095.8</f>
        <v>5095.8</v>
      </c>
      <c r="G789" s="156">
        <f>Tabla18[[#This Row],[Importe]]-Tabla18[[#This Row],[Pagado]]</f>
        <v>0</v>
      </c>
      <c r="H789" s="153" t="s">
        <v>10</v>
      </c>
    </row>
    <row r="790" spans="1:8" x14ac:dyDescent="0.25">
      <c r="A790" s="73">
        <v>44750</v>
      </c>
      <c r="B790" s="74" t="s">
        <v>22082</v>
      </c>
      <c r="C790" s="75" t="s">
        <v>326</v>
      </c>
      <c r="D790" s="81">
        <v>8883.2999999999993</v>
      </c>
      <c r="E790" s="151">
        <v>44751</v>
      </c>
      <c r="F790" s="81">
        <v>8883.2999999999993</v>
      </c>
      <c r="G790" s="156">
        <f>Tabla18[[#This Row],[Importe]]-Tabla18[[#This Row],[Pagado]]</f>
        <v>0</v>
      </c>
      <c r="H790" s="75" t="s">
        <v>10</v>
      </c>
    </row>
    <row r="791" spans="1:8" x14ac:dyDescent="0.25">
      <c r="A791" s="148">
        <v>44750</v>
      </c>
      <c r="B791" s="149" t="s">
        <v>22083</v>
      </c>
      <c r="C791" s="153" t="s">
        <v>333</v>
      </c>
      <c r="D791" s="154">
        <v>1476.8</v>
      </c>
      <c r="E791" s="155">
        <v>44750</v>
      </c>
      <c r="F791" s="154">
        <v>1476.8</v>
      </c>
      <c r="G791" s="156">
        <f>Tabla18[[#This Row],[Importe]]-Tabla18[[#This Row],[Pagado]]</f>
        <v>0</v>
      </c>
      <c r="H791" s="153" t="s">
        <v>10</v>
      </c>
    </row>
    <row r="792" spans="1:8" x14ac:dyDescent="0.25">
      <c r="A792" s="73">
        <v>44750</v>
      </c>
      <c r="B792" s="74" t="s">
        <v>22084</v>
      </c>
      <c r="C792" s="75" t="s">
        <v>146</v>
      </c>
      <c r="D792" s="81">
        <v>3862.8</v>
      </c>
      <c r="E792" s="151">
        <v>44750</v>
      </c>
      <c r="F792" s="81">
        <v>3862.8</v>
      </c>
      <c r="G792" s="156">
        <f>Tabla18[[#This Row],[Importe]]-Tabla18[[#This Row],[Pagado]]</f>
        <v>0</v>
      </c>
      <c r="H792" s="75" t="s">
        <v>10</v>
      </c>
    </row>
    <row r="793" spans="1:8" x14ac:dyDescent="0.25">
      <c r="A793" s="148">
        <v>44750</v>
      </c>
      <c r="B793" s="149" t="s">
        <v>22085</v>
      </c>
      <c r="C793" s="153" t="s">
        <v>9</v>
      </c>
      <c r="D793" s="154">
        <v>10201.9</v>
      </c>
      <c r="E793" s="155">
        <v>44750</v>
      </c>
      <c r="F793" s="154">
        <v>10201.9</v>
      </c>
      <c r="G793" s="156">
        <f>Tabla18[[#This Row],[Importe]]-Tabla18[[#This Row],[Pagado]]</f>
        <v>0</v>
      </c>
      <c r="H793" s="153" t="s">
        <v>10</v>
      </c>
    </row>
    <row r="794" spans="1:8" x14ac:dyDescent="0.25">
      <c r="A794" s="73">
        <v>44750</v>
      </c>
      <c r="B794" s="74" t="s">
        <v>22086</v>
      </c>
      <c r="C794" s="75" t="s">
        <v>140</v>
      </c>
      <c r="D794" s="81">
        <v>1170</v>
      </c>
      <c r="E794" s="151">
        <v>44750</v>
      </c>
      <c r="F794" s="81">
        <v>1170</v>
      </c>
      <c r="G794" s="156">
        <f>Tabla18[[#This Row],[Importe]]-Tabla18[[#This Row],[Pagado]]</f>
        <v>0</v>
      </c>
      <c r="H794" s="75" t="s">
        <v>10</v>
      </c>
    </row>
    <row r="795" spans="1:8" x14ac:dyDescent="0.25">
      <c r="A795" s="148">
        <v>44750</v>
      </c>
      <c r="B795" s="149" t="s">
        <v>22087</v>
      </c>
      <c r="C795" s="153" t="s">
        <v>357</v>
      </c>
      <c r="D795" s="154">
        <v>577.5</v>
      </c>
      <c r="E795" s="155">
        <v>44750</v>
      </c>
      <c r="F795" s="154">
        <v>577.5</v>
      </c>
      <c r="G795" s="156">
        <f>Tabla18[[#This Row],[Importe]]-Tabla18[[#This Row],[Pagado]]</f>
        <v>0</v>
      </c>
      <c r="H795" s="153" t="s">
        <v>10</v>
      </c>
    </row>
    <row r="796" spans="1:8" x14ac:dyDescent="0.25">
      <c r="A796" s="73">
        <v>44750</v>
      </c>
      <c r="B796" s="74" t="s">
        <v>22088</v>
      </c>
      <c r="C796" s="75" t="s">
        <v>129</v>
      </c>
      <c r="D796" s="81">
        <v>1665</v>
      </c>
      <c r="E796" s="151">
        <v>44750</v>
      </c>
      <c r="F796" s="81">
        <v>1665</v>
      </c>
      <c r="G796" s="156">
        <f>Tabla18[[#This Row],[Importe]]-Tabla18[[#This Row],[Pagado]]</f>
        <v>0</v>
      </c>
      <c r="H796" s="75" t="s">
        <v>10</v>
      </c>
    </row>
    <row r="797" spans="1:8" x14ac:dyDescent="0.25">
      <c r="A797" s="148">
        <v>44750</v>
      </c>
      <c r="B797" s="149" t="s">
        <v>22089</v>
      </c>
      <c r="C797" s="153" t="s">
        <v>127</v>
      </c>
      <c r="D797" s="154">
        <v>1442.6</v>
      </c>
      <c r="E797" s="155">
        <v>44750</v>
      </c>
      <c r="F797" s="154">
        <v>1442.6</v>
      </c>
      <c r="G797" s="156">
        <f>Tabla18[[#This Row],[Importe]]-Tabla18[[#This Row],[Pagado]]</f>
        <v>0</v>
      </c>
      <c r="H797" s="153" t="s">
        <v>10</v>
      </c>
    </row>
    <row r="798" spans="1:8" x14ac:dyDescent="0.25">
      <c r="A798" s="73">
        <v>44750</v>
      </c>
      <c r="B798" s="74" t="s">
        <v>22090</v>
      </c>
      <c r="C798" s="75" t="s">
        <v>339</v>
      </c>
      <c r="D798" s="81">
        <v>570</v>
      </c>
      <c r="E798" s="151">
        <v>44750</v>
      </c>
      <c r="F798" s="81">
        <v>570</v>
      </c>
      <c r="G798" s="156">
        <f>Tabla18[[#This Row],[Importe]]-Tabla18[[#This Row],[Pagado]]</f>
        <v>0</v>
      </c>
      <c r="H798" s="75" t="s">
        <v>10</v>
      </c>
    </row>
    <row r="799" spans="1:8" x14ac:dyDescent="0.25">
      <c r="A799" s="148">
        <v>44750</v>
      </c>
      <c r="B799" s="149" t="s">
        <v>22091</v>
      </c>
      <c r="C799" s="153" t="s">
        <v>1187</v>
      </c>
      <c r="D799" s="154">
        <v>2423.6999999999998</v>
      </c>
      <c r="E799" s="155">
        <v>44750</v>
      </c>
      <c r="F799" s="154">
        <v>2423.6999999999998</v>
      </c>
      <c r="G799" s="156">
        <f>Tabla18[[#This Row],[Importe]]-Tabla18[[#This Row],[Pagado]]</f>
        <v>0</v>
      </c>
      <c r="H799" s="153" t="s">
        <v>10</v>
      </c>
    </row>
    <row r="800" spans="1:8" x14ac:dyDescent="0.25">
      <c r="A800" s="73">
        <v>44750</v>
      </c>
      <c r="B800" s="74" t="s">
        <v>22092</v>
      </c>
      <c r="C800" s="75" t="s">
        <v>314</v>
      </c>
      <c r="D800" s="81">
        <v>3810.6</v>
      </c>
      <c r="E800" s="151">
        <v>44750</v>
      </c>
      <c r="F800" s="81">
        <v>3810.6</v>
      </c>
      <c r="G800" s="156">
        <f>Tabla18[[#This Row],[Importe]]-Tabla18[[#This Row],[Pagado]]</f>
        <v>0</v>
      </c>
      <c r="H800" s="75" t="s">
        <v>10</v>
      </c>
    </row>
    <row r="801" spans="1:8" x14ac:dyDescent="0.25">
      <c r="A801" s="148">
        <v>44750</v>
      </c>
      <c r="B801" s="149" t="s">
        <v>22093</v>
      </c>
      <c r="C801" s="153" t="s">
        <v>87</v>
      </c>
      <c r="D801" s="154">
        <v>3376.1</v>
      </c>
      <c r="E801" s="155">
        <v>44750</v>
      </c>
      <c r="F801" s="154">
        <v>3376.1</v>
      </c>
      <c r="G801" s="156">
        <f>Tabla18[[#This Row],[Importe]]-Tabla18[[#This Row],[Pagado]]</f>
        <v>0</v>
      </c>
      <c r="H801" s="153" t="s">
        <v>10</v>
      </c>
    </row>
    <row r="802" spans="1:8" x14ac:dyDescent="0.25">
      <c r="A802" s="73">
        <v>44750</v>
      </c>
      <c r="B802" s="74" t="s">
        <v>22094</v>
      </c>
      <c r="C802" s="75" t="s">
        <v>212</v>
      </c>
      <c r="D802" s="81">
        <v>69780.600000000006</v>
      </c>
      <c r="E802" s="151">
        <v>44754</v>
      </c>
      <c r="F802" s="81">
        <v>69780.600000000006</v>
      </c>
      <c r="G802" s="156">
        <f>Tabla18[[#This Row],[Importe]]-Tabla18[[#This Row],[Pagado]]</f>
        <v>0</v>
      </c>
      <c r="H802" s="75" t="s">
        <v>10</v>
      </c>
    </row>
    <row r="803" spans="1:8" x14ac:dyDescent="0.25">
      <c r="A803" s="148">
        <v>44750</v>
      </c>
      <c r="B803" s="149" t="s">
        <v>22095</v>
      </c>
      <c r="C803" s="153" t="s">
        <v>22096</v>
      </c>
      <c r="D803" s="154">
        <v>0</v>
      </c>
      <c r="E803" s="158" t="s">
        <v>189</v>
      </c>
      <c r="F803" s="154">
        <v>0</v>
      </c>
      <c r="G803" s="156">
        <f>Tabla18[[#This Row],[Importe]]-Tabla18[[#This Row],[Pagado]]</f>
        <v>0</v>
      </c>
      <c r="H803" s="153" t="s">
        <v>189</v>
      </c>
    </row>
    <row r="804" spans="1:8" x14ac:dyDescent="0.25">
      <c r="A804" s="73">
        <v>44750</v>
      </c>
      <c r="B804" s="74" t="s">
        <v>22097</v>
      </c>
      <c r="C804" s="75" t="s">
        <v>142</v>
      </c>
      <c r="D804" s="81">
        <v>68357.89</v>
      </c>
      <c r="E804" s="151">
        <v>44799</v>
      </c>
      <c r="F804" s="81">
        <v>68357.89</v>
      </c>
      <c r="G804" s="156">
        <f>Tabla18[[#This Row],[Importe]]-Tabla18[[#This Row],[Pagado]]</f>
        <v>0</v>
      </c>
      <c r="H804" s="75" t="s">
        <v>10</v>
      </c>
    </row>
    <row r="805" spans="1:8" x14ac:dyDescent="0.25">
      <c r="A805" s="148">
        <v>44750</v>
      </c>
      <c r="B805" s="149" t="s">
        <v>22098</v>
      </c>
      <c r="C805" s="153" t="s">
        <v>218</v>
      </c>
      <c r="D805" s="154">
        <v>23990.799999999999</v>
      </c>
      <c r="E805" s="155">
        <v>44756</v>
      </c>
      <c r="F805" s="154">
        <v>23990.799999999999</v>
      </c>
      <c r="G805" s="156">
        <f>Tabla18[[#This Row],[Importe]]-Tabla18[[#This Row],[Pagado]]</f>
        <v>0</v>
      </c>
      <c r="H805" s="153" t="s">
        <v>10</v>
      </c>
    </row>
    <row r="806" spans="1:8" x14ac:dyDescent="0.25">
      <c r="A806" s="73">
        <v>44750</v>
      </c>
      <c r="B806" s="74" t="s">
        <v>22099</v>
      </c>
      <c r="C806" s="75" t="s">
        <v>31</v>
      </c>
      <c r="D806" s="81">
        <v>3201.6</v>
      </c>
      <c r="E806" s="151">
        <v>44750</v>
      </c>
      <c r="F806" s="81">
        <v>3201.6</v>
      </c>
      <c r="G806" s="156">
        <f>Tabla18[[#This Row],[Importe]]-Tabla18[[#This Row],[Pagado]]</f>
        <v>0</v>
      </c>
      <c r="H806" s="75" t="s">
        <v>10</v>
      </c>
    </row>
    <row r="807" spans="1:8" x14ac:dyDescent="0.25">
      <c r="A807" s="148">
        <v>44750</v>
      </c>
      <c r="B807" s="149" t="s">
        <v>22100</v>
      </c>
      <c r="C807" s="153" t="s">
        <v>31</v>
      </c>
      <c r="D807" s="154">
        <v>1890</v>
      </c>
      <c r="E807" s="155">
        <v>44750</v>
      </c>
      <c r="F807" s="154">
        <v>1890</v>
      </c>
      <c r="G807" s="156">
        <f>Tabla18[[#This Row],[Importe]]-Tabla18[[#This Row],[Pagado]]</f>
        <v>0</v>
      </c>
      <c r="H807" s="153" t="s">
        <v>10</v>
      </c>
    </row>
    <row r="808" spans="1:8" x14ac:dyDescent="0.25">
      <c r="A808" s="73">
        <v>44750</v>
      </c>
      <c r="B808" s="74" t="s">
        <v>22101</v>
      </c>
      <c r="C808" s="75" t="s">
        <v>154</v>
      </c>
      <c r="D808" s="81">
        <v>61769.599999999999</v>
      </c>
      <c r="E808" s="151">
        <v>44755</v>
      </c>
      <c r="F808" s="81">
        <v>61769.599999999999</v>
      </c>
      <c r="G808" s="156">
        <f>Tabla18[[#This Row],[Importe]]-Tabla18[[#This Row],[Pagado]]</f>
        <v>0</v>
      </c>
      <c r="H808" s="75" t="s">
        <v>10</v>
      </c>
    </row>
    <row r="809" spans="1:8" x14ac:dyDescent="0.25">
      <c r="A809" s="148">
        <v>44750</v>
      </c>
      <c r="B809" s="149" t="s">
        <v>22102</v>
      </c>
      <c r="C809" s="153" t="s">
        <v>206</v>
      </c>
      <c r="D809" s="154">
        <v>28965</v>
      </c>
      <c r="E809" s="155">
        <v>44756</v>
      </c>
      <c r="F809" s="154">
        <v>28965</v>
      </c>
      <c r="G809" s="156">
        <f>Tabla18[[#This Row],[Importe]]-Tabla18[[#This Row],[Pagado]]</f>
        <v>0</v>
      </c>
      <c r="H809" s="153" t="s">
        <v>10</v>
      </c>
    </row>
    <row r="810" spans="1:8" x14ac:dyDescent="0.25">
      <c r="A810" s="73">
        <v>44750</v>
      </c>
      <c r="B810" s="74" t="s">
        <v>22103</v>
      </c>
      <c r="C810" s="75" t="s">
        <v>173</v>
      </c>
      <c r="D810" s="81">
        <v>29492</v>
      </c>
      <c r="E810" s="151">
        <v>44751</v>
      </c>
      <c r="F810" s="81">
        <v>29492</v>
      </c>
      <c r="G810" s="156">
        <f>Tabla18[[#This Row],[Importe]]-Tabla18[[#This Row],[Pagado]]</f>
        <v>0</v>
      </c>
      <c r="H810" s="75" t="s">
        <v>10</v>
      </c>
    </row>
    <row r="811" spans="1:8" x14ac:dyDescent="0.25">
      <c r="A811" s="148">
        <v>44750</v>
      </c>
      <c r="B811" s="149" t="s">
        <v>22104</v>
      </c>
      <c r="C811" s="153" t="s">
        <v>45</v>
      </c>
      <c r="D811" s="154">
        <v>12499.5</v>
      </c>
      <c r="E811" s="155">
        <v>44750</v>
      </c>
      <c r="F811" s="154">
        <v>12499.5</v>
      </c>
      <c r="G811" s="156">
        <f>Tabla18[[#This Row],[Importe]]-Tabla18[[#This Row],[Pagado]]</f>
        <v>0</v>
      </c>
      <c r="H811" s="153" t="s">
        <v>10</v>
      </c>
    </row>
    <row r="812" spans="1:8" x14ac:dyDescent="0.25">
      <c r="A812" s="73">
        <v>44750</v>
      </c>
      <c r="B812" s="74" t="s">
        <v>22105</v>
      </c>
      <c r="C812" s="75" t="s">
        <v>49</v>
      </c>
      <c r="D812" s="81">
        <v>3381.4</v>
      </c>
      <c r="E812" s="151">
        <v>44750</v>
      </c>
      <c r="F812" s="81">
        <v>3381.4</v>
      </c>
      <c r="G812" s="156">
        <f>Tabla18[[#This Row],[Importe]]-Tabla18[[#This Row],[Pagado]]</f>
        <v>0</v>
      </c>
      <c r="H812" s="75" t="s">
        <v>10</v>
      </c>
    </row>
    <row r="813" spans="1:8" x14ac:dyDescent="0.25">
      <c r="A813" s="148">
        <v>44750</v>
      </c>
      <c r="B813" s="149" t="s">
        <v>22106</v>
      </c>
      <c r="C813" s="153" t="s">
        <v>161</v>
      </c>
      <c r="D813" s="154">
        <v>4469.6000000000004</v>
      </c>
      <c r="E813" s="155">
        <v>44750</v>
      </c>
      <c r="F813" s="154">
        <v>4469.6000000000004</v>
      </c>
      <c r="G813" s="156">
        <f>Tabla18[[#This Row],[Importe]]-Tabla18[[#This Row],[Pagado]]</f>
        <v>0</v>
      </c>
      <c r="H813" s="153" t="s">
        <v>10</v>
      </c>
    </row>
    <row r="814" spans="1:8" x14ac:dyDescent="0.25">
      <c r="A814" s="73">
        <v>44750</v>
      </c>
      <c r="B814" s="74" t="s">
        <v>22107</v>
      </c>
      <c r="C814" s="75" t="s">
        <v>27</v>
      </c>
      <c r="D814" s="81">
        <v>2166</v>
      </c>
      <c r="E814" s="151">
        <v>44750</v>
      </c>
      <c r="F814" s="81">
        <v>2166</v>
      </c>
      <c r="G814" s="156">
        <f>Tabla18[[#This Row],[Importe]]-Tabla18[[#This Row],[Pagado]]</f>
        <v>0</v>
      </c>
      <c r="H814" s="75" t="s">
        <v>10</v>
      </c>
    </row>
    <row r="815" spans="1:8" x14ac:dyDescent="0.25">
      <c r="A815" s="148">
        <v>44750</v>
      </c>
      <c r="B815" s="149" t="s">
        <v>22108</v>
      </c>
      <c r="C815" s="153" t="s">
        <v>133</v>
      </c>
      <c r="D815" s="154">
        <v>22725</v>
      </c>
      <c r="E815" s="155">
        <v>44751</v>
      </c>
      <c r="F815" s="154">
        <v>22725</v>
      </c>
      <c r="G815" s="156">
        <f>Tabla18[[#This Row],[Importe]]-Tabla18[[#This Row],[Pagado]]</f>
        <v>0</v>
      </c>
      <c r="H815" s="153" t="s">
        <v>10</v>
      </c>
    </row>
    <row r="816" spans="1:8" x14ac:dyDescent="0.25">
      <c r="A816" s="73">
        <v>44750</v>
      </c>
      <c r="B816" s="74" t="s">
        <v>22109</v>
      </c>
      <c r="C816" s="75" t="s">
        <v>518</v>
      </c>
      <c r="D816" s="81">
        <v>3473.8</v>
      </c>
      <c r="E816" s="151">
        <v>44750</v>
      </c>
      <c r="F816" s="81">
        <v>3473.8</v>
      </c>
      <c r="G816" s="156">
        <f>Tabla18[[#This Row],[Importe]]-Tabla18[[#This Row],[Pagado]]</f>
        <v>0</v>
      </c>
      <c r="H816" s="75" t="s">
        <v>10</v>
      </c>
    </row>
    <row r="817" spans="1:8" x14ac:dyDescent="0.25">
      <c r="A817" s="148">
        <v>44750</v>
      </c>
      <c r="B817" s="149" t="s">
        <v>22110</v>
      </c>
      <c r="C817" s="153" t="s">
        <v>365</v>
      </c>
      <c r="D817" s="154">
        <v>1065</v>
      </c>
      <c r="E817" s="155">
        <v>44750</v>
      </c>
      <c r="F817" s="154">
        <v>1065</v>
      </c>
      <c r="G817" s="156">
        <f>Tabla18[[#This Row],[Importe]]-Tabla18[[#This Row],[Pagado]]</f>
        <v>0</v>
      </c>
      <c r="H817" s="153" t="s">
        <v>10</v>
      </c>
    </row>
    <row r="818" spans="1:8" x14ac:dyDescent="0.25">
      <c r="A818" s="73">
        <v>44750</v>
      </c>
      <c r="B818" s="74" t="s">
        <v>22111</v>
      </c>
      <c r="C818" s="75" t="s">
        <v>24</v>
      </c>
      <c r="D818" s="81">
        <v>4851.3999999999996</v>
      </c>
      <c r="E818" s="151">
        <v>44750</v>
      </c>
      <c r="F818" s="81">
        <v>4851.3999999999996</v>
      </c>
      <c r="G818" s="156">
        <f>Tabla18[[#This Row],[Importe]]-Tabla18[[#This Row],[Pagado]]</f>
        <v>0</v>
      </c>
      <c r="H818" s="75" t="s">
        <v>10</v>
      </c>
    </row>
    <row r="819" spans="1:8" x14ac:dyDescent="0.25">
      <c r="A819" s="148">
        <v>44750</v>
      </c>
      <c r="B819" s="149" t="s">
        <v>22112</v>
      </c>
      <c r="C819" s="153" t="s">
        <v>22113</v>
      </c>
      <c r="D819" s="154">
        <v>0</v>
      </c>
      <c r="E819" s="158" t="s">
        <v>189</v>
      </c>
      <c r="F819" s="154">
        <v>0</v>
      </c>
      <c r="G819" s="156">
        <f>Tabla18[[#This Row],[Importe]]-Tabla18[[#This Row],[Pagado]]</f>
        <v>0</v>
      </c>
      <c r="H819" s="153" t="s">
        <v>189</v>
      </c>
    </row>
    <row r="820" spans="1:8" x14ac:dyDescent="0.25">
      <c r="A820" s="73">
        <v>44750</v>
      </c>
      <c r="B820" s="74" t="s">
        <v>22114</v>
      </c>
      <c r="C820" s="75" t="s">
        <v>592</v>
      </c>
      <c r="D820" s="81">
        <v>34873</v>
      </c>
      <c r="E820" s="151">
        <v>44758</v>
      </c>
      <c r="F820" s="81">
        <v>34873</v>
      </c>
      <c r="G820" s="156">
        <f>Tabla18[[#This Row],[Importe]]-Tabla18[[#This Row],[Pagado]]</f>
        <v>0</v>
      </c>
      <c r="H820" s="75" t="s">
        <v>10</v>
      </c>
    </row>
    <row r="821" spans="1:8" x14ac:dyDescent="0.25">
      <c r="A821" s="148">
        <v>44750</v>
      </c>
      <c r="B821" s="149" t="s">
        <v>22115</v>
      </c>
      <c r="C821" s="153" t="s">
        <v>5816</v>
      </c>
      <c r="D821" s="154">
        <v>4928</v>
      </c>
      <c r="E821" s="155">
        <v>44751</v>
      </c>
      <c r="F821" s="154">
        <v>4928</v>
      </c>
      <c r="G821" s="156">
        <f>Tabla18[[#This Row],[Importe]]-Tabla18[[#This Row],[Pagado]]</f>
        <v>0</v>
      </c>
      <c r="H821" s="153" t="s">
        <v>10</v>
      </c>
    </row>
    <row r="822" spans="1:8" x14ac:dyDescent="0.25">
      <c r="A822" s="73">
        <v>44750</v>
      </c>
      <c r="B822" s="74" t="s">
        <v>22116</v>
      </c>
      <c r="C822" s="75" t="s">
        <v>442</v>
      </c>
      <c r="D822" s="81">
        <v>13710</v>
      </c>
      <c r="E822" s="151">
        <v>44750</v>
      </c>
      <c r="F822" s="81">
        <v>13710</v>
      </c>
      <c r="G822" s="156">
        <f>Tabla18[[#This Row],[Importe]]-Tabla18[[#This Row],[Pagado]]</f>
        <v>0</v>
      </c>
      <c r="H822" s="75" t="s">
        <v>10</v>
      </c>
    </row>
    <row r="823" spans="1:8" x14ac:dyDescent="0.25">
      <c r="A823" s="148">
        <v>44750</v>
      </c>
      <c r="B823" s="149" t="s">
        <v>22117</v>
      </c>
      <c r="C823" s="153" t="s">
        <v>442</v>
      </c>
      <c r="D823" s="154">
        <v>6045.8</v>
      </c>
      <c r="E823" s="155">
        <v>44750</v>
      </c>
      <c r="F823" s="154">
        <v>6045.8</v>
      </c>
      <c r="G823" s="156">
        <f>Tabla18[[#This Row],[Importe]]-Tabla18[[#This Row],[Pagado]]</f>
        <v>0</v>
      </c>
      <c r="H823" s="153" t="s">
        <v>10</v>
      </c>
    </row>
    <row r="824" spans="1:8" x14ac:dyDescent="0.25">
      <c r="A824" s="73">
        <v>44750</v>
      </c>
      <c r="B824" s="74" t="s">
        <v>22118</v>
      </c>
      <c r="C824" s="75" t="s">
        <v>49</v>
      </c>
      <c r="D824" s="81">
        <v>525</v>
      </c>
      <c r="E824" s="151">
        <v>44750</v>
      </c>
      <c r="F824" s="81">
        <v>525</v>
      </c>
      <c r="G824" s="156">
        <f>Tabla18[[#This Row],[Importe]]-Tabla18[[#This Row],[Pagado]]</f>
        <v>0</v>
      </c>
      <c r="H824" s="75" t="s">
        <v>10</v>
      </c>
    </row>
    <row r="825" spans="1:8" x14ac:dyDescent="0.25">
      <c r="A825" s="148">
        <v>44750</v>
      </c>
      <c r="B825" s="149" t="s">
        <v>22119</v>
      </c>
      <c r="C825" s="153" t="s">
        <v>53</v>
      </c>
      <c r="D825" s="154">
        <v>1935</v>
      </c>
      <c r="E825" s="155">
        <v>44750</v>
      </c>
      <c r="F825" s="154">
        <v>1935</v>
      </c>
      <c r="G825" s="156">
        <f>Tabla18[[#This Row],[Importe]]-Tabla18[[#This Row],[Pagado]]</f>
        <v>0</v>
      </c>
      <c r="H825" s="153" t="s">
        <v>10</v>
      </c>
    </row>
    <row r="826" spans="1:8" x14ac:dyDescent="0.25">
      <c r="A826" s="73">
        <v>44750</v>
      </c>
      <c r="B826" s="74" t="s">
        <v>22120</v>
      </c>
      <c r="C826" s="75" t="s">
        <v>196</v>
      </c>
      <c r="D826" s="81">
        <v>144242.76</v>
      </c>
      <c r="E826" s="151">
        <v>44750</v>
      </c>
      <c r="F826" s="81">
        <v>144242.76</v>
      </c>
      <c r="G826" s="156">
        <f>Tabla18[[#This Row],[Importe]]-Tabla18[[#This Row],[Pagado]]</f>
        <v>0</v>
      </c>
      <c r="H826" s="75" t="s">
        <v>10</v>
      </c>
    </row>
    <row r="827" spans="1:8" x14ac:dyDescent="0.25">
      <c r="A827" s="148">
        <v>44750</v>
      </c>
      <c r="B827" s="149" t="s">
        <v>22121</v>
      </c>
      <c r="C827" s="153" t="s">
        <v>214</v>
      </c>
      <c r="D827" s="154">
        <v>1189.9000000000001</v>
      </c>
      <c r="E827" s="155">
        <v>44750</v>
      </c>
      <c r="F827" s="154">
        <v>1189.9000000000001</v>
      </c>
      <c r="G827" s="156">
        <f>Tabla18[[#This Row],[Importe]]-Tabla18[[#This Row],[Pagado]]</f>
        <v>0</v>
      </c>
      <c r="H827" s="153" t="s">
        <v>10</v>
      </c>
    </row>
    <row r="828" spans="1:8" x14ac:dyDescent="0.25">
      <c r="A828" s="73">
        <v>44750</v>
      </c>
      <c r="B828" s="74" t="s">
        <v>22122</v>
      </c>
      <c r="C828" s="75" t="s">
        <v>541</v>
      </c>
      <c r="D828" s="81">
        <v>18459.2</v>
      </c>
      <c r="E828" s="151">
        <v>44751</v>
      </c>
      <c r="F828" s="81">
        <v>18459.2</v>
      </c>
      <c r="G828" s="156">
        <f>Tabla18[[#This Row],[Importe]]-Tabla18[[#This Row],[Pagado]]</f>
        <v>0</v>
      </c>
      <c r="H828" s="75" t="s">
        <v>10</v>
      </c>
    </row>
    <row r="829" spans="1:8" x14ac:dyDescent="0.25">
      <c r="A829" s="148">
        <v>44750</v>
      </c>
      <c r="B829" s="149" t="s">
        <v>22123</v>
      </c>
      <c r="C829" s="153" t="s">
        <v>175</v>
      </c>
      <c r="D829" s="154">
        <v>13485.6</v>
      </c>
      <c r="E829" s="155">
        <v>44750</v>
      </c>
      <c r="F829" s="154">
        <v>13485.6</v>
      </c>
      <c r="G829" s="156">
        <f>Tabla18[[#This Row],[Importe]]-Tabla18[[#This Row],[Pagado]]</f>
        <v>0</v>
      </c>
      <c r="H829" s="153" t="s">
        <v>10</v>
      </c>
    </row>
    <row r="830" spans="1:8" x14ac:dyDescent="0.25">
      <c r="A830" s="73">
        <v>44750</v>
      </c>
      <c r="B830" s="74" t="s">
        <v>22124</v>
      </c>
      <c r="C830" s="75" t="s">
        <v>1481</v>
      </c>
      <c r="D830" s="81">
        <v>340</v>
      </c>
      <c r="E830" s="151">
        <v>44750</v>
      </c>
      <c r="F830" s="81">
        <v>340</v>
      </c>
      <c r="G830" s="156">
        <f>Tabla18[[#This Row],[Importe]]-Tabla18[[#This Row],[Pagado]]</f>
        <v>0</v>
      </c>
      <c r="H830" s="75" t="s">
        <v>10</v>
      </c>
    </row>
    <row r="831" spans="1:8" x14ac:dyDescent="0.25">
      <c r="A831" s="148">
        <v>44750</v>
      </c>
      <c r="B831" s="149" t="s">
        <v>22125</v>
      </c>
      <c r="C831" s="153" t="s">
        <v>200</v>
      </c>
      <c r="D831" s="154">
        <v>1277.5</v>
      </c>
      <c r="E831" s="155">
        <v>44750</v>
      </c>
      <c r="F831" s="154">
        <v>1277.5</v>
      </c>
      <c r="G831" s="156">
        <f>Tabla18[[#This Row],[Importe]]-Tabla18[[#This Row],[Pagado]]</f>
        <v>0</v>
      </c>
      <c r="H831" s="153" t="s">
        <v>10</v>
      </c>
    </row>
    <row r="832" spans="1:8" x14ac:dyDescent="0.25">
      <c r="A832" s="73">
        <v>44750</v>
      </c>
      <c r="B832" s="74" t="s">
        <v>22126</v>
      </c>
      <c r="C832" s="75" t="s">
        <v>181</v>
      </c>
      <c r="D832" s="81">
        <v>10700</v>
      </c>
      <c r="E832" s="151">
        <v>44750</v>
      </c>
      <c r="F832" s="81">
        <v>10700</v>
      </c>
      <c r="G832" s="156">
        <f>Tabla18[[#This Row],[Importe]]-Tabla18[[#This Row],[Pagado]]</f>
        <v>0</v>
      </c>
      <c r="H832" s="75" t="s">
        <v>10</v>
      </c>
    </row>
    <row r="833" spans="1:8" x14ac:dyDescent="0.25">
      <c r="A833" s="148">
        <v>44750</v>
      </c>
      <c r="B833" s="149" t="s">
        <v>22127</v>
      </c>
      <c r="C833" s="153" t="s">
        <v>359</v>
      </c>
      <c r="D833" s="154">
        <v>623</v>
      </c>
      <c r="E833" s="155">
        <v>44750</v>
      </c>
      <c r="F833" s="154">
        <v>623</v>
      </c>
      <c r="G833" s="156">
        <f>Tabla18[[#This Row],[Importe]]-Tabla18[[#This Row],[Pagado]]</f>
        <v>0</v>
      </c>
      <c r="H833" s="153" t="s">
        <v>10</v>
      </c>
    </row>
    <row r="834" spans="1:8" x14ac:dyDescent="0.25">
      <c r="A834" s="73">
        <v>44750</v>
      </c>
      <c r="B834" s="74" t="s">
        <v>22128</v>
      </c>
      <c r="C834" s="75" t="s">
        <v>29</v>
      </c>
      <c r="D834" s="81">
        <v>4606.3</v>
      </c>
      <c r="E834" s="151">
        <v>44750</v>
      </c>
      <c r="F834" s="81">
        <v>4606.3</v>
      </c>
      <c r="G834" s="156">
        <f>Tabla18[[#This Row],[Importe]]-Tabla18[[#This Row],[Pagado]]</f>
        <v>0</v>
      </c>
      <c r="H834" s="75" t="s">
        <v>10</v>
      </c>
    </row>
    <row r="835" spans="1:8" x14ac:dyDescent="0.25">
      <c r="A835" s="148">
        <v>44750</v>
      </c>
      <c r="B835" s="149" t="s">
        <v>22129</v>
      </c>
      <c r="C835" s="153" t="s">
        <v>3971</v>
      </c>
      <c r="D835" s="154">
        <v>1518</v>
      </c>
      <c r="E835" s="155">
        <v>44750</v>
      </c>
      <c r="F835" s="154">
        <v>1518</v>
      </c>
      <c r="G835" s="156">
        <f>Tabla18[[#This Row],[Importe]]-Tabla18[[#This Row],[Pagado]]</f>
        <v>0</v>
      </c>
      <c r="H835" s="153" t="s">
        <v>10</v>
      </c>
    </row>
    <row r="836" spans="1:8" x14ac:dyDescent="0.25">
      <c r="A836" s="73">
        <v>44750</v>
      </c>
      <c r="B836" s="74" t="s">
        <v>22130</v>
      </c>
      <c r="C836" s="75" t="s">
        <v>454</v>
      </c>
      <c r="D836" s="81">
        <v>1513.6</v>
      </c>
      <c r="E836" s="151">
        <v>44750</v>
      </c>
      <c r="F836" s="81">
        <v>1513.6</v>
      </c>
      <c r="G836" s="156">
        <f>Tabla18[[#This Row],[Importe]]-Tabla18[[#This Row],[Pagado]]</f>
        <v>0</v>
      </c>
      <c r="H836" s="75" t="s">
        <v>10</v>
      </c>
    </row>
    <row r="837" spans="1:8" x14ac:dyDescent="0.25">
      <c r="A837" s="148">
        <v>44750</v>
      </c>
      <c r="B837" s="149" t="s">
        <v>22131</v>
      </c>
      <c r="C837" s="153" t="s">
        <v>670</v>
      </c>
      <c r="D837" s="154">
        <v>2308.6999999999998</v>
      </c>
      <c r="E837" s="155">
        <v>44750</v>
      </c>
      <c r="F837" s="154">
        <v>2308.6999999999998</v>
      </c>
      <c r="G837" s="156">
        <f>Tabla18[[#This Row],[Importe]]-Tabla18[[#This Row],[Pagado]]</f>
        <v>0</v>
      </c>
      <c r="H837" s="153" t="s">
        <v>10</v>
      </c>
    </row>
    <row r="838" spans="1:8" x14ac:dyDescent="0.25">
      <c r="A838" s="73">
        <v>44750</v>
      </c>
      <c r="B838" s="74" t="s">
        <v>22132</v>
      </c>
      <c r="C838" s="75" t="s">
        <v>37</v>
      </c>
      <c r="D838" s="81">
        <v>4950</v>
      </c>
      <c r="E838" s="151">
        <v>44750</v>
      </c>
      <c r="F838" s="81">
        <v>4950</v>
      </c>
      <c r="G838" s="156">
        <f>Tabla18[[#This Row],[Importe]]-Tabla18[[#This Row],[Pagado]]</f>
        <v>0</v>
      </c>
      <c r="H838" s="75" t="s">
        <v>10</v>
      </c>
    </row>
    <row r="839" spans="1:8" x14ac:dyDescent="0.25">
      <c r="A839" s="148">
        <v>44750</v>
      </c>
      <c r="B839" s="149" t="s">
        <v>22133</v>
      </c>
      <c r="C839" s="153" t="s">
        <v>198</v>
      </c>
      <c r="D839" s="154">
        <v>6855.5</v>
      </c>
      <c r="E839" s="155">
        <v>44750</v>
      </c>
      <c r="F839" s="154">
        <v>6855.5</v>
      </c>
      <c r="G839" s="156">
        <f>Tabla18[[#This Row],[Importe]]-Tabla18[[#This Row],[Pagado]]</f>
        <v>0</v>
      </c>
      <c r="H839" s="153" t="s">
        <v>10</v>
      </c>
    </row>
    <row r="840" spans="1:8" x14ac:dyDescent="0.25">
      <c r="A840" s="73">
        <v>44750</v>
      </c>
      <c r="B840" s="74" t="s">
        <v>22134</v>
      </c>
      <c r="C840" s="75" t="s">
        <v>312</v>
      </c>
      <c r="D840" s="81">
        <v>862.4</v>
      </c>
      <c r="E840" s="151">
        <v>44750</v>
      </c>
      <c r="F840" s="81">
        <v>862.4</v>
      </c>
      <c r="G840" s="156">
        <f>Tabla18[[#This Row],[Importe]]-Tabla18[[#This Row],[Pagado]]</f>
        <v>0</v>
      </c>
      <c r="H840" s="75" t="s">
        <v>10</v>
      </c>
    </row>
    <row r="841" spans="1:8" x14ac:dyDescent="0.25">
      <c r="A841" s="148">
        <v>44750</v>
      </c>
      <c r="B841" s="149" t="s">
        <v>22135</v>
      </c>
      <c r="C841" s="153" t="s">
        <v>51</v>
      </c>
      <c r="D841" s="154">
        <v>4061.5</v>
      </c>
      <c r="E841" s="155">
        <v>44750</v>
      </c>
      <c r="F841" s="154">
        <v>4061.5</v>
      </c>
      <c r="G841" s="156">
        <f>Tabla18[[#This Row],[Importe]]-Tabla18[[#This Row],[Pagado]]</f>
        <v>0</v>
      </c>
      <c r="H841" s="153" t="s">
        <v>10</v>
      </c>
    </row>
    <row r="842" spans="1:8" x14ac:dyDescent="0.25">
      <c r="A842" s="73">
        <v>44750</v>
      </c>
      <c r="B842" s="74" t="s">
        <v>22136</v>
      </c>
      <c r="C842" s="75" t="s">
        <v>3402</v>
      </c>
      <c r="D842" s="81">
        <v>1004.4</v>
      </c>
      <c r="E842" s="151">
        <v>44750</v>
      </c>
      <c r="F842" s="81">
        <v>1004.4</v>
      </c>
      <c r="G842" s="156">
        <f>Tabla18[[#This Row],[Importe]]-Tabla18[[#This Row],[Pagado]]</f>
        <v>0</v>
      </c>
      <c r="H842" s="75" t="s">
        <v>10</v>
      </c>
    </row>
    <row r="843" spans="1:8" x14ac:dyDescent="0.25">
      <c r="A843" s="148">
        <v>44750</v>
      </c>
      <c r="B843" s="149" t="s">
        <v>22137</v>
      </c>
      <c r="C843" s="153" t="s">
        <v>31</v>
      </c>
      <c r="D843" s="154">
        <v>655.4</v>
      </c>
      <c r="E843" s="155">
        <v>44750</v>
      </c>
      <c r="F843" s="154">
        <v>655.4</v>
      </c>
      <c r="G843" s="156">
        <f>Tabla18[[#This Row],[Importe]]-Tabla18[[#This Row],[Pagado]]</f>
        <v>0</v>
      </c>
      <c r="H843" s="153" t="s">
        <v>10</v>
      </c>
    </row>
    <row r="844" spans="1:8" x14ac:dyDescent="0.25">
      <c r="A844" s="73">
        <v>44750</v>
      </c>
      <c r="B844" s="74" t="s">
        <v>22138</v>
      </c>
      <c r="C844" s="75" t="s">
        <v>9827</v>
      </c>
      <c r="D844" s="81">
        <v>3997.6</v>
      </c>
      <c r="E844" s="151">
        <v>44750</v>
      </c>
      <c r="F844" s="81">
        <v>3997.6</v>
      </c>
      <c r="G844" s="156">
        <f>Tabla18[[#This Row],[Importe]]-Tabla18[[#This Row],[Pagado]]</f>
        <v>0</v>
      </c>
      <c r="H844" s="75" t="s">
        <v>10</v>
      </c>
    </row>
    <row r="845" spans="1:8" x14ac:dyDescent="0.25">
      <c r="A845" s="148">
        <v>44750</v>
      </c>
      <c r="B845" s="149" t="s">
        <v>22139</v>
      </c>
      <c r="C845" s="153" t="s">
        <v>1350</v>
      </c>
      <c r="D845" s="154">
        <v>648.29999999999995</v>
      </c>
      <c r="E845" s="155">
        <v>44750</v>
      </c>
      <c r="F845" s="154">
        <v>648.29999999999995</v>
      </c>
      <c r="G845" s="156">
        <f>Tabla18[[#This Row],[Importe]]-Tabla18[[#This Row],[Pagado]]</f>
        <v>0</v>
      </c>
      <c r="H845" s="153" t="s">
        <v>10</v>
      </c>
    </row>
    <row r="846" spans="1:8" x14ac:dyDescent="0.25">
      <c r="A846" s="73">
        <v>44750</v>
      </c>
      <c r="B846" s="74" t="s">
        <v>22140</v>
      </c>
      <c r="C846" s="75" t="s">
        <v>224</v>
      </c>
      <c r="D846" s="81">
        <v>2212.1999999999998</v>
      </c>
      <c r="E846" s="151">
        <v>44750</v>
      </c>
      <c r="F846" s="81">
        <v>2212.1999999999998</v>
      </c>
      <c r="G846" s="156">
        <f>Tabla18[[#This Row],[Importe]]-Tabla18[[#This Row],[Pagado]]</f>
        <v>0</v>
      </c>
      <c r="H846" s="75" t="s">
        <v>10</v>
      </c>
    </row>
    <row r="847" spans="1:8" x14ac:dyDescent="0.25">
      <c r="A847" s="148">
        <v>44750</v>
      </c>
      <c r="B847" s="149" t="s">
        <v>22141</v>
      </c>
      <c r="C847" s="153" t="s">
        <v>31</v>
      </c>
      <c r="D847" s="154">
        <v>2489.3000000000002</v>
      </c>
      <c r="E847" s="155">
        <v>44750</v>
      </c>
      <c r="F847" s="154">
        <v>2489.3000000000002</v>
      </c>
      <c r="G847" s="156">
        <f>Tabla18[[#This Row],[Importe]]-Tabla18[[#This Row],[Pagado]]</f>
        <v>0</v>
      </c>
      <c r="H847" s="153" t="s">
        <v>10</v>
      </c>
    </row>
    <row r="848" spans="1:8" x14ac:dyDescent="0.25">
      <c r="A848" s="73">
        <v>44750</v>
      </c>
      <c r="B848" s="74" t="s">
        <v>22142</v>
      </c>
      <c r="C848" s="75" t="s">
        <v>382</v>
      </c>
      <c r="D848" s="81">
        <v>1058.2</v>
      </c>
      <c r="E848" s="151">
        <v>44750</v>
      </c>
      <c r="F848" s="81">
        <v>1058.2</v>
      </c>
      <c r="G848" s="156">
        <f>Tabla18[[#This Row],[Importe]]-Tabla18[[#This Row],[Pagado]]</f>
        <v>0</v>
      </c>
      <c r="H848" s="75" t="s">
        <v>10</v>
      </c>
    </row>
    <row r="849" spans="1:8" x14ac:dyDescent="0.25">
      <c r="A849" s="148">
        <v>44750</v>
      </c>
      <c r="B849" s="149" t="s">
        <v>22143</v>
      </c>
      <c r="C849" s="153" t="s">
        <v>196</v>
      </c>
      <c r="D849" s="154">
        <v>5072.6000000000004</v>
      </c>
      <c r="E849" s="155">
        <v>44750</v>
      </c>
      <c r="F849" s="154">
        <v>5072.6000000000004</v>
      </c>
      <c r="G849" s="156">
        <f>Tabla18[[#This Row],[Importe]]-Tabla18[[#This Row],[Pagado]]</f>
        <v>0</v>
      </c>
      <c r="H849" s="153" t="s">
        <v>10</v>
      </c>
    </row>
    <row r="850" spans="1:8" x14ac:dyDescent="0.25">
      <c r="A850" s="73">
        <v>44750</v>
      </c>
      <c r="B850" s="74" t="s">
        <v>22144</v>
      </c>
      <c r="C850" s="75" t="s">
        <v>56</v>
      </c>
      <c r="D850" s="81">
        <v>6865.5</v>
      </c>
      <c r="E850" s="151">
        <v>44750</v>
      </c>
      <c r="F850" s="81">
        <v>6865.5</v>
      </c>
      <c r="G850" s="156">
        <f>Tabla18[[#This Row],[Importe]]-Tabla18[[#This Row],[Pagado]]</f>
        <v>0</v>
      </c>
      <c r="H850" s="75" t="s">
        <v>10</v>
      </c>
    </row>
    <row r="851" spans="1:8" x14ac:dyDescent="0.25">
      <c r="A851" s="148">
        <v>44750</v>
      </c>
      <c r="B851" s="149" t="s">
        <v>22145</v>
      </c>
      <c r="C851" s="153" t="s">
        <v>216</v>
      </c>
      <c r="D851" s="154">
        <v>2299.5</v>
      </c>
      <c r="E851" s="155">
        <v>44750</v>
      </c>
      <c r="F851" s="154">
        <v>2299.5</v>
      </c>
      <c r="G851" s="156">
        <f>Tabla18[[#This Row],[Importe]]-Tabla18[[#This Row],[Pagado]]</f>
        <v>0</v>
      </c>
      <c r="H851" s="153" t="s">
        <v>10</v>
      </c>
    </row>
    <row r="852" spans="1:8" x14ac:dyDescent="0.25">
      <c r="A852" s="73">
        <v>44750</v>
      </c>
      <c r="B852" s="74" t="s">
        <v>22146</v>
      </c>
      <c r="C852" s="75" t="s">
        <v>414</v>
      </c>
      <c r="D852" s="81">
        <v>18900</v>
      </c>
      <c r="E852" s="151">
        <v>44761</v>
      </c>
      <c r="F852" s="81">
        <v>18900</v>
      </c>
      <c r="G852" s="156">
        <f>Tabla18[[#This Row],[Importe]]-Tabla18[[#This Row],[Pagado]]</f>
        <v>0</v>
      </c>
      <c r="H852" s="75" t="s">
        <v>10</v>
      </c>
    </row>
    <row r="853" spans="1:8" x14ac:dyDescent="0.25">
      <c r="A853" s="148">
        <v>44750</v>
      </c>
      <c r="B853" s="149" t="s">
        <v>22147</v>
      </c>
      <c r="C853" s="153" t="s">
        <v>233</v>
      </c>
      <c r="D853" s="154">
        <v>5764.6</v>
      </c>
      <c r="E853" s="155">
        <v>44750</v>
      </c>
      <c r="F853" s="154">
        <v>5764.6</v>
      </c>
      <c r="G853" s="156">
        <f>Tabla18[[#This Row],[Importe]]-Tabla18[[#This Row],[Pagado]]</f>
        <v>0</v>
      </c>
      <c r="H853" s="153" t="s">
        <v>10</v>
      </c>
    </row>
    <row r="854" spans="1:8" x14ac:dyDescent="0.25">
      <c r="A854" s="73">
        <v>44750</v>
      </c>
      <c r="B854" s="74" t="s">
        <v>22148</v>
      </c>
      <c r="C854" s="75" t="s">
        <v>56</v>
      </c>
      <c r="D854" s="81">
        <v>800</v>
      </c>
      <c r="E854" s="151">
        <v>44750</v>
      </c>
      <c r="F854" s="81">
        <v>800</v>
      </c>
      <c r="G854" s="156">
        <f>Tabla18[[#This Row],[Importe]]-Tabla18[[#This Row],[Pagado]]</f>
        <v>0</v>
      </c>
      <c r="H854" s="75" t="s">
        <v>10</v>
      </c>
    </row>
    <row r="855" spans="1:8" x14ac:dyDescent="0.25">
      <c r="A855" s="148">
        <v>44750</v>
      </c>
      <c r="B855" s="149" t="s">
        <v>22149</v>
      </c>
      <c r="C855" s="153" t="s">
        <v>107</v>
      </c>
      <c r="D855" s="154">
        <v>17882.400000000001</v>
      </c>
      <c r="E855" s="155">
        <v>44750</v>
      </c>
      <c r="F855" s="154">
        <v>17882.400000000001</v>
      </c>
      <c r="G855" s="156">
        <f>Tabla18[[#This Row],[Importe]]-Tabla18[[#This Row],[Pagado]]</f>
        <v>0</v>
      </c>
      <c r="H855" s="153" t="s">
        <v>10</v>
      </c>
    </row>
    <row r="856" spans="1:8" x14ac:dyDescent="0.25">
      <c r="A856" s="73">
        <v>44750</v>
      </c>
      <c r="B856" s="74" t="s">
        <v>22150</v>
      </c>
      <c r="C856" s="75" t="s">
        <v>5217</v>
      </c>
      <c r="D856" s="81">
        <v>2621.6</v>
      </c>
      <c r="E856" s="151">
        <v>44750</v>
      </c>
      <c r="F856" s="81">
        <v>2621.6</v>
      </c>
      <c r="G856" s="156">
        <f>Tabla18[[#This Row],[Importe]]-Tabla18[[#This Row],[Pagado]]</f>
        <v>0</v>
      </c>
      <c r="H856" s="75" t="s">
        <v>10</v>
      </c>
    </row>
    <row r="857" spans="1:8" x14ac:dyDescent="0.25">
      <c r="A857" s="148">
        <v>44750</v>
      </c>
      <c r="B857" s="149" t="s">
        <v>22151</v>
      </c>
      <c r="C857" s="153" t="s">
        <v>275</v>
      </c>
      <c r="D857" s="154">
        <v>186731.3</v>
      </c>
      <c r="E857" s="155">
        <v>44764</v>
      </c>
      <c r="F857" s="154">
        <v>186731.3</v>
      </c>
      <c r="G857" s="156">
        <f>Tabla18[[#This Row],[Importe]]-Tabla18[[#This Row],[Pagado]]</f>
        <v>0</v>
      </c>
      <c r="H857" s="153" t="s">
        <v>10</v>
      </c>
    </row>
    <row r="858" spans="1:8" x14ac:dyDescent="0.25">
      <c r="A858" s="73">
        <v>44750</v>
      </c>
      <c r="B858" s="74" t="s">
        <v>22152</v>
      </c>
      <c r="C858" s="75" t="s">
        <v>419</v>
      </c>
      <c r="D858" s="81">
        <v>3975</v>
      </c>
      <c r="E858" s="151">
        <v>44750</v>
      </c>
      <c r="F858" s="81">
        <v>3975</v>
      </c>
      <c r="G858" s="156">
        <f>Tabla18[[#This Row],[Importe]]-Tabla18[[#This Row],[Pagado]]</f>
        <v>0</v>
      </c>
      <c r="H858" s="75" t="s">
        <v>10</v>
      </c>
    </row>
    <row r="859" spans="1:8" x14ac:dyDescent="0.25">
      <c r="A859" s="148">
        <v>44750</v>
      </c>
      <c r="B859" s="149" t="s">
        <v>22153</v>
      </c>
      <c r="C859" s="153" t="s">
        <v>1362</v>
      </c>
      <c r="D859" s="154">
        <v>4350</v>
      </c>
      <c r="E859" s="155">
        <v>44750</v>
      </c>
      <c r="F859" s="154">
        <v>4350</v>
      </c>
      <c r="G859" s="156">
        <f>Tabla18[[#This Row],[Importe]]-Tabla18[[#This Row],[Pagado]]</f>
        <v>0</v>
      </c>
      <c r="H859" s="153" t="s">
        <v>10</v>
      </c>
    </row>
    <row r="860" spans="1:8" x14ac:dyDescent="0.25">
      <c r="A860" s="73">
        <v>44750</v>
      </c>
      <c r="B860" s="74" t="s">
        <v>22154</v>
      </c>
      <c r="C860" s="75" t="s">
        <v>31</v>
      </c>
      <c r="D860" s="81">
        <v>6275.2</v>
      </c>
      <c r="E860" s="151">
        <v>44750</v>
      </c>
      <c r="F860" s="81">
        <v>6275.2</v>
      </c>
      <c r="G860" s="156">
        <f>Tabla18[[#This Row],[Importe]]-Tabla18[[#This Row],[Pagado]]</f>
        <v>0</v>
      </c>
      <c r="H860" s="75" t="s">
        <v>10</v>
      </c>
    </row>
    <row r="861" spans="1:8" x14ac:dyDescent="0.25">
      <c r="A861" s="148">
        <v>44750</v>
      </c>
      <c r="B861" s="149" t="s">
        <v>22155</v>
      </c>
      <c r="C861" s="153" t="s">
        <v>849</v>
      </c>
      <c r="D861" s="154">
        <v>5600</v>
      </c>
      <c r="E861" s="155">
        <v>44750</v>
      </c>
      <c r="F861" s="154">
        <v>5600</v>
      </c>
      <c r="G861" s="156">
        <f>Tabla18[[#This Row],[Importe]]-Tabla18[[#This Row],[Pagado]]</f>
        <v>0</v>
      </c>
      <c r="H861" s="153" t="s">
        <v>10</v>
      </c>
    </row>
    <row r="862" spans="1:8" ht="31.5" x14ac:dyDescent="0.25">
      <c r="A862" s="73">
        <v>44750</v>
      </c>
      <c r="B862" s="74" t="s">
        <v>22156</v>
      </c>
      <c r="C862" s="75" t="s">
        <v>67</v>
      </c>
      <c r="D862" s="81">
        <v>13607.8</v>
      </c>
      <c r="E862" s="147" t="s">
        <v>21956</v>
      </c>
      <c r="F862" s="81">
        <f>13207.8+400</f>
        <v>13607.8</v>
      </c>
      <c r="G862" s="156">
        <f>Tabla18[[#This Row],[Importe]]-Tabla18[[#This Row],[Pagado]]</f>
        <v>0</v>
      </c>
      <c r="H862" s="75" t="s">
        <v>10</v>
      </c>
    </row>
    <row r="863" spans="1:8" x14ac:dyDescent="0.25">
      <c r="A863" s="148">
        <v>44750</v>
      </c>
      <c r="B863" s="149" t="s">
        <v>22157</v>
      </c>
      <c r="C863" s="153" t="s">
        <v>58</v>
      </c>
      <c r="D863" s="154">
        <v>5479.6</v>
      </c>
      <c r="E863" s="155">
        <v>44750</v>
      </c>
      <c r="F863" s="154">
        <v>5479.6</v>
      </c>
      <c r="G863" s="156">
        <f>Tabla18[[#This Row],[Importe]]-Tabla18[[#This Row],[Pagado]]</f>
        <v>0</v>
      </c>
      <c r="H863" s="153" t="s">
        <v>10</v>
      </c>
    </row>
    <row r="864" spans="1:8" x14ac:dyDescent="0.25">
      <c r="A864" s="73">
        <v>44750</v>
      </c>
      <c r="B864" s="74" t="s">
        <v>22158</v>
      </c>
      <c r="C864" s="75" t="s">
        <v>2139</v>
      </c>
      <c r="D864" s="81">
        <v>2807.2</v>
      </c>
      <c r="E864" s="151">
        <v>44750</v>
      </c>
      <c r="F864" s="81">
        <v>2807.2</v>
      </c>
      <c r="G864" s="156">
        <f>Tabla18[[#This Row],[Importe]]-Tabla18[[#This Row],[Pagado]]</f>
        <v>0</v>
      </c>
      <c r="H864" s="75" t="s">
        <v>10</v>
      </c>
    </row>
    <row r="865" spans="1:8" x14ac:dyDescent="0.25">
      <c r="A865" s="148">
        <v>44750</v>
      </c>
      <c r="B865" s="149" t="s">
        <v>22159</v>
      </c>
      <c r="C865" s="153" t="s">
        <v>58</v>
      </c>
      <c r="D865" s="154">
        <v>508.2</v>
      </c>
      <c r="E865" s="155">
        <v>44750</v>
      </c>
      <c r="F865" s="154">
        <v>508.2</v>
      </c>
      <c r="G865" s="156">
        <f>Tabla18[[#This Row],[Importe]]-Tabla18[[#This Row],[Pagado]]</f>
        <v>0</v>
      </c>
      <c r="H865" s="153" t="s">
        <v>10</v>
      </c>
    </row>
    <row r="866" spans="1:8" x14ac:dyDescent="0.25">
      <c r="A866" s="73">
        <v>44750</v>
      </c>
      <c r="B866" s="74" t="s">
        <v>22160</v>
      </c>
      <c r="C866" s="75" t="s">
        <v>452</v>
      </c>
      <c r="D866" s="81">
        <v>8184</v>
      </c>
      <c r="E866" s="151">
        <v>44750</v>
      </c>
      <c r="F866" s="81">
        <v>8184</v>
      </c>
      <c r="G866" s="156">
        <f>Tabla18[[#This Row],[Importe]]-Tabla18[[#This Row],[Pagado]]</f>
        <v>0</v>
      </c>
      <c r="H866" s="75" t="s">
        <v>10</v>
      </c>
    </row>
    <row r="867" spans="1:8" x14ac:dyDescent="0.25">
      <c r="A867" s="148">
        <v>44750</v>
      </c>
      <c r="B867" s="149" t="s">
        <v>22161</v>
      </c>
      <c r="C867" s="153" t="s">
        <v>484</v>
      </c>
      <c r="D867" s="154">
        <v>5121.8999999999996</v>
      </c>
      <c r="E867" s="155">
        <v>44750</v>
      </c>
      <c r="F867" s="154">
        <v>5121.8999999999996</v>
      </c>
      <c r="G867" s="156">
        <f>Tabla18[[#This Row],[Importe]]-Tabla18[[#This Row],[Pagado]]</f>
        <v>0</v>
      </c>
      <c r="H867" s="153" t="s">
        <v>10</v>
      </c>
    </row>
    <row r="868" spans="1:8" x14ac:dyDescent="0.25">
      <c r="A868" s="73">
        <v>44750</v>
      </c>
      <c r="B868" s="74" t="s">
        <v>22162</v>
      </c>
      <c r="C868" s="75" t="s">
        <v>31</v>
      </c>
      <c r="D868" s="81">
        <v>501.6</v>
      </c>
      <c r="E868" s="151">
        <v>44750</v>
      </c>
      <c r="F868" s="81">
        <v>501.6</v>
      </c>
      <c r="G868" s="156">
        <f>Tabla18[[#This Row],[Importe]]-Tabla18[[#This Row],[Pagado]]</f>
        <v>0</v>
      </c>
      <c r="H868" s="75" t="s">
        <v>10</v>
      </c>
    </row>
    <row r="869" spans="1:8" x14ac:dyDescent="0.25">
      <c r="A869" s="148">
        <v>44750</v>
      </c>
      <c r="B869" s="149" t="s">
        <v>22163</v>
      </c>
      <c r="C869" s="153" t="s">
        <v>994</v>
      </c>
      <c r="D869" s="154">
        <v>2469.1999999999998</v>
      </c>
      <c r="E869" s="155">
        <v>44750</v>
      </c>
      <c r="F869" s="154">
        <v>2469.1999999999998</v>
      </c>
      <c r="G869" s="156">
        <f>Tabla18[[#This Row],[Importe]]-Tabla18[[#This Row],[Pagado]]</f>
        <v>0</v>
      </c>
      <c r="H869" s="153" t="s">
        <v>10</v>
      </c>
    </row>
    <row r="870" spans="1:8" x14ac:dyDescent="0.25">
      <c r="A870" s="73">
        <v>44750</v>
      </c>
      <c r="B870" s="74" t="s">
        <v>22164</v>
      </c>
      <c r="C870" s="75" t="s">
        <v>698</v>
      </c>
      <c r="D870" s="81">
        <v>7492.3</v>
      </c>
      <c r="E870" s="151">
        <v>44750</v>
      </c>
      <c r="F870" s="81">
        <v>7492.3</v>
      </c>
      <c r="G870" s="156">
        <f>Tabla18[[#This Row],[Importe]]-Tabla18[[#This Row],[Pagado]]</f>
        <v>0</v>
      </c>
      <c r="H870" s="75" t="s">
        <v>10</v>
      </c>
    </row>
    <row r="871" spans="1:8" x14ac:dyDescent="0.25">
      <c r="A871" s="148">
        <v>44750</v>
      </c>
      <c r="B871" s="149" t="s">
        <v>22165</v>
      </c>
      <c r="C871" s="153" t="s">
        <v>22</v>
      </c>
      <c r="D871" s="154">
        <v>1316</v>
      </c>
      <c r="E871" s="155">
        <v>44751</v>
      </c>
      <c r="F871" s="154">
        <v>1316</v>
      </c>
      <c r="G871" s="156">
        <f>Tabla18[[#This Row],[Importe]]-Tabla18[[#This Row],[Pagado]]</f>
        <v>0</v>
      </c>
      <c r="H871" s="153" t="s">
        <v>10</v>
      </c>
    </row>
    <row r="872" spans="1:8" x14ac:dyDescent="0.25">
      <c r="A872" s="73">
        <v>44750</v>
      </c>
      <c r="B872" s="74" t="s">
        <v>22166</v>
      </c>
      <c r="C872" s="75" t="s">
        <v>69</v>
      </c>
      <c r="D872" s="81">
        <v>2401.6999999999998</v>
      </c>
      <c r="E872" s="151">
        <v>44750</v>
      </c>
      <c r="F872" s="81">
        <v>2401.6999999999998</v>
      </c>
      <c r="G872" s="156">
        <f>Tabla18[[#This Row],[Importe]]-Tabla18[[#This Row],[Pagado]]</f>
        <v>0</v>
      </c>
      <c r="H872" s="75" t="s">
        <v>10</v>
      </c>
    </row>
    <row r="873" spans="1:8" x14ac:dyDescent="0.25">
      <c r="A873" s="148">
        <v>44750</v>
      </c>
      <c r="B873" s="149" t="s">
        <v>22167</v>
      </c>
      <c r="C873" s="153" t="s">
        <v>27</v>
      </c>
      <c r="D873" s="154">
        <v>2323.6</v>
      </c>
      <c r="E873" s="155">
        <v>44750</v>
      </c>
      <c r="F873" s="154">
        <v>2323.6</v>
      </c>
      <c r="G873" s="156">
        <f>Tabla18[[#This Row],[Importe]]-Tabla18[[#This Row],[Pagado]]</f>
        <v>0</v>
      </c>
      <c r="H873" s="153" t="s">
        <v>10</v>
      </c>
    </row>
    <row r="874" spans="1:8" x14ac:dyDescent="0.25">
      <c r="A874" s="73">
        <v>44750</v>
      </c>
      <c r="B874" s="74" t="s">
        <v>22168</v>
      </c>
      <c r="C874" s="75" t="s">
        <v>17989</v>
      </c>
      <c r="D874" s="81">
        <v>0</v>
      </c>
      <c r="E874" s="157" t="s">
        <v>189</v>
      </c>
      <c r="F874" s="81">
        <v>0</v>
      </c>
      <c r="G874" s="156">
        <f>Tabla18[[#This Row],[Importe]]-Tabla18[[#This Row],[Pagado]]</f>
        <v>0</v>
      </c>
      <c r="H874" s="161" t="s">
        <v>22169</v>
      </c>
    </row>
    <row r="875" spans="1:8" x14ac:dyDescent="0.25">
      <c r="A875" s="148">
        <v>44750</v>
      </c>
      <c r="B875" s="149" t="s">
        <v>22170</v>
      </c>
      <c r="C875" s="153" t="s">
        <v>407</v>
      </c>
      <c r="D875" s="154">
        <v>7854.8</v>
      </c>
      <c r="E875" s="155">
        <v>44762</v>
      </c>
      <c r="F875" s="154">
        <v>7854.8</v>
      </c>
      <c r="G875" s="156">
        <f>Tabla18[[#This Row],[Importe]]-Tabla18[[#This Row],[Pagado]]</f>
        <v>0</v>
      </c>
      <c r="H875" s="153" t="s">
        <v>10</v>
      </c>
    </row>
    <row r="876" spans="1:8" x14ac:dyDescent="0.25">
      <c r="A876" s="73">
        <v>44750</v>
      </c>
      <c r="B876" s="74" t="s">
        <v>22171</v>
      </c>
      <c r="C876" s="75" t="s">
        <v>461</v>
      </c>
      <c r="D876" s="81">
        <v>114.4</v>
      </c>
      <c r="E876" s="151">
        <v>44750</v>
      </c>
      <c r="F876" s="81">
        <v>114.4</v>
      </c>
      <c r="G876" s="156">
        <f>Tabla18[[#This Row],[Importe]]-Tabla18[[#This Row],[Pagado]]</f>
        <v>0</v>
      </c>
      <c r="H876" s="75" t="s">
        <v>10</v>
      </c>
    </row>
    <row r="877" spans="1:8" x14ac:dyDescent="0.25">
      <c r="A877" s="148">
        <v>44750</v>
      </c>
      <c r="B877" s="149" t="s">
        <v>22172</v>
      </c>
      <c r="C877" s="153" t="s">
        <v>414</v>
      </c>
      <c r="D877" s="154">
        <v>467766</v>
      </c>
      <c r="E877" s="155">
        <v>44809</v>
      </c>
      <c r="F877" s="154">
        <v>467766</v>
      </c>
      <c r="G877" s="156">
        <f>Tabla18[[#This Row],[Importe]]-Tabla18[[#This Row],[Pagado]]</f>
        <v>0</v>
      </c>
      <c r="H877" s="153" t="s">
        <v>10</v>
      </c>
    </row>
    <row r="878" spans="1:8" x14ac:dyDescent="0.25">
      <c r="A878" s="73">
        <v>44750</v>
      </c>
      <c r="B878" s="74" t="s">
        <v>22173</v>
      </c>
      <c r="C878" s="75" t="s">
        <v>296</v>
      </c>
      <c r="D878" s="81">
        <v>1657.5</v>
      </c>
      <c r="E878" s="151">
        <v>44750</v>
      </c>
      <c r="F878" s="81">
        <v>1657.5</v>
      </c>
      <c r="G878" s="156">
        <f>Tabla18[[#This Row],[Importe]]-Tabla18[[#This Row],[Pagado]]</f>
        <v>0</v>
      </c>
      <c r="H878" s="75" t="s">
        <v>10</v>
      </c>
    </row>
    <row r="879" spans="1:8" x14ac:dyDescent="0.25">
      <c r="A879" s="148">
        <v>44750</v>
      </c>
      <c r="B879" s="149" t="s">
        <v>22174</v>
      </c>
      <c r="C879" s="153" t="s">
        <v>71</v>
      </c>
      <c r="D879" s="154">
        <v>643.79999999999995</v>
      </c>
      <c r="E879" s="155">
        <v>44750</v>
      </c>
      <c r="F879" s="154">
        <v>643.79999999999995</v>
      </c>
      <c r="G879" s="156">
        <f>Tabla18[[#This Row],[Importe]]-Tabla18[[#This Row],[Pagado]]</f>
        <v>0</v>
      </c>
      <c r="H879" s="153" t="s">
        <v>10</v>
      </c>
    </row>
    <row r="880" spans="1:8" x14ac:dyDescent="0.25">
      <c r="A880" s="73">
        <v>44750</v>
      </c>
      <c r="B880" s="74" t="s">
        <v>22175</v>
      </c>
      <c r="C880" s="75" t="s">
        <v>31</v>
      </c>
      <c r="D880" s="81">
        <v>4642.5</v>
      </c>
      <c r="E880" s="151">
        <v>44750</v>
      </c>
      <c r="F880" s="81">
        <v>4642.5</v>
      </c>
      <c r="G880" s="156">
        <f>Tabla18[[#This Row],[Importe]]-Tabla18[[#This Row],[Pagado]]</f>
        <v>0</v>
      </c>
      <c r="H880" s="75" t="s">
        <v>10</v>
      </c>
    </row>
    <row r="881" spans="1:8" x14ac:dyDescent="0.25">
      <c r="A881" s="148">
        <v>44750</v>
      </c>
      <c r="B881" s="149" t="s">
        <v>22176</v>
      </c>
      <c r="C881" s="153" t="s">
        <v>135</v>
      </c>
      <c r="D881" s="154">
        <v>697.5</v>
      </c>
      <c r="E881" s="155">
        <v>44750</v>
      </c>
      <c r="F881" s="154">
        <v>697.5</v>
      </c>
      <c r="G881" s="156">
        <f>Tabla18[[#This Row],[Importe]]-Tabla18[[#This Row],[Pagado]]</f>
        <v>0</v>
      </c>
      <c r="H881" s="153" t="s">
        <v>10</v>
      </c>
    </row>
    <row r="882" spans="1:8" x14ac:dyDescent="0.25">
      <c r="A882" s="73">
        <v>44750</v>
      </c>
      <c r="B882" s="74" t="s">
        <v>22177</v>
      </c>
      <c r="C882" s="75" t="s">
        <v>191</v>
      </c>
      <c r="D882" s="81">
        <v>178.2</v>
      </c>
      <c r="E882" s="151">
        <v>44750</v>
      </c>
      <c r="F882" s="81">
        <v>178.2</v>
      </c>
      <c r="G882" s="156">
        <f>Tabla18[[#This Row],[Importe]]-Tabla18[[#This Row],[Pagado]]</f>
        <v>0</v>
      </c>
      <c r="H882" s="75" t="s">
        <v>10</v>
      </c>
    </row>
    <row r="883" spans="1:8" x14ac:dyDescent="0.25">
      <c r="A883" s="148">
        <v>44750</v>
      </c>
      <c r="B883" s="149" t="s">
        <v>22178</v>
      </c>
      <c r="C883" s="153" t="s">
        <v>135</v>
      </c>
      <c r="D883" s="154">
        <v>1262.5</v>
      </c>
      <c r="E883" s="155">
        <v>44750</v>
      </c>
      <c r="F883" s="154">
        <v>1262.5</v>
      </c>
      <c r="G883" s="156">
        <f>Tabla18[[#This Row],[Importe]]-Tabla18[[#This Row],[Pagado]]</f>
        <v>0</v>
      </c>
      <c r="H883" s="153" t="s">
        <v>10</v>
      </c>
    </row>
    <row r="884" spans="1:8" x14ac:dyDescent="0.25">
      <c r="A884" s="73">
        <v>44750</v>
      </c>
      <c r="B884" s="74" t="s">
        <v>22179</v>
      </c>
      <c r="C884" s="75" t="s">
        <v>284</v>
      </c>
      <c r="D884" s="81">
        <v>8862.2000000000007</v>
      </c>
      <c r="E884" s="151">
        <v>44751</v>
      </c>
      <c r="F884" s="81">
        <v>8862.2000000000007</v>
      </c>
      <c r="G884" s="156">
        <f>Tabla18[[#This Row],[Importe]]-Tabla18[[#This Row],[Pagado]]</f>
        <v>0</v>
      </c>
      <c r="H884" s="75" t="s">
        <v>10</v>
      </c>
    </row>
    <row r="885" spans="1:8" x14ac:dyDescent="0.25">
      <c r="A885" s="148">
        <v>44750</v>
      </c>
      <c r="B885" s="149" t="s">
        <v>22180</v>
      </c>
      <c r="C885" s="153" t="s">
        <v>5345</v>
      </c>
      <c r="D885" s="154">
        <v>2255.6999999999998</v>
      </c>
      <c r="E885" s="155">
        <v>44751</v>
      </c>
      <c r="F885" s="154">
        <v>2255.6999999999998</v>
      </c>
      <c r="G885" s="156">
        <f>Tabla18[[#This Row],[Importe]]-Tabla18[[#This Row],[Pagado]]</f>
        <v>0</v>
      </c>
      <c r="H885" s="153" t="s">
        <v>10</v>
      </c>
    </row>
    <row r="886" spans="1:8" x14ac:dyDescent="0.25">
      <c r="A886" s="73">
        <v>44750</v>
      </c>
      <c r="B886" s="74" t="s">
        <v>22181</v>
      </c>
      <c r="C886" s="75" t="s">
        <v>431</v>
      </c>
      <c r="D886" s="81">
        <v>686.2</v>
      </c>
      <c r="E886" s="151">
        <v>44751</v>
      </c>
      <c r="F886" s="81">
        <v>686.2</v>
      </c>
      <c r="G886" s="156">
        <f>Tabla18[[#This Row],[Importe]]-Tabla18[[#This Row],[Pagado]]</f>
        <v>0</v>
      </c>
      <c r="H886" s="75" t="s">
        <v>10</v>
      </c>
    </row>
    <row r="887" spans="1:8" x14ac:dyDescent="0.25">
      <c r="A887" s="148">
        <v>44750</v>
      </c>
      <c r="B887" s="149" t="s">
        <v>22182</v>
      </c>
      <c r="C887" s="153" t="s">
        <v>10819</v>
      </c>
      <c r="D887" s="154">
        <v>737.3</v>
      </c>
      <c r="E887" s="155">
        <v>44751</v>
      </c>
      <c r="F887" s="154">
        <v>737.3</v>
      </c>
      <c r="G887" s="156">
        <f>Tabla18[[#This Row],[Importe]]-Tabla18[[#This Row],[Pagado]]</f>
        <v>0</v>
      </c>
      <c r="H887" s="153" t="s">
        <v>10</v>
      </c>
    </row>
    <row r="888" spans="1:8" x14ac:dyDescent="0.25">
      <c r="A888" s="73">
        <v>44750</v>
      </c>
      <c r="B888" s="74" t="s">
        <v>22183</v>
      </c>
      <c r="C888" s="75" t="s">
        <v>280</v>
      </c>
      <c r="D888" s="81">
        <v>1328.6</v>
      </c>
      <c r="E888" s="151">
        <v>44751</v>
      </c>
      <c r="F888" s="81">
        <v>1328.6</v>
      </c>
      <c r="G888" s="156">
        <f>Tabla18[[#This Row],[Importe]]-Tabla18[[#This Row],[Pagado]]</f>
        <v>0</v>
      </c>
      <c r="H888" s="75" t="s">
        <v>10</v>
      </c>
    </row>
    <row r="889" spans="1:8" x14ac:dyDescent="0.25">
      <c r="A889" s="148">
        <v>44750</v>
      </c>
      <c r="B889" s="149" t="s">
        <v>22184</v>
      </c>
      <c r="C889" s="153" t="s">
        <v>282</v>
      </c>
      <c r="D889" s="154">
        <v>2394.4</v>
      </c>
      <c r="E889" s="155">
        <v>44751</v>
      </c>
      <c r="F889" s="154">
        <v>2394.4</v>
      </c>
      <c r="G889" s="156">
        <f>Tabla18[[#This Row],[Importe]]-Tabla18[[#This Row],[Pagado]]</f>
        <v>0</v>
      </c>
      <c r="H889" s="153" t="s">
        <v>10</v>
      </c>
    </row>
    <row r="890" spans="1:8" x14ac:dyDescent="0.25">
      <c r="A890" s="73">
        <v>44750</v>
      </c>
      <c r="B890" s="74" t="s">
        <v>22185</v>
      </c>
      <c r="C890" s="75" t="s">
        <v>555</v>
      </c>
      <c r="D890" s="81">
        <v>23723</v>
      </c>
      <c r="E890" s="151">
        <v>44750</v>
      </c>
      <c r="F890" s="81">
        <v>23723</v>
      </c>
      <c r="G890" s="156">
        <f>Tabla18[[#This Row],[Importe]]-Tabla18[[#This Row],[Pagado]]</f>
        <v>0</v>
      </c>
      <c r="H890" s="75" t="s">
        <v>10</v>
      </c>
    </row>
    <row r="891" spans="1:8" x14ac:dyDescent="0.25">
      <c r="A891" s="148">
        <v>44750</v>
      </c>
      <c r="B891" s="149" t="s">
        <v>22186</v>
      </c>
      <c r="C891" s="153" t="s">
        <v>857</v>
      </c>
      <c r="D891" s="154">
        <v>1460.4</v>
      </c>
      <c r="E891" s="155">
        <v>44750</v>
      </c>
      <c r="F891" s="154">
        <v>1460.4</v>
      </c>
      <c r="G891" s="156">
        <f>Tabla18[[#This Row],[Importe]]-Tabla18[[#This Row],[Pagado]]</f>
        <v>0</v>
      </c>
      <c r="H891" s="153" t="s">
        <v>10</v>
      </c>
    </row>
    <row r="892" spans="1:8" x14ac:dyDescent="0.25">
      <c r="A892" s="73">
        <v>44750</v>
      </c>
      <c r="B892" s="74" t="s">
        <v>22187</v>
      </c>
      <c r="C892" s="75" t="s">
        <v>843</v>
      </c>
      <c r="D892" s="81">
        <v>21568</v>
      </c>
      <c r="E892" s="151">
        <v>44751</v>
      </c>
      <c r="F892" s="81">
        <v>21568</v>
      </c>
      <c r="G892" s="156">
        <f>Tabla18[[#This Row],[Importe]]-Tabla18[[#This Row],[Pagado]]</f>
        <v>0</v>
      </c>
      <c r="H892" s="75" t="s">
        <v>10</v>
      </c>
    </row>
    <row r="893" spans="1:8" x14ac:dyDescent="0.25">
      <c r="A893" s="148">
        <v>44750</v>
      </c>
      <c r="B893" s="149" t="s">
        <v>22188</v>
      </c>
      <c r="C893" s="153" t="s">
        <v>31</v>
      </c>
      <c r="D893" s="154">
        <v>1228</v>
      </c>
      <c r="E893" s="155">
        <v>44750</v>
      </c>
      <c r="F893" s="154">
        <v>1228</v>
      </c>
      <c r="G893" s="156">
        <f>Tabla18[[#This Row],[Importe]]-Tabla18[[#This Row],[Pagado]]</f>
        <v>0</v>
      </c>
      <c r="H893" s="153" t="s">
        <v>10</v>
      </c>
    </row>
    <row r="894" spans="1:8" x14ac:dyDescent="0.25">
      <c r="A894" s="73">
        <v>44750</v>
      </c>
      <c r="B894" s="74" t="s">
        <v>22189</v>
      </c>
      <c r="C894" s="75" t="s">
        <v>31</v>
      </c>
      <c r="D894" s="81">
        <v>18474</v>
      </c>
      <c r="E894" s="151">
        <v>44750</v>
      </c>
      <c r="F894" s="81">
        <v>18474</v>
      </c>
      <c r="G894" s="156">
        <f>Tabla18[[#This Row],[Importe]]-Tabla18[[#This Row],[Pagado]]</f>
        <v>0</v>
      </c>
      <c r="H894" s="75" t="s">
        <v>10</v>
      </c>
    </row>
    <row r="895" spans="1:8" x14ac:dyDescent="0.25">
      <c r="A895" s="148">
        <v>44750</v>
      </c>
      <c r="B895" s="149" t="s">
        <v>22190</v>
      </c>
      <c r="C895" s="153" t="s">
        <v>10678</v>
      </c>
      <c r="D895" s="154">
        <v>2847.8</v>
      </c>
      <c r="E895" s="155">
        <v>44750</v>
      </c>
      <c r="F895" s="154">
        <v>2847.8</v>
      </c>
      <c r="G895" s="156">
        <f>Tabla18[[#This Row],[Importe]]-Tabla18[[#This Row],[Pagado]]</f>
        <v>0</v>
      </c>
      <c r="H895" s="153" t="s">
        <v>10</v>
      </c>
    </row>
    <row r="896" spans="1:8" x14ac:dyDescent="0.25">
      <c r="A896" s="73">
        <v>44750</v>
      </c>
      <c r="B896" s="74" t="s">
        <v>22191</v>
      </c>
      <c r="C896" s="75" t="s">
        <v>7313</v>
      </c>
      <c r="D896" s="81">
        <v>4738.96</v>
      </c>
      <c r="E896" s="151">
        <v>44750</v>
      </c>
      <c r="F896" s="81">
        <v>4738.96</v>
      </c>
      <c r="G896" s="156">
        <f>Tabla18[[#This Row],[Importe]]-Tabla18[[#This Row],[Pagado]]</f>
        <v>0</v>
      </c>
      <c r="H896" s="75" t="s">
        <v>10</v>
      </c>
    </row>
    <row r="897" spans="1:8" x14ac:dyDescent="0.25">
      <c r="A897" s="148">
        <v>44750</v>
      </c>
      <c r="B897" s="149" t="s">
        <v>22192</v>
      </c>
      <c r="C897" s="153" t="s">
        <v>196</v>
      </c>
      <c r="D897" s="154">
        <v>265.5</v>
      </c>
      <c r="E897" s="155">
        <v>44757</v>
      </c>
      <c r="F897" s="154">
        <v>265.5</v>
      </c>
      <c r="G897" s="156">
        <f>Tabla18[[#This Row],[Importe]]-Tabla18[[#This Row],[Pagado]]</f>
        <v>0</v>
      </c>
      <c r="H897" s="153" t="s">
        <v>10</v>
      </c>
    </row>
    <row r="898" spans="1:8" x14ac:dyDescent="0.25">
      <c r="A898" s="73">
        <v>44750</v>
      </c>
      <c r="B898" s="74" t="s">
        <v>22193</v>
      </c>
      <c r="C898" s="75" t="s">
        <v>870</v>
      </c>
      <c r="D898" s="81">
        <v>19000</v>
      </c>
      <c r="E898" s="151">
        <v>44751</v>
      </c>
      <c r="F898" s="81">
        <v>19000</v>
      </c>
      <c r="G898" s="156">
        <f>Tabla18[[#This Row],[Importe]]-Tabla18[[#This Row],[Pagado]]</f>
        <v>0</v>
      </c>
      <c r="H898" s="75" t="s">
        <v>10</v>
      </c>
    </row>
    <row r="899" spans="1:8" x14ac:dyDescent="0.25">
      <c r="A899" s="148">
        <v>44750</v>
      </c>
      <c r="B899" s="149" t="s">
        <v>22194</v>
      </c>
      <c r="C899" s="153" t="s">
        <v>31</v>
      </c>
      <c r="D899" s="154">
        <v>1824.9</v>
      </c>
      <c r="E899" s="155">
        <v>44750</v>
      </c>
      <c r="F899" s="154">
        <v>1824.9</v>
      </c>
      <c r="G899" s="156">
        <f>Tabla18[[#This Row],[Importe]]-Tabla18[[#This Row],[Pagado]]</f>
        <v>0</v>
      </c>
      <c r="H899" s="153" t="s">
        <v>10</v>
      </c>
    </row>
    <row r="900" spans="1:8" x14ac:dyDescent="0.25">
      <c r="A900" s="73">
        <v>44750</v>
      </c>
      <c r="B900" s="74" t="s">
        <v>22195</v>
      </c>
      <c r="C900" s="75" t="s">
        <v>31</v>
      </c>
      <c r="D900" s="81">
        <v>25</v>
      </c>
      <c r="E900" s="151">
        <v>44751</v>
      </c>
      <c r="F900" s="81">
        <v>25</v>
      </c>
      <c r="G900" s="156">
        <f>Tabla18[[#This Row],[Importe]]-Tabla18[[#This Row],[Pagado]]</f>
        <v>0</v>
      </c>
      <c r="H900" s="75" t="s">
        <v>10</v>
      </c>
    </row>
    <row r="901" spans="1:8" ht="31.5" x14ac:dyDescent="0.25">
      <c r="A901" s="148">
        <v>44751</v>
      </c>
      <c r="B901" s="149" t="s">
        <v>22196</v>
      </c>
      <c r="C901" s="153" t="s">
        <v>475</v>
      </c>
      <c r="D901" s="154">
        <v>73324.800000000003</v>
      </c>
      <c r="E901" s="150" t="s">
        <v>22197</v>
      </c>
      <c r="F901" s="154">
        <f>62500+10824.8</f>
        <v>73324.800000000003</v>
      </c>
      <c r="G901" s="156">
        <f>Tabla18[[#This Row],[Importe]]-Tabla18[[#This Row],[Pagado]]</f>
        <v>0</v>
      </c>
      <c r="H901" s="153" t="s">
        <v>10</v>
      </c>
    </row>
    <row r="902" spans="1:8" x14ac:dyDescent="0.25">
      <c r="A902" s="73">
        <v>44751</v>
      </c>
      <c r="B902" s="74" t="s">
        <v>22198</v>
      </c>
      <c r="C902" s="75" t="s">
        <v>481</v>
      </c>
      <c r="D902" s="81">
        <v>555</v>
      </c>
      <c r="E902" s="151">
        <v>44751</v>
      </c>
      <c r="F902" s="81">
        <v>555</v>
      </c>
      <c r="G902" s="156">
        <f>Tabla18[[#This Row],[Importe]]-Tabla18[[#This Row],[Pagado]]</f>
        <v>0</v>
      </c>
      <c r="H902" s="75" t="s">
        <v>10</v>
      </c>
    </row>
    <row r="903" spans="1:8" ht="31.5" x14ac:dyDescent="0.25">
      <c r="A903" s="148">
        <v>44751</v>
      </c>
      <c r="B903" s="149" t="s">
        <v>22199</v>
      </c>
      <c r="C903" s="153" t="s">
        <v>22</v>
      </c>
      <c r="D903" s="154">
        <v>82315.199999999997</v>
      </c>
      <c r="E903" s="150" t="s">
        <v>22197</v>
      </c>
      <c r="F903" s="154">
        <f>67000+15315.2</f>
        <v>82315.199999999997</v>
      </c>
      <c r="G903" s="156">
        <f>Tabla18[[#This Row],[Importe]]-Tabla18[[#This Row],[Pagado]]</f>
        <v>0</v>
      </c>
      <c r="H903" s="153" t="s">
        <v>10</v>
      </c>
    </row>
    <row r="904" spans="1:8" x14ac:dyDescent="0.25">
      <c r="A904" s="73">
        <v>44751</v>
      </c>
      <c r="B904" s="74" t="s">
        <v>22200</v>
      </c>
      <c r="C904" s="75" t="s">
        <v>348</v>
      </c>
      <c r="D904" s="81">
        <v>6652.6</v>
      </c>
      <c r="E904" s="151">
        <v>44751</v>
      </c>
      <c r="F904" s="81">
        <v>6652.6</v>
      </c>
      <c r="G904" s="156">
        <f>Tabla18[[#This Row],[Importe]]-Tabla18[[#This Row],[Pagado]]</f>
        <v>0</v>
      </c>
      <c r="H904" s="75" t="s">
        <v>10</v>
      </c>
    </row>
    <row r="905" spans="1:8" x14ac:dyDescent="0.25">
      <c r="A905" s="148">
        <v>44751</v>
      </c>
      <c r="B905" s="149" t="s">
        <v>22201</v>
      </c>
      <c r="C905" s="153" t="s">
        <v>918</v>
      </c>
      <c r="D905" s="154">
        <v>299.2</v>
      </c>
      <c r="E905" s="155">
        <v>44751</v>
      </c>
      <c r="F905" s="154">
        <v>299.2</v>
      </c>
      <c r="G905" s="156">
        <f>Tabla18[[#This Row],[Importe]]-Tabla18[[#This Row],[Pagado]]</f>
        <v>0</v>
      </c>
      <c r="H905" s="153" t="s">
        <v>10</v>
      </c>
    </row>
    <row r="906" spans="1:8" ht="31.5" x14ac:dyDescent="0.25">
      <c r="A906" s="73">
        <v>44751</v>
      </c>
      <c r="B906" s="74" t="s">
        <v>22202</v>
      </c>
      <c r="C906" s="75" t="s">
        <v>99</v>
      </c>
      <c r="D906" s="81">
        <v>10318.4</v>
      </c>
      <c r="E906" s="147" t="s">
        <v>22203</v>
      </c>
      <c r="F906" s="81">
        <f>6800+3518.4</f>
        <v>10318.4</v>
      </c>
      <c r="G906" s="156">
        <f>Tabla18[[#This Row],[Importe]]-Tabla18[[#This Row],[Pagado]]</f>
        <v>0</v>
      </c>
      <c r="H906" s="75" t="s">
        <v>10</v>
      </c>
    </row>
    <row r="907" spans="1:8" x14ac:dyDescent="0.25">
      <c r="A907" s="148">
        <v>44751</v>
      </c>
      <c r="B907" s="149" t="s">
        <v>22204</v>
      </c>
      <c r="C907" s="153" t="s">
        <v>64</v>
      </c>
      <c r="D907" s="154">
        <v>10227.200000000001</v>
      </c>
      <c r="E907" s="155">
        <v>44753</v>
      </c>
      <c r="F907" s="154">
        <v>10227.200000000001</v>
      </c>
      <c r="G907" s="156">
        <f>Tabla18[[#This Row],[Importe]]-Tabla18[[#This Row],[Pagado]]</f>
        <v>0</v>
      </c>
      <c r="H907" s="153" t="s">
        <v>10</v>
      </c>
    </row>
    <row r="908" spans="1:8" x14ac:dyDescent="0.25">
      <c r="A908" s="73">
        <v>44751</v>
      </c>
      <c r="B908" s="74" t="s">
        <v>22205</v>
      </c>
      <c r="C908" s="75" t="s">
        <v>97</v>
      </c>
      <c r="D908" s="81">
        <v>9497.6</v>
      </c>
      <c r="E908" s="151">
        <v>44753</v>
      </c>
      <c r="F908" s="81">
        <v>9497.6</v>
      </c>
      <c r="G908" s="156">
        <f>Tabla18[[#This Row],[Importe]]-Tabla18[[#This Row],[Pagado]]</f>
        <v>0</v>
      </c>
      <c r="H908" s="75" t="s">
        <v>10</v>
      </c>
    </row>
    <row r="909" spans="1:8" x14ac:dyDescent="0.25">
      <c r="A909" s="148">
        <v>44751</v>
      </c>
      <c r="B909" s="149" t="s">
        <v>22206</v>
      </c>
      <c r="C909" s="153" t="s">
        <v>114</v>
      </c>
      <c r="D909" s="154">
        <v>10558.6</v>
      </c>
      <c r="E909" s="155">
        <v>44753</v>
      </c>
      <c r="F909" s="154">
        <v>10558.6</v>
      </c>
      <c r="G909" s="156">
        <f>Tabla18[[#This Row],[Importe]]-Tabla18[[#This Row],[Pagado]]</f>
        <v>0</v>
      </c>
      <c r="H909" s="153" t="s">
        <v>10</v>
      </c>
    </row>
    <row r="910" spans="1:8" x14ac:dyDescent="0.25">
      <c r="A910" s="73">
        <v>44751</v>
      </c>
      <c r="B910" s="74" t="s">
        <v>22207</v>
      </c>
      <c r="C910" s="75" t="s">
        <v>5043</v>
      </c>
      <c r="D910" s="81">
        <v>5420.8</v>
      </c>
      <c r="E910" s="151">
        <v>44753</v>
      </c>
      <c r="F910" s="81">
        <v>5420.8</v>
      </c>
      <c r="G910" s="156">
        <f>Tabla18[[#This Row],[Importe]]-Tabla18[[#This Row],[Pagado]]</f>
        <v>0</v>
      </c>
      <c r="H910" s="75" t="s">
        <v>10</v>
      </c>
    </row>
    <row r="911" spans="1:8" x14ac:dyDescent="0.25">
      <c r="A911" s="148">
        <v>44751</v>
      </c>
      <c r="B911" s="149" t="s">
        <v>22208</v>
      </c>
      <c r="C911" s="153" t="s">
        <v>109</v>
      </c>
      <c r="D911" s="154">
        <v>6274.4</v>
      </c>
      <c r="E911" s="155">
        <v>44753</v>
      </c>
      <c r="F911" s="154">
        <v>6274.4</v>
      </c>
      <c r="G911" s="156">
        <f>Tabla18[[#This Row],[Importe]]-Tabla18[[#This Row],[Pagado]]</f>
        <v>0</v>
      </c>
      <c r="H911" s="153" t="s">
        <v>10</v>
      </c>
    </row>
    <row r="912" spans="1:8" x14ac:dyDescent="0.25">
      <c r="A912" s="73">
        <v>44751</v>
      </c>
      <c r="B912" s="74" t="s">
        <v>22209</v>
      </c>
      <c r="C912" s="75" t="s">
        <v>60</v>
      </c>
      <c r="D912" s="81">
        <v>4921.6000000000004</v>
      </c>
      <c r="E912" s="151">
        <v>44758</v>
      </c>
      <c r="F912" s="81">
        <v>4921.6000000000004</v>
      </c>
      <c r="G912" s="156">
        <f>Tabla18[[#This Row],[Importe]]-Tabla18[[#This Row],[Pagado]]</f>
        <v>0</v>
      </c>
      <c r="H912" s="75" t="s">
        <v>10</v>
      </c>
    </row>
    <row r="913" spans="1:8" x14ac:dyDescent="0.25">
      <c r="A913" s="148">
        <v>44751</v>
      </c>
      <c r="B913" s="149" t="s">
        <v>22210</v>
      </c>
      <c r="C913" s="153" t="s">
        <v>111</v>
      </c>
      <c r="D913" s="154">
        <v>10292</v>
      </c>
      <c r="E913" s="155">
        <v>44753</v>
      </c>
      <c r="F913" s="154">
        <v>10292</v>
      </c>
      <c r="G913" s="156">
        <f>Tabla18[[#This Row],[Importe]]-Tabla18[[#This Row],[Pagado]]</f>
        <v>0</v>
      </c>
      <c r="H913" s="153" t="s">
        <v>10</v>
      </c>
    </row>
    <row r="914" spans="1:8" x14ac:dyDescent="0.25">
      <c r="A914" s="73">
        <v>44751</v>
      </c>
      <c r="B914" s="74" t="s">
        <v>22211</v>
      </c>
      <c r="C914" s="75" t="s">
        <v>89</v>
      </c>
      <c r="D914" s="81">
        <v>16280.6</v>
      </c>
      <c r="E914" s="151">
        <v>44753</v>
      </c>
      <c r="F914" s="81">
        <v>16280.6</v>
      </c>
      <c r="G914" s="156">
        <f>Tabla18[[#This Row],[Importe]]-Tabla18[[#This Row],[Pagado]]</f>
        <v>0</v>
      </c>
      <c r="H914" s="75" t="s">
        <v>10</v>
      </c>
    </row>
    <row r="915" spans="1:8" x14ac:dyDescent="0.25">
      <c r="A915" s="148">
        <v>44751</v>
      </c>
      <c r="B915" s="149" t="s">
        <v>22212</v>
      </c>
      <c r="C915" s="153" t="s">
        <v>326</v>
      </c>
      <c r="D915" s="154">
        <v>15398.4</v>
      </c>
      <c r="E915" s="155">
        <v>44753</v>
      </c>
      <c r="F915" s="154">
        <v>15398.4</v>
      </c>
      <c r="G915" s="156">
        <f>Tabla18[[#This Row],[Importe]]-Tabla18[[#This Row],[Pagado]]</f>
        <v>0</v>
      </c>
      <c r="H915" s="153" t="s">
        <v>10</v>
      </c>
    </row>
    <row r="916" spans="1:8" ht="47.25" x14ac:dyDescent="0.25">
      <c r="A916" s="73">
        <v>44751</v>
      </c>
      <c r="B916" s="74" t="s">
        <v>22213</v>
      </c>
      <c r="C916" s="75" t="s">
        <v>93</v>
      </c>
      <c r="D916" s="81">
        <v>22092.1</v>
      </c>
      <c r="E916" s="147" t="s">
        <v>22214</v>
      </c>
      <c r="F916" s="81">
        <f>14000+6000+2092.1</f>
        <v>22092.1</v>
      </c>
      <c r="G916" s="156">
        <f>Tabla18[[#This Row],[Importe]]-Tabla18[[#This Row],[Pagado]]</f>
        <v>0</v>
      </c>
      <c r="H916" s="75" t="s">
        <v>10</v>
      </c>
    </row>
    <row r="917" spans="1:8" x14ac:dyDescent="0.25">
      <c r="A917" s="148">
        <v>44751</v>
      </c>
      <c r="B917" s="149" t="s">
        <v>22215</v>
      </c>
      <c r="C917" s="153" t="s">
        <v>9</v>
      </c>
      <c r="D917" s="154">
        <v>9814.7000000000007</v>
      </c>
      <c r="E917" s="155">
        <v>44751</v>
      </c>
      <c r="F917" s="154">
        <v>9814.7000000000007</v>
      </c>
      <c r="G917" s="156">
        <f>Tabla18[[#This Row],[Importe]]-Tabla18[[#This Row],[Pagado]]</f>
        <v>0</v>
      </c>
      <c r="H917" s="153" t="s">
        <v>10</v>
      </c>
    </row>
    <row r="918" spans="1:8" x14ac:dyDescent="0.25">
      <c r="A918" s="73">
        <v>44751</v>
      </c>
      <c r="B918" s="74" t="s">
        <v>22216</v>
      </c>
      <c r="C918" s="75" t="s">
        <v>105</v>
      </c>
      <c r="D918" s="81">
        <v>17131.900000000001</v>
      </c>
      <c r="E918" s="151">
        <v>44753</v>
      </c>
      <c r="F918" s="81">
        <v>17131.900000000001</v>
      </c>
      <c r="G918" s="156">
        <f>Tabla18[[#This Row],[Importe]]-Tabla18[[#This Row],[Pagado]]</f>
        <v>0</v>
      </c>
      <c r="H918" s="75" t="s">
        <v>10</v>
      </c>
    </row>
    <row r="919" spans="1:8" x14ac:dyDescent="0.25">
      <c r="A919" s="148">
        <v>44751</v>
      </c>
      <c r="B919" s="149" t="s">
        <v>22217</v>
      </c>
      <c r="C919" s="153" t="s">
        <v>2151</v>
      </c>
      <c r="D919" s="154">
        <v>41173.4</v>
      </c>
      <c r="E919" s="155">
        <v>44751</v>
      </c>
      <c r="F919" s="154">
        <v>41173.4</v>
      </c>
      <c r="G919" s="156">
        <f>Tabla18[[#This Row],[Importe]]-Tabla18[[#This Row],[Pagado]]</f>
        <v>0</v>
      </c>
      <c r="H919" s="153" t="s">
        <v>10</v>
      </c>
    </row>
    <row r="920" spans="1:8" x14ac:dyDescent="0.25">
      <c r="A920" s="73">
        <v>44751</v>
      </c>
      <c r="B920" s="74" t="s">
        <v>22218</v>
      </c>
      <c r="C920" s="75" t="s">
        <v>31</v>
      </c>
      <c r="D920" s="81">
        <v>524</v>
      </c>
      <c r="E920" s="151">
        <v>44751</v>
      </c>
      <c r="F920" s="81">
        <v>524</v>
      </c>
      <c r="G920" s="156">
        <f>Tabla18[[#This Row],[Importe]]-Tabla18[[#This Row],[Pagado]]</f>
        <v>0</v>
      </c>
      <c r="H920" s="75" t="s">
        <v>10</v>
      </c>
    </row>
    <row r="921" spans="1:8" ht="31.5" x14ac:dyDescent="0.25">
      <c r="A921" s="148">
        <v>44751</v>
      </c>
      <c r="B921" s="149" t="s">
        <v>22219</v>
      </c>
      <c r="C921" s="160" t="s">
        <v>22220</v>
      </c>
      <c r="D921" s="154">
        <v>0</v>
      </c>
      <c r="E921" s="158" t="s">
        <v>189</v>
      </c>
      <c r="F921" s="154">
        <v>0</v>
      </c>
      <c r="G921" s="156">
        <f>Tabla18[[#This Row],[Importe]]-Tabla18[[#This Row],[Pagado]]</f>
        <v>0</v>
      </c>
      <c r="H921" s="153" t="s">
        <v>189</v>
      </c>
    </row>
    <row r="922" spans="1:8" x14ac:dyDescent="0.25">
      <c r="A922" s="73">
        <v>44751</v>
      </c>
      <c r="B922" s="74" t="s">
        <v>22221</v>
      </c>
      <c r="C922" s="75" t="s">
        <v>518</v>
      </c>
      <c r="D922" s="81">
        <v>1671.6</v>
      </c>
      <c r="E922" s="151">
        <v>44751</v>
      </c>
      <c r="F922" s="81">
        <v>1671.6</v>
      </c>
      <c r="G922" s="156">
        <f>Tabla18[[#This Row],[Importe]]-Tabla18[[#This Row],[Pagado]]</f>
        <v>0</v>
      </c>
      <c r="H922" s="75" t="s">
        <v>10</v>
      </c>
    </row>
    <row r="923" spans="1:8" x14ac:dyDescent="0.25">
      <c r="A923" s="148">
        <v>44751</v>
      </c>
      <c r="B923" s="149" t="s">
        <v>22222</v>
      </c>
      <c r="C923" s="153" t="s">
        <v>157</v>
      </c>
      <c r="D923" s="154">
        <v>6040.6</v>
      </c>
      <c r="E923" s="155">
        <v>44751</v>
      </c>
      <c r="F923" s="154">
        <v>6040.6</v>
      </c>
      <c r="G923" s="156">
        <f>Tabla18[[#This Row],[Importe]]-Tabla18[[#This Row],[Pagado]]</f>
        <v>0</v>
      </c>
      <c r="H923" s="153" t="s">
        <v>10</v>
      </c>
    </row>
    <row r="924" spans="1:8" x14ac:dyDescent="0.25">
      <c r="A924" s="73">
        <v>44751</v>
      </c>
      <c r="B924" s="74" t="s">
        <v>22223</v>
      </c>
      <c r="C924" s="75" t="s">
        <v>31</v>
      </c>
      <c r="D924" s="81">
        <v>3599</v>
      </c>
      <c r="E924" s="151">
        <v>44751</v>
      </c>
      <c r="F924" s="81">
        <v>3599</v>
      </c>
      <c r="G924" s="156">
        <f>Tabla18[[#This Row],[Importe]]-Tabla18[[#This Row],[Pagado]]</f>
        <v>0</v>
      </c>
      <c r="H924" s="75" t="s">
        <v>10</v>
      </c>
    </row>
    <row r="925" spans="1:8" x14ac:dyDescent="0.25">
      <c r="A925" s="148">
        <v>44751</v>
      </c>
      <c r="B925" s="149" t="s">
        <v>22224</v>
      </c>
      <c r="C925" s="153" t="s">
        <v>966</v>
      </c>
      <c r="D925" s="154">
        <v>470.8</v>
      </c>
      <c r="E925" s="155">
        <v>44751</v>
      </c>
      <c r="F925" s="154">
        <v>470.8</v>
      </c>
      <c r="G925" s="156">
        <f>Tabla18[[#This Row],[Importe]]-Tabla18[[#This Row],[Pagado]]</f>
        <v>0</v>
      </c>
      <c r="H925" s="153" t="s">
        <v>10</v>
      </c>
    </row>
    <row r="926" spans="1:8" x14ac:dyDescent="0.25">
      <c r="A926" s="73">
        <v>44751</v>
      </c>
      <c r="B926" s="74" t="s">
        <v>22225</v>
      </c>
      <c r="C926" s="75" t="s">
        <v>31</v>
      </c>
      <c r="D926" s="81">
        <v>5974</v>
      </c>
      <c r="E926" s="151">
        <v>44751</v>
      </c>
      <c r="F926" s="81">
        <v>5974</v>
      </c>
      <c r="G926" s="156">
        <f>Tabla18[[#This Row],[Importe]]-Tabla18[[#This Row],[Pagado]]</f>
        <v>0</v>
      </c>
      <c r="H926" s="75" t="s">
        <v>10</v>
      </c>
    </row>
    <row r="927" spans="1:8" x14ac:dyDescent="0.25">
      <c r="A927" s="148">
        <v>44751</v>
      </c>
      <c r="B927" s="149" t="s">
        <v>22226</v>
      </c>
      <c r="C927" s="153" t="s">
        <v>520</v>
      </c>
      <c r="D927" s="154">
        <v>13157.4</v>
      </c>
      <c r="E927" s="155">
        <v>44751</v>
      </c>
      <c r="F927" s="154">
        <v>13157.4</v>
      </c>
      <c r="G927" s="156">
        <f>Tabla18[[#This Row],[Importe]]-Tabla18[[#This Row],[Pagado]]</f>
        <v>0</v>
      </c>
      <c r="H927" s="153" t="s">
        <v>10</v>
      </c>
    </row>
    <row r="928" spans="1:8" x14ac:dyDescent="0.25">
      <c r="A928" s="73">
        <v>44751</v>
      </c>
      <c r="B928" s="74" t="s">
        <v>22227</v>
      </c>
      <c r="C928" s="75" t="s">
        <v>151</v>
      </c>
      <c r="D928" s="81">
        <v>16393.599999999999</v>
      </c>
      <c r="E928" s="151">
        <v>44751</v>
      </c>
      <c r="F928" s="81">
        <v>16393.599999999999</v>
      </c>
      <c r="G928" s="156">
        <f>Tabla18[[#This Row],[Importe]]-Tabla18[[#This Row],[Pagado]]</f>
        <v>0</v>
      </c>
      <c r="H928" s="75" t="s">
        <v>10</v>
      </c>
    </row>
    <row r="929" spans="1:8" x14ac:dyDescent="0.25">
      <c r="A929" s="148">
        <v>44751</v>
      </c>
      <c r="B929" s="149" t="s">
        <v>22228</v>
      </c>
      <c r="C929" s="153" t="s">
        <v>473</v>
      </c>
      <c r="D929" s="154">
        <v>4289.3</v>
      </c>
      <c r="E929" s="155">
        <v>44751</v>
      </c>
      <c r="F929" s="154">
        <v>4289.3</v>
      </c>
      <c r="G929" s="156">
        <f>Tabla18[[#This Row],[Importe]]-Tabla18[[#This Row],[Pagado]]</f>
        <v>0</v>
      </c>
      <c r="H929" s="153" t="s">
        <v>10</v>
      </c>
    </row>
    <row r="930" spans="1:8" x14ac:dyDescent="0.25">
      <c r="A930" s="73">
        <v>44751</v>
      </c>
      <c r="B930" s="74" t="s">
        <v>22229</v>
      </c>
      <c r="C930" s="75" t="s">
        <v>85</v>
      </c>
      <c r="D930" s="81">
        <v>3485.6</v>
      </c>
      <c r="E930" s="151">
        <v>44751</v>
      </c>
      <c r="F930" s="81">
        <v>3485.6</v>
      </c>
      <c r="G930" s="156">
        <f>Tabla18[[#This Row],[Importe]]-Tabla18[[#This Row],[Pagado]]</f>
        <v>0</v>
      </c>
      <c r="H930" s="75" t="s">
        <v>10</v>
      </c>
    </row>
    <row r="931" spans="1:8" x14ac:dyDescent="0.25">
      <c r="A931" s="148">
        <v>44751</v>
      </c>
      <c r="B931" s="149" t="s">
        <v>22230</v>
      </c>
      <c r="C931" s="153" t="s">
        <v>75</v>
      </c>
      <c r="D931" s="154">
        <v>12661.4</v>
      </c>
      <c r="E931" s="155">
        <v>44751</v>
      </c>
      <c r="F931" s="154">
        <v>12661.4</v>
      </c>
      <c r="G931" s="156">
        <f>Tabla18[[#This Row],[Importe]]-Tabla18[[#This Row],[Pagado]]</f>
        <v>0</v>
      </c>
      <c r="H931" s="153" t="s">
        <v>10</v>
      </c>
    </row>
    <row r="932" spans="1:8" x14ac:dyDescent="0.25">
      <c r="A932" s="73">
        <v>44751</v>
      </c>
      <c r="B932" s="74" t="s">
        <v>22231</v>
      </c>
      <c r="C932" s="75" t="s">
        <v>1187</v>
      </c>
      <c r="D932" s="81">
        <v>2639.5</v>
      </c>
      <c r="E932" s="151">
        <v>44751</v>
      </c>
      <c r="F932" s="81">
        <v>2639.5</v>
      </c>
      <c r="G932" s="156">
        <f>Tabla18[[#This Row],[Importe]]-Tabla18[[#This Row],[Pagado]]</f>
        <v>0</v>
      </c>
      <c r="H932" s="75" t="s">
        <v>10</v>
      </c>
    </row>
    <row r="933" spans="1:8" x14ac:dyDescent="0.25">
      <c r="A933" s="148">
        <v>44751</v>
      </c>
      <c r="B933" s="149" t="s">
        <v>22232</v>
      </c>
      <c r="C933" s="153" t="s">
        <v>319</v>
      </c>
      <c r="D933" s="154">
        <v>9871.5</v>
      </c>
      <c r="E933" s="155">
        <v>44751</v>
      </c>
      <c r="F933" s="154">
        <v>9871.5</v>
      </c>
      <c r="G933" s="156">
        <f>Tabla18[[#This Row],[Importe]]-Tabla18[[#This Row],[Pagado]]</f>
        <v>0</v>
      </c>
      <c r="H933" s="153" t="s">
        <v>10</v>
      </c>
    </row>
    <row r="934" spans="1:8" x14ac:dyDescent="0.25">
      <c r="A934" s="73">
        <v>44751</v>
      </c>
      <c r="B934" s="74" t="s">
        <v>22233</v>
      </c>
      <c r="C934" s="75" t="s">
        <v>31</v>
      </c>
      <c r="D934" s="81">
        <v>2310.4</v>
      </c>
      <c r="E934" s="151">
        <v>44751</v>
      </c>
      <c r="F934" s="81">
        <v>2310.4</v>
      </c>
      <c r="G934" s="156">
        <f>Tabla18[[#This Row],[Importe]]-Tabla18[[#This Row],[Pagado]]</f>
        <v>0</v>
      </c>
      <c r="H934" s="75" t="s">
        <v>10</v>
      </c>
    </row>
    <row r="935" spans="1:8" x14ac:dyDescent="0.25">
      <c r="A935" s="148">
        <v>44751</v>
      </c>
      <c r="B935" s="149" t="s">
        <v>22234</v>
      </c>
      <c r="C935" s="153" t="s">
        <v>16</v>
      </c>
      <c r="D935" s="154">
        <v>6424.3</v>
      </c>
      <c r="E935" s="155">
        <v>44751</v>
      </c>
      <c r="F935" s="154">
        <v>6424.3</v>
      </c>
      <c r="G935" s="156">
        <f>Tabla18[[#This Row],[Importe]]-Tabla18[[#This Row],[Pagado]]</f>
        <v>0</v>
      </c>
      <c r="H935" s="153" t="s">
        <v>10</v>
      </c>
    </row>
    <row r="936" spans="1:8" x14ac:dyDescent="0.25">
      <c r="A936" s="73">
        <v>44751</v>
      </c>
      <c r="B936" s="74" t="s">
        <v>22235</v>
      </c>
      <c r="C936" s="75" t="s">
        <v>11033</v>
      </c>
      <c r="D936" s="81">
        <v>1848</v>
      </c>
      <c r="E936" s="151">
        <v>44751</v>
      </c>
      <c r="F936" s="81">
        <v>1848</v>
      </c>
      <c r="G936" s="156">
        <f>Tabla18[[#This Row],[Importe]]-Tabla18[[#This Row],[Pagado]]</f>
        <v>0</v>
      </c>
      <c r="H936" s="75" t="s">
        <v>10</v>
      </c>
    </row>
    <row r="937" spans="1:8" x14ac:dyDescent="0.25">
      <c r="A937" s="148">
        <v>44751</v>
      </c>
      <c r="B937" s="149" t="s">
        <v>22236</v>
      </c>
      <c r="C937" s="153" t="s">
        <v>79</v>
      </c>
      <c r="D937" s="154">
        <v>30078.2</v>
      </c>
      <c r="E937" s="155">
        <v>44751</v>
      </c>
      <c r="F937" s="154">
        <v>30078.2</v>
      </c>
      <c r="G937" s="156">
        <f>Tabla18[[#This Row],[Importe]]-Tabla18[[#This Row],[Pagado]]</f>
        <v>0</v>
      </c>
      <c r="H937" s="153" t="s">
        <v>10</v>
      </c>
    </row>
    <row r="938" spans="1:8" x14ac:dyDescent="0.25">
      <c r="A938" s="73">
        <v>44751</v>
      </c>
      <c r="B938" s="74" t="s">
        <v>22237</v>
      </c>
      <c r="C938" s="75" t="s">
        <v>380</v>
      </c>
      <c r="D938" s="81">
        <v>10582</v>
      </c>
      <c r="E938" s="151">
        <v>44751</v>
      </c>
      <c r="F938" s="81">
        <v>10582</v>
      </c>
      <c r="G938" s="156">
        <f>Tabla18[[#This Row],[Importe]]-Tabla18[[#This Row],[Pagado]]</f>
        <v>0</v>
      </c>
      <c r="H938" s="75" t="s">
        <v>10</v>
      </c>
    </row>
    <row r="939" spans="1:8" x14ac:dyDescent="0.25">
      <c r="A939" s="148">
        <v>44751</v>
      </c>
      <c r="B939" s="149" t="s">
        <v>22238</v>
      </c>
      <c r="C939" s="153" t="s">
        <v>15039</v>
      </c>
      <c r="D939" s="154">
        <v>4651.2</v>
      </c>
      <c r="E939" s="155">
        <v>44751</v>
      </c>
      <c r="F939" s="154">
        <v>4651.2</v>
      </c>
      <c r="G939" s="156">
        <f>Tabla18[[#This Row],[Importe]]-Tabla18[[#This Row],[Pagado]]</f>
        <v>0</v>
      </c>
      <c r="H939" s="153" t="s">
        <v>10</v>
      </c>
    </row>
    <row r="940" spans="1:8" x14ac:dyDescent="0.25">
      <c r="A940" s="73">
        <v>44751</v>
      </c>
      <c r="B940" s="74" t="s">
        <v>22239</v>
      </c>
      <c r="C940" s="75" t="s">
        <v>348</v>
      </c>
      <c r="D940" s="81">
        <v>4314.6000000000004</v>
      </c>
      <c r="E940" s="151">
        <v>44751</v>
      </c>
      <c r="F940" s="81">
        <v>4314.6000000000004</v>
      </c>
      <c r="G940" s="156">
        <f>Tabla18[[#This Row],[Importe]]-Tabla18[[#This Row],[Pagado]]</f>
        <v>0</v>
      </c>
      <c r="H940" s="75" t="s">
        <v>10</v>
      </c>
    </row>
    <row r="941" spans="1:8" x14ac:dyDescent="0.25">
      <c r="A941" s="148">
        <v>44751</v>
      </c>
      <c r="B941" s="149" t="s">
        <v>22240</v>
      </c>
      <c r="C941" s="153" t="s">
        <v>224</v>
      </c>
      <c r="D941" s="154">
        <v>360</v>
      </c>
      <c r="E941" s="155">
        <v>44751</v>
      </c>
      <c r="F941" s="154">
        <v>360</v>
      </c>
      <c r="G941" s="156">
        <f>Tabla18[[#This Row],[Importe]]-Tabla18[[#This Row],[Pagado]]</f>
        <v>0</v>
      </c>
      <c r="H941" s="153" t="s">
        <v>10</v>
      </c>
    </row>
    <row r="942" spans="1:8" x14ac:dyDescent="0.25">
      <c r="A942" s="73">
        <v>44751</v>
      </c>
      <c r="B942" s="74" t="s">
        <v>22241</v>
      </c>
      <c r="C942" s="75" t="s">
        <v>142</v>
      </c>
      <c r="D942" s="81">
        <v>39927.050000000003</v>
      </c>
      <c r="E942" s="151">
        <v>44799</v>
      </c>
      <c r="F942" s="81">
        <v>39927.050000000003</v>
      </c>
      <c r="G942" s="156">
        <f>Tabla18[[#This Row],[Importe]]-Tabla18[[#This Row],[Pagado]]</f>
        <v>0</v>
      </c>
      <c r="H942" s="75" t="s">
        <v>10</v>
      </c>
    </row>
    <row r="943" spans="1:8" x14ac:dyDescent="0.25">
      <c r="A943" s="148">
        <v>44751</v>
      </c>
      <c r="B943" s="149" t="s">
        <v>22242</v>
      </c>
      <c r="C943" s="153" t="s">
        <v>43</v>
      </c>
      <c r="D943" s="154">
        <v>54188.800000000003</v>
      </c>
      <c r="E943" s="155">
        <v>44755</v>
      </c>
      <c r="F943" s="154">
        <v>54188.800000000003</v>
      </c>
      <c r="G943" s="156">
        <f>Tabla18[[#This Row],[Importe]]-Tabla18[[#This Row],[Pagado]]</f>
        <v>0</v>
      </c>
      <c r="H943" s="153" t="s">
        <v>10</v>
      </c>
    </row>
    <row r="944" spans="1:8" x14ac:dyDescent="0.25">
      <c r="A944" s="73">
        <v>44751</v>
      </c>
      <c r="B944" s="74" t="s">
        <v>22243</v>
      </c>
      <c r="C944" s="75" t="s">
        <v>31</v>
      </c>
      <c r="D944" s="81">
        <v>7448</v>
      </c>
      <c r="E944" s="151">
        <v>44751</v>
      </c>
      <c r="F944" s="81">
        <v>7448</v>
      </c>
      <c r="G944" s="156">
        <f>Tabla18[[#This Row],[Importe]]-Tabla18[[#This Row],[Pagado]]</f>
        <v>0</v>
      </c>
      <c r="H944" s="75" t="s">
        <v>10</v>
      </c>
    </row>
    <row r="945" spans="1:8" x14ac:dyDescent="0.25">
      <c r="A945" s="148">
        <v>44751</v>
      </c>
      <c r="B945" s="149" t="s">
        <v>22244</v>
      </c>
      <c r="C945" s="153" t="s">
        <v>127</v>
      </c>
      <c r="D945" s="154">
        <v>6232.5</v>
      </c>
      <c r="E945" s="155">
        <v>44751</v>
      </c>
      <c r="F945" s="154">
        <v>6232.5</v>
      </c>
      <c r="G945" s="156">
        <f>Tabla18[[#This Row],[Importe]]-Tabla18[[#This Row],[Pagado]]</f>
        <v>0</v>
      </c>
      <c r="H945" s="153" t="s">
        <v>10</v>
      </c>
    </row>
    <row r="946" spans="1:8" x14ac:dyDescent="0.25">
      <c r="A946" s="73">
        <v>44751</v>
      </c>
      <c r="B946" s="74" t="s">
        <v>22245</v>
      </c>
      <c r="C946" s="75" t="s">
        <v>140</v>
      </c>
      <c r="D946" s="81">
        <v>5445</v>
      </c>
      <c r="E946" s="151">
        <v>44751</v>
      </c>
      <c r="F946" s="81">
        <v>5445</v>
      </c>
      <c r="G946" s="156">
        <f>Tabla18[[#This Row],[Importe]]-Tabla18[[#This Row],[Pagado]]</f>
        <v>0</v>
      </c>
      <c r="H946" s="75" t="s">
        <v>10</v>
      </c>
    </row>
    <row r="947" spans="1:8" x14ac:dyDescent="0.25">
      <c r="A947" s="148">
        <v>44751</v>
      </c>
      <c r="B947" s="149" t="s">
        <v>22246</v>
      </c>
      <c r="C947" s="153" t="s">
        <v>129</v>
      </c>
      <c r="D947" s="154">
        <v>4822.5</v>
      </c>
      <c r="E947" s="155">
        <v>44751</v>
      </c>
      <c r="F947" s="154">
        <v>4822.5</v>
      </c>
      <c r="G947" s="156">
        <f>Tabla18[[#This Row],[Importe]]-Tabla18[[#This Row],[Pagado]]</f>
        <v>0</v>
      </c>
      <c r="H947" s="153" t="s">
        <v>10</v>
      </c>
    </row>
    <row r="948" spans="1:8" x14ac:dyDescent="0.25">
      <c r="A948" s="73">
        <v>44751</v>
      </c>
      <c r="B948" s="74" t="s">
        <v>22247</v>
      </c>
      <c r="C948" s="75" t="s">
        <v>314</v>
      </c>
      <c r="D948" s="81">
        <v>5009.8</v>
      </c>
      <c r="E948" s="151">
        <v>44751</v>
      </c>
      <c r="F948" s="81">
        <v>5009.8</v>
      </c>
      <c r="G948" s="156">
        <f>Tabla18[[#This Row],[Importe]]-Tabla18[[#This Row],[Pagado]]</f>
        <v>0</v>
      </c>
      <c r="H948" s="75" t="s">
        <v>10</v>
      </c>
    </row>
    <row r="949" spans="1:8" x14ac:dyDescent="0.25">
      <c r="A949" s="148">
        <v>44751</v>
      </c>
      <c r="B949" s="149" t="s">
        <v>22248</v>
      </c>
      <c r="C949" s="153" t="s">
        <v>31</v>
      </c>
      <c r="D949" s="154">
        <v>5007.5</v>
      </c>
      <c r="E949" s="155">
        <v>44751</v>
      </c>
      <c r="F949" s="154">
        <v>5007.5</v>
      </c>
      <c r="G949" s="156">
        <f>Tabla18[[#This Row],[Importe]]-Tabla18[[#This Row],[Pagado]]</f>
        <v>0</v>
      </c>
      <c r="H949" s="153" t="s">
        <v>10</v>
      </c>
    </row>
    <row r="950" spans="1:8" x14ac:dyDescent="0.25">
      <c r="A950" s="73">
        <v>44751</v>
      </c>
      <c r="B950" s="74" t="s">
        <v>22249</v>
      </c>
      <c r="C950" s="75" t="s">
        <v>87</v>
      </c>
      <c r="D950" s="81">
        <v>7826.8</v>
      </c>
      <c r="E950" s="151">
        <v>44751</v>
      </c>
      <c r="F950" s="81">
        <v>7826.8</v>
      </c>
      <c r="G950" s="156">
        <f>Tabla18[[#This Row],[Importe]]-Tabla18[[#This Row],[Pagado]]</f>
        <v>0</v>
      </c>
      <c r="H950" s="75" t="s">
        <v>10</v>
      </c>
    </row>
    <row r="951" spans="1:8" x14ac:dyDescent="0.25">
      <c r="A951" s="148">
        <v>44751</v>
      </c>
      <c r="B951" s="149" t="s">
        <v>22250</v>
      </c>
      <c r="C951" s="153" t="s">
        <v>140</v>
      </c>
      <c r="D951" s="154">
        <v>585.20000000000005</v>
      </c>
      <c r="E951" s="155">
        <v>44751</v>
      </c>
      <c r="F951" s="154">
        <v>585.20000000000005</v>
      </c>
      <c r="G951" s="156">
        <f>Tabla18[[#This Row],[Importe]]-Tabla18[[#This Row],[Pagado]]</f>
        <v>0</v>
      </c>
      <c r="H951" s="153" t="s">
        <v>10</v>
      </c>
    </row>
    <row r="952" spans="1:8" x14ac:dyDescent="0.25">
      <c r="A952" s="73">
        <v>44751</v>
      </c>
      <c r="B952" s="74" t="s">
        <v>22251</v>
      </c>
      <c r="C952" s="75" t="s">
        <v>129</v>
      </c>
      <c r="D952" s="81">
        <v>1451.6</v>
      </c>
      <c r="E952" s="151">
        <v>44751</v>
      </c>
      <c r="F952" s="81">
        <v>1451.6</v>
      </c>
      <c r="G952" s="156">
        <f>Tabla18[[#This Row],[Importe]]-Tabla18[[#This Row],[Pagado]]</f>
        <v>0</v>
      </c>
      <c r="H952" s="75" t="s">
        <v>10</v>
      </c>
    </row>
    <row r="953" spans="1:8" x14ac:dyDescent="0.25">
      <c r="A953" s="148">
        <v>44751</v>
      </c>
      <c r="B953" s="149" t="s">
        <v>22252</v>
      </c>
      <c r="C953" s="153" t="s">
        <v>45</v>
      </c>
      <c r="D953" s="154">
        <v>14807.7</v>
      </c>
      <c r="E953" s="155">
        <v>44751</v>
      </c>
      <c r="F953" s="154">
        <v>14807.7</v>
      </c>
      <c r="G953" s="156">
        <f>Tabla18[[#This Row],[Importe]]-Tabla18[[#This Row],[Pagado]]</f>
        <v>0</v>
      </c>
      <c r="H953" s="153" t="s">
        <v>10</v>
      </c>
    </row>
    <row r="954" spans="1:8" x14ac:dyDescent="0.25">
      <c r="A954" s="73">
        <v>44751</v>
      </c>
      <c r="B954" s="74" t="s">
        <v>22253</v>
      </c>
      <c r="C954" s="75" t="s">
        <v>146</v>
      </c>
      <c r="D954" s="81">
        <v>11274.1</v>
      </c>
      <c r="E954" s="151">
        <v>44751</v>
      </c>
      <c r="F954" s="81">
        <v>11274.1</v>
      </c>
      <c r="G954" s="156">
        <f>Tabla18[[#This Row],[Importe]]-Tabla18[[#This Row],[Pagado]]</f>
        <v>0</v>
      </c>
      <c r="H954" s="75" t="s">
        <v>10</v>
      </c>
    </row>
    <row r="955" spans="1:8" x14ac:dyDescent="0.25">
      <c r="A955" s="148">
        <v>44751</v>
      </c>
      <c r="B955" s="149" t="s">
        <v>22254</v>
      </c>
      <c r="C955" s="153" t="s">
        <v>56</v>
      </c>
      <c r="D955" s="154">
        <v>9555</v>
      </c>
      <c r="E955" s="155">
        <v>44751</v>
      </c>
      <c r="F955" s="154">
        <v>9555</v>
      </c>
      <c r="G955" s="156">
        <f>Tabla18[[#This Row],[Importe]]-Tabla18[[#This Row],[Pagado]]</f>
        <v>0</v>
      </c>
      <c r="H955" s="153" t="s">
        <v>10</v>
      </c>
    </row>
    <row r="956" spans="1:8" x14ac:dyDescent="0.25">
      <c r="A956" s="73">
        <v>44751</v>
      </c>
      <c r="B956" s="74" t="s">
        <v>22255</v>
      </c>
      <c r="C956" s="75" t="s">
        <v>107</v>
      </c>
      <c r="D956" s="81">
        <v>35801.599999999999</v>
      </c>
      <c r="E956" s="151">
        <v>44751</v>
      </c>
      <c r="F956" s="81">
        <v>35801.599999999999</v>
      </c>
      <c r="G956" s="156">
        <f>Tabla18[[#This Row],[Importe]]-Tabla18[[#This Row],[Pagado]]</f>
        <v>0</v>
      </c>
      <c r="H956" s="75" t="s">
        <v>10</v>
      </c>
    </row>
    <row r="957" spans="1:8" x14ac:dyDescent="0.25">
      <c r="A957" s="148">
        <v>44751</v>
      </c>
      <c r="B957" s="149" t="s">
        <v>22256</v>
      </c>
      <c r="C957" s="153" t="s">
        <v>333</v>
      </c>
      <c r="D957" s="154">
        <v>1541.6</v>
      </c>
      <c r="E957" s="155">
        <v>44751</v>
      </c>
      <c r="F957" s="154">
        <v>1541.6</v>
      </c>
      <c r="G957" s="156">
        <f>Tabla18[[#This Row],[Importe]]-Tabla18[[#This Row],[Pagado]]</f>
        <v>0</v>
      </c>
      <c r="H957" s="153" t="s">
        <v>10</v>
      </c>
    </row>
    <row r="958" spans="1:8" x14ac:dyDescent="0.25">
      <c r="A958" s="73">
        <v>44751</v>
      </c>
      <c r="B958" s="74" t="s">
        <v>22257</v>
      </c>
      <c r="C958" s="75" t="s">
        <v>664</v>
      </c>
      <c r="D958" s="81">
        <v>15283.6</v>
      </c>
      <c r="E958" s="151">
        <v>44751</v>
      </c>
      <c r="F958" s="81">
        <v>15283.6</v>
      </c>
      <c r="G958" s="156">
        <f>Tabla18[[#This Row],[Importe]]-Tabla18[[#This Row],[Pagado]]</f>
        <v>0</v>
      </c>
      <c r="H958" s="75" t="s">
        <v>10</v>
      </c>
    </row>
    <row r="959" spans="1:8" x14ac:dyDescent="0.25">
      <c r="A959" s="148">
        <v>44751</v>
      </c>
      <c r="B959" s="149" t="s">
        <v>22258</v>
      </c>
      <c r="C959" s="153" t="s">
        <v>409</v>
      </c>
      <c r="D959" s="154">
        <v>5635.2</v>
      </c>
      <c r="E959" s="155">
        <v>44754</v>
      </c>
      <c r="F959" s="154">
        <v>5635.2</v>
      </c>
      <c r="G959" s="156">
        <f>Tabla18[[#This Row],[Importe]]-Tabla18[[#This Row],[Pagado]]</f>
        <v>0</v>
      </c>
      <c r="H959" s="153" t="s">
        <v>10</v>
      </c>
    </row>
    <row r="960" spans="1:8" x14ac:dyDescent="0.25">
      <c r="A960" s="73">
        <v>44751</v>
      </c>
      <c r="B960" s="74" t="s">
        <v>22259</v>
      </c>
      <c r="C960" s="75" t="s">
        <v>29</v>
      </c>
      <c r="D960" s="81">
        <v>8154.8</v>
      </c>
      <c r="E960" s="151">
        <v>44751</v>
      </c>
      <c r="F960" s="81">
        <v>8154.8</v>
      </c>
      <c r="G960" s="156">
        <f>Tabla18[[#This Row],[Importe]]-Tabla18[[#This Row],[Pagado]]</f>
        <v>0</v>
      </c>
      <c r="H960" s="75" t="s">
        <v>10</v>
      </c>
    </row>
    <row r="961" spans="1:8" x14ac:dyDescent="0.25">
      <c r="A961" s="148">
        <v>44751</v>
      </c>
      <c r="B961" s="149" t="s">
        <v>22260</v>
      </c>
      <c r="C961" s="153" t="s">
        <v>31</v>
      </c>
      <c r="D961" s="154">
        <v>2217.6</v>
      </c>
      <c r="E961" s="155">
        <v>44751</v>
      </c>
      <c r="F961" s="154">
        <v>2217.6</v>
      </c>
      <c r="G961" s="156">
        <f>Tabla18[[#This Row],[Importe]]-Tabla18[[#This Row],[Pagado]]</f>
        <v>0</v>
      </c>
      <c r="H961" s="153" t="s">
        <v>10</v>
      </c>
    </row>
    <row r="962" spans="1:8" x14ac:dyDescent="0.25">
      <c r="A962" s="73">
        <v>44751</v>
      </c>
      <c r="B962" s="74" t="s">
        <v>22261</v>
      </c>
      <c r="C962" s="75" t="s">
        <v>1003</v>
      </c>
      <c r="D962" s="81">
        <v>2864.4</v>
      </c>
      <c r="E962" s="151">
        <v>44752</v>
      </c>
      <c r="F962" s="81">
        <v>2864.4</v>
      </c>
      <c r="G962" s="156">
        <f>Tabla18[[#This Row],[Importe]]-Tabla18[[#This Row],[Pagado]]</f>
        <v>0</v>
      </c>
      <c r="H962" s="75" t="s">
        <v>10</v>
      </c>
    </row>
    <row r="963" spans="1:8" x14ac:dyDescent="0.25">
      <c r="A963" s="148">
        <v>44751</v>
      </c>
      <c r="B963" s="149" t="s">
        <v>22262</v>
      </c>
      <c r="C963" s="153" t="s">
        <v>22263</v>
      </c>
      <c r="D963" s="154">
        <v>0</v>
      </c>
      <c r="E963" s="158" t="s">
        <v>189</v>
      </c>
      <c r="F963" s="154">
        <v>0</v>
      </c>
      <c r="G963" s="156">
        <f>Tabla18[[#This Row],[Importe]]-Tabla18[[#This Row],[Pagado]]</f>
        <v>0</v>
      </c>
      <c r="H963" s="153" t="s">
        <v>189</v>
      </c>
    </row>
    <row r="964" spans="1:8" x14ac:dyDescent="0.25">
      <c r="A964" s="73">
        <v>44751</v>
      </c>
      <c r="B964" s="74" t="s">
        <v>22264</v>
      </c>
      <c r="C964" s="75" t="s">
        <v>698</v>
      </c>
      <c r="D964" s="81">
        <v>3982.5</v>
      </c>
      <c r="E964" s="151">
        <v>44751</v>
      </c>
      <c r="F964" s="81">
        <v>3982.5</v>
      </c>
      <c r="G964" s="156">
        <f>Tabla18[[#This Row],[Importe]]-Tabla18[[#This Row],[Pagado]]</f>
        <v>0</v>
      </c>
      <c r="H964" s="75" t="s">
        <v>10</v>
      </c>
    </row>
    <row r="965" spans="1:8" x14ac:dyDescent="0.25">
      <c r="A965" s="148">
        <v>44751</v>
      </c>
      <c r="B965" s="149" t="s">
        <v>22265</v>
      </c>
      <c r="C965" s="153" t="s">
        <v>3971</v>
      </c>
      <c r="D965" s="154">
        <v>1221</v>
      </c>
      <c r="E965" s="155">
        <v>44751</v>
      </c>
      <c r="F965" s="154">
        <v>1221</v>
      </c>
      <c r="G965" s="156">
        <f>Tabla18[[#This Row],[Importe]]-Tabla18[[#This Row],[Pagado]]</f>
        <v>0</v>
      </c>
      <c r="H965" s="153" t="s">
        <v>10</v>
      </c>
    </row>
    <row r="966" spans="1:8" x14ac:dyDescent="0.25">
      <c r="A966" s="73">
        <v>44751</v>
      </c>
      <c r="B966" s="74" t="s">
        <v>22266</v>
      </c>
      <c r="C966" s="75" t="s">
        <v>216</v>
      </c>
      <c r="D966" s="81">
        <v>2627</v>
      </c>
      <c r="E966" s="151">
        <v>44751</v>
      </c>
      <c r="F966" s="81">
        <v>2627</v>
      </c>
      <c r="G966" s="156">
        <f>Tabla18[[#This Row],[Importe]]-Tabla18[[#This Row],[Pagado]]</f>
        <v>0</v>
      </c>
      <c r="H966" s="75" t="s">
        <v>10</v>
      </c>
    </row>
    <row r="967" spans="1:8" x14ac:dyDescent="0.25">
      <c r="A967" s="148">
        <v>44751</v>
      </c>
      <c r="B967" s="149" t="s">
        <v>22267</v>
      </c>
      <c r="C967" s="153" t="s">
        <v>230</v>
      </c>
      <c r="D967" s="154">
        <v>8430.2000000000007</v>
      </c>
      <c r="E967" s="155">
        <v>44751</v>
      </c>
      <c r="F967" s="154">
        <v>8430.2000000000007</v>
      </c>
      <c r="G967" s="156">
        <f>Tabla18[[#This Row],[Importe]]-Tabla18[[#This Row],[Pagado]]</f>
        <v>0</v>
      </c>
      <c r="H967" s="153" t="s">
        <v>10</v>
      </c>
    </row>
    <row r="968" spans="1:8" x14ac:dyDescent="0.25">
      <c r="A968" s="73">
        <v>44751</v>
      </c>
      <c r="B968" s="74" t="s">
        <v>22268</v>
      </c>
      <c r="C968" s="75" t="s">
        <v>1275</v>
      </c>
      <c r="D968" s="81">
        <v>34143.5</v>
      </c>
      <c r="E968" s="151">
        <v>44751</v>
      </c>
      <c r="F968" s="81">
        <v>34143.5</v>
      </c>
      <c r="G968" s="156">
        <f>Tabla18[[#This Row],[Importe]]-Tabla18[[#This Row],[Pagado]]</f>
        <v>0</v>
      </c>
      <c r="H968" s="75" t="s">
        <v>10</v>
      </c>
    </row>
    <row r="969" spans="1:8" x14ac:dyDescent="0.25">
      <c r="A969" s="148">
        <v>44751</v>
      </c>
      <c r="B969" s="149" t="s">
        <v>22269</v>
      </c>
      <c r="C969" s="153" t="s">
        <v>3971</v>
      </c>
      <c r="D969" s="154">
        <v>19379.400000000001</v>
      </c>
      <c r="E969" s="155">
        <v>44751</v>
      </c>
      <c r="F969" s="154">
        <v>19379.400000000001</v>
      </c>
      <c r="G969" s="156">
        <f>Tabla18[[#This Row],[Importe]]-Tabla18[[#This Row],[Pagado]]</f>
        <v>0</v>
      </c>
      <c r="H969" s="153" t="s">
        <v>10</v>
      </c>
    </row>
    <row r="970" spans="1:8" x14ac:dyDescent="0.25">
      <c r="A970" s="73">
        <v>44751</v>
      </c>
      <c r="B970" s="74" t="s">
        <v>22270</v>
      </c>
      <c r="C970" s="75" t="s">
        <v>407</v>
      </c>
      <c r="D970" s="81">
        <v>42007</v>
      </c>
      <c r="E970" s="151">
        <v>44751</v>
      </c>
      <c r="F970" s="81">
        <v>42007</v>
      </c>
      <c r="G970" s="156">
        <f>Tabla18[[#This Row],[Importe]]-Tabla18[[#This Row],[Pagado]]</f>
        <v>0</v>
      </c>
      <c r="H970" s="75" t="s">
        <v>10</v>
      </c>
    </row>
    <row r="971" spans="1:8" x14ac:dyDescent="0.25">
      <c r="A971" s="148">
        <v>44751</v>
      </c>
      <c r="B971" s="149" t="s">
        <v>22271</v>
      </c>
      <c r="C971" s="153" t="s">
        <v>670</v>
      </c>
      <c r="D971" s="154">
        <v>3024</v>
      </c>
      <c r="E971" s="155">
        <v>44751</v>
      </c>
      <c r="F971" s="154">
        <v>3024</v>
      </c>
      <c r="G971" s="156">
        <f>Tabla18[[#This Row],[Importe]]-Tabla18[[#This Row],[Pagado]]</f>
        <v>0</v>
      </c>
      <c r="H971" s="153" t="s">
        <v>10</v>
      </c>
    </row>
    <row r="972" spans="1:8" x14ac:dyDescent="0.25">
      <c r="A972" s="73">
        <v>44751</v>
      </c>
      <c r="B972" s="74" t="s">
        <v>22272</v>
      </c>
      <c r="C972" s="75" t="s">
        <v>414</v>
      </c>
      <c r="D972" s="81">
        <v>22377.599999999999</v>
      </c>
      <c r="E972" s="151">
        <v>44761</v>
      </c>
      <c r="F972" s="81">
        <v>22377.599999999999</v>
      </c>
      <c r="G972" s="156">
        <f>Tabla18[[#This Row],[Importe]]-Tabla18[[#This Row],[Pagado]]</f>
        <v>0</v>
      </c>
      <c r="H972" s="75" t="s">
        <v>10</v>
      </c>
    </row>
    <row r="973" spans="1:8" x14ac:dyDescent="0.25">
      <c r="A973" s="148">
        <v>44751</v>
      </c>
      <c r="B973" s="149" t="s">
        <v>22273</v>
      </c>
      <c r="C973" s="153" t="s">
        <v>24</v>
      </c>
      <c r="D973" s="154">
        <v>2851.3</v>
      </c>
      <c r="E973" s="155">
        <v>44751</v>
      </c>
      <c r="F973" s="154">
        <v>2851.3</v>
      </c>
      <c r="G973" s="156">
        <f>Tabla18[[#This Row],[Importe]]-Tabla18[[#This Row],[Pagado]]</f>
        <v>0</v>
      </c>
      <c r="H973" s="153" t="s">
        <v>10</v>
      </c>
    </row>
    <row r="974" spans="1:8" x14ac:dyDescent="0.25">
      <c r="A974" s="73">
        <v>44751</v>
      </c>
      <c r="B974" s="74" t="s">
        <v>22274</v>
      </c>
      <c r="C974" s="75" t="s">
        <v>31</v>
      </c>
      <c r="D974" s="81">
        <v>147</v>
      </c>
      <c r="E974" s="151">
        <v>44751</v>
      </c>
      <c r="F974" s="81">
        <v>147</v>
      </c>
      <c r="G974" s="156">
        <f>Tabla18[[#This Row],[Importe]]-Tabla18[[#This Row],[Pagado]]</f>
        <v>0</v>
      </c>
      <c r="H974" s="75" t="s">
        <v>10</v>
      </c>
    </row>
    <row r="975" spans="1:8" x14ac:dyDescent="0.25">
      <c r="A975" s="148">
        <v>44751</v>
      </c>
      <c r="B975" s="149" t="s">
        <v>22275</v>
      </c>
      <c r="C975" s="153" t="s">
        <v>191</v>
      </c>
      <c r="D975" s="154">
        <v>1930.4</v>
      </c>
      <c r="E975" s="155">
        <v>44751</v>
      </c>
      <c r="F975" s="154">
        <v>1930.4</v>
      </c>
      <c r="G975" s="156">
        <f>Tabla18[[#This Row],[Importe]]-Tabla18[[#This Row],[Pagado]]</f>
        <v>0</v>
      </c>
      <c r="H975" s="153" t="s">
        <v>10</v>
      </c>
    </row>
    <row r="976" spans="1:8" x14ac:dyDescent="0.25">
      <c r="A976" s="73">
        <v>44751</v>
      </c>
      <c r="B976" s="74" t="s">
        <v>22276</v>
      </c>
      <c r="C976" s="75" t="s">
        <v>11383</v>
      </c>
      <c r="D976" s="81">
        <v>12691.4</v>
      </c>
      <c r="E976" s="151">
        <v>44751</v>
      </c>
      <c r="F976" s="81">
        <v>12691.4</v>
      </c>
      <c r="G976" s="156">
        <f>Tabla18[[#This Row],[Importe]]-Tabla18[[#This Row],[Pagado]]</f>
        <v>0</v>
      </c>
      <c r="H976" s="75" t="s">
        <v>10</v>
      </c>
    </row>
    <row r="977" spans="1:8" x14ac:dyDescent="0.25">
      <c r="A977" s="148">
        <v>44751</v>
      </c>
      <c r="B977" s="149" t="s">
        <v>22277</v>
      </c>
      <c r="C977" s="153" t="s">
        <v>4136</v>
      </c>
      <c r="D977" s="154">
        <v>3403.2</v>
      </c>
      <c r="E977" s="155">
        <v>44751</v>
      </c>
      <c r="F977" s="154">
        <v>3403.2</v>
      </c>
      <c r="G977" s="156">
        <f>Tabla18[[#This Row],[Importe]]-Tabla18[[#This Row],[Pagado]]</f>
        <v>0</v>
      </c>
      <c r="H977" s="153" t="s">
        <v>10</v>
      </c>
    </row>
    <row r="978" spans="1:8" x14ac:dyDescent="0.25">
      <c r="A978" s="73">
        <v>44751</v>
      </c>
      <c r="B978" s="74" t="s">
        <v>22278</v>
      </c>
      <c r="C978" s="75" t="s">
        <v>31</v>
      </c>
      <c r="D978" s="81">
        <v>2316.1999999999998</v>
      </c>
      <c r="E978" s="151">
        <v>44751</v>
      </c>
      <c r="F978" s="81">
        <v>2316.1999999999998</v>
      </c>
      <c r="G978" s="156">
        <f>Tabla18[[#This Row],[Importe]]-Tabla18[[#This Row],[Pagado]]</f>
        <v>0</v>
      </c>
      <c r="H978" s="75" t="s">
        <v>10</v>
      </c>
    </row>
    <row r="979" spans="1:8" x14ac:dyDescent="0.25">
      <c r="A979" s="148">
        <v>44751</v>
      </c>
      <c r="B979" s="149" t="s">
        <v>22279</v>
      </c>
      <c r="C979" s="153" t="s">
        <v>31</v>
      </c>
      <c r="D979" s="154">
        <v>1332</v>
      </c>
      <c r="E979" s="155">
        <v>44751</v>
      </c>
      <c r="F979" s="154">
        <v>1332</v>
      </c>
      <c r="G979" s="156">
        <f>Tabla18[[#This Row],[Importe]]-Tabla18[[#This Row],[Pagado]]</f>
        <v>0</v>
      </c>
      <c r="H979" s="153" t="s">
        <v>10</v>
      </c>
    </row>
    <row r="980" spans="1:8" x14ac:dyDescent="0.25">
      <c r="A980" s="73">
        <v>44751</v>
      </c>
      <c r="B980" s="74" t="s">
        <v>22280</v>
      </c>
      <c r="C980" s="75" t="s">
        <v>31</v>
      </c>
      <c r="D980" s="81">
        <v>1824</v>
      </c>
      <c r="E980" s="151">
        <v>44751</v>
      </c>
      <c r="F980" s="81">
        <v>1824</v>
      </c>
      <c r="G980" s="156">
        <f>Tabla18[[#This Row],[Importe]]-Tabla18[[#This Row],[Pagado]]</f>
        <v>0</v>
      </c>
      <c r="H980" s="75" t="s">
        <v>10</v>
      </c>
    </row>
    <row r="981" spans="1:8" x14ac:dyDescent="0.25">
      <c r="A981" s="148">
        <v>44751</v>
      </c>
      <c r="B981" s="149" t="s">
        <v>22281</v>
      </c>
      <c r="C981" s="153" t="s">
        <v>3402</v>
      </c>
      <c r="D981" s="154">
        <v>1291.2</v>
      </c>
      <c r="E981" s="155">
        <v>44751</v>
      </c>
      <c r="F981" s="154">
        <v>1291.2</v>
      </c>
      <c r="G981" s="156">
        <f>Tabla18[[#This Row],[Importe]]-Tabla18[[#This Row],[Pagado]]</f>
        <v>0</v>
      </c>
      <c r="H981" s="153" t="s">
        <v>10</v>
      </c>
    </row>
    <row r="982" spans="1:8" x14ac:dyDescent="0.25">
      <c r="A982" s="73">
        <v>44751</v>
      </c>
      <c r="B982" s="74" t="s">
        <v>22282</v>
      </c>
      <c r="C982" s="75" t="s">
        <v>53</v>
      </c>
      <c r="D982" s="81">
        <v>3047.6</v>
      </c>
      <c r="E982" s="151">
        <v>44751</v>
      </c>
      <c r="F982" s="81">
        <v>3047.6</v>
      </c>
      <c r="G982" s="156">
        <f>Tabla18[[#This Row],[Importe]]-Tabla18[[#This Row],[Pagado]]</f>
        <v>0</v>
      </c>
      <c r="H982" s="75" t="s">
        <v>10</v>
      </c>
    </row>
    <row r="983" spans="1:8" x14ac:dyDescent="0.25">
      <c r="A983" s="148">
        <v>44751</v>
      </c>
      <c r="B983" s="149" t="s">
        <v>22283</v>
      </c>
      <c r="C983" s="153" t="s">
        <v>131</v>
      </c>
      <c r="D983" s="154">
        <v>7644.2</v>
      </c>
      <c r="E983" s="155">
        <v>44751</v>
      </c>
      <c r="F983" s="154">
        <v>7644.2</v>
      </c>
      <c r="G983" s="156">
        <f>Tabla18[[#This Row],[Importe]]-Tabla18[[#This Row],[Pagado]]</f>
        <v>0</v>
      </c>
      <c r="H983" s="153" t="s">
        <v>10</v>
      </c>
    </row>
    <row r="984" spans="1:8" x14ac:dyDescent="0.25">
      <c r="A984" s="73">
        <v>44751</v>
      </c>
      <c r="B984" s="74" t="s">
        <v>22284</v>
      </c>
      <c r="C984" s="75" t="s">
        <v>179</v>
      </c>
      <c r="D984" s="81">
        <v>1258</v>
      </c>
      <c r="E984" s="151">
        <v>44751</v>
      </c>
      <c r="F984" s="81">
        <v>1258</v>
      </c>
      <c r="G984" s="156">
        <f>Tabla18[[#This Row],[Importe]]-Tabla18[[#This Row],[Pagado]]</f>
        <v>0</v>
      </c>
      <c r="H984" s="75" t="s">
        <v>10</v>
      </c>
    </row>
    <row r="985" spans="1:8" x14ac:dyDescent="0.25">
      <c r="A985" s="148">
        <v>44751</v>
      </c>
      <c r="B985" s="149" t="s">
        <v>22285</v>
      </c>
      <c r="C985" s="153" t="s">
        <v>58</v>
      </c>
      <c r="D985" s="154">
        <v>4042.6</v>
      </c>
      <c r="E985" s="155">
        <v>44751</v>
      </c>
      <c r="F985" s="154">
        <v>4042.6</v>
      </c>
      <c r="G985" s="156">
        <f>Tabla18[[#This Row],[Importe]]-Tabla18[[#This Row],[Pagado]]</f>
        <v>0</v>
      </c>
      <c r="H985" s="153" t="s">
        <v>10</v>
      </c>
    </row>
    <row r="986" spans="1:8" x14ac:dyDescent="0.25">
      <c r="A986" s="73">
        <v>44751</v>
      </c>
      <c r="B986" s="74" t="s">
        <v>22286</v>
      </c>
      <c r="C986" s="75" t="s">
        <v>1265</v>
      </c>
      <c r="D986" s="81">
        <v>633.6</v>
      </c>
      <c r="E986" s="151">
        <v>44751</v>
      </c>
      <c r="F986" s="81">
        <v>633.6</v>
      </c>
      <c r="G986" s="156">
        <f>Tabla18[[#This Row],[Importe]]-Tabla18[[#This Row],[Pagado]]</f>
        <v>0</v>
      </c>
      <c r="H986" s="75" t="s">
        <v>10</v>
      </c>
    </row>
    <row r="987" spans="1:8" x14ac:dyDescent="0.25">
      <c r="A987" s="148">
        <v>44751</v>
      </c>
      <c r="B987" s="149" t="s">
        <v>22287</v>
      </c>
      <c r="C987" s="153" t="s">
        <v>9827</v>
      </c>
      <c r="D987" s="154">
        <v>10260.6</v>
      </c>
      <c r="E987" s="155">
        <v>44751</v>
      </c>
      <c r="F987" s="154">
        <v>10260.6</v>
      </c>
      <c r="G987" s="156">
        <f>Tabla18[[#This Row],[Importe]]-Tabla18[[#This Row],[Pagado]]</f>
        <v>0</v>
      </c>
      <c r="H987" s="153" t="s">
        <v>10</v>
      </c>
    </row>
    <row r="988" spans="1:8" x14ac:dyDescent="0.25">
      <c r="A988" s="73">
        <v>44751</v>
      </c>
      <c r="B988" s="74" t="s">
        <v>22288</v>
      </c>
      <c r="C988" s="75" t="s">
        <v>62</v>
      </c>
      <c r="D988" s="81">
        <v>4207.5</v>
      </c>
      <c r="E988" s="151">
        <v>44751</v>
      </c>
      <c r="F988" s="81">
        <v>4207.5</v>
      </c>
      <c r="G988" s="156">
        <f>Tabla18[[#This Row],[Importe]]-Tabla18[[#This Row],[Pagado]]</f>
        <v>0</v>
      </c>
      <c r="H988" s="75" t="s">
        <v>10</v>
      </c>
    </row>
    <row r="989" spans="1:8" ht="31.5" x14ac:dyDescent="0.25">
      <c r="A989" s="148">
        <v>44751</v>
      </c>
      <c r="B989" s="149" t="s">
        <v>22289</v>
      </c>
      <c r="C989" s="153" t="s">
        <v>392</v>
      </c>
      <c r="D989" s="154">
        <v>22696.2</v>
      </c>
      <c r="E989" s="150" t="s">
        <v>22290</v>
      </c>
      <c r="F989" s="154">
        <f>17000+5696.2</f>
        <v>22696.2</v>
      </c>
      <c r="G989" s="156">
        <f>Tabla18[[#This Row],[Importe]]-Tabla18[[#This Row],[Pagado]]</f>
        <v>0</v>
      </c>
      <c r="H989" s="153" t="s">
        <v>10</v>
      </c>
    </row>
    <row r="990" spans="1:8" x14ac:dyDescent="0.25">
      <c r="A990" s="73">
        <v>44751</v>
      </c>
      <c r="B990" s="74" t="s">
        <v>22291</v>
      </c>
      <c r="C990" s="75" t="s">
        <v>67</v>
      </c>
      <c r="D990" s="81">
        <v>2520.1999999999998</v>
      </c>
      <c r="E990" s="151">
        <v>44751</v>
      </c>
      <c r="F990" s="81">
        <v>2520.1999999999998</v>
      </c>
      <c r="G990" s="156">
        <f>Tabla18[[#This Row],[Importe]]-Tabla18[[#This Row],[Pagado]]</f>
        <v>0</v>
      </c>
      <c r="H990" s="75" t="s">
        <v>10</v>
      </c>
    </row>
    <row r="991" spans="1:8" x14ac:dyDescent="0.25">
      <c r="A991" s="148">
        <v>44751</v>
      </c>
      <c r="B991" s="149" t="s">
        <v>22292</v>
      </c>
      <c r="C991" s="153" t="s">
        <v>15568</v>
      </c>
      <c r="D991" s="154">
        <v>0</v>
      </c>
      <c r="E991" s="158" t="s">
        <v>189</v>
      </c>
      <c r="F991" s="154">
        <v>0</v>
      </c>
      <c r="G991" s="156">
        <f>Tabla18[[#This Row],[Importe]]-Tabla18[[#This Row],[Pagado]]</f>
        <v>0</v>
      </c>
      <c r="H991" s="159" t="s">
        <v>22293</v>
      </c>
    </row>
    <row r="992" spans="1:8" x14ac:dyDescent="0.25">
      <c r="A992" s="73">
        <v>44751</v>
      </c>
      <c r="B992" s="74" t="s">
        <v>22294</v>
      </c>
      <c r="C992" s="75" t="s">
        <v>442</v>
      </c>
      <c r="D992" s="81">
        <v>3390.4</v>
      </c>
      <c r="E992" s="151">
        <v>44751</v>
      </c>
      <c r="F992" s="81">
        <v>3390.4</v>
      </c>
      <c r="G992" s="156">
        <f>Tabla18[[#This Row],[Importe]]-Tabla18[[#This Row],[Pagado]]</f>
        <v>0</v>
      </c>
      <c r="H992" s="75" t="s">
        <v>10</v>
      </c>
    </row>
    <row r="993" spans="1:8" x14ac:dyDescent="0.25">
      <c r="A993" s="148">
        <v>44751</v>
      </c>
      <c r="B993" s="149" t="s">
        <v>22295</v>
      </c>
      <c r="C993" s="153" t="s">
        <v>196</v>
      </c>
      <c r="D993" s="154">
        <v>119029.9</v>
      </c>
      <c r="E993" s="155">
        <v>44757</v>
      </c>
      <c r="F993" s="154">
        <v>119029.9</v>
      </c>
      <c r="G993" s="156">
        <f>Tabla18[[#This Row],[Importe]]-Tabla18[[#This Row],[Pagado]]</f>
        <v>0</v>
      </c>
      <c r="H993" s="153" t="s">
        <v>10</v>
      </c>
    </row>
    <row r="994" spans="1:8" x14ac:dyDescent="0.25">
      <c r="A994" s="73">
        <v>44751</v>
      </c>
      <c r="B994" s="74" t="s">
        <v>22296</v>
      </c>
      <c r="C994" s="75" t="s">
        <v>450</v>
      </c>
      <c r="D994" s="81">
        <v>4446</v>
      </c>
      <c r="E994" s="151">
        <v>44751</v>
      </c>
      <c r="F994" s="81">
        <v>4446</v>
      </c>
      <c r="G994" s="156">
        <f>Tabla18[[#This Row],[Importe]]-Tabla18[[#This Row],[Pagado]]</f>
        <v>0</v>
      </c>
      <c r="H994" s="75" t="s">
        <v>10</v>
      </c>
    </row>
    <row r="995" spans="1:8" x14ac:dyDescent="0.25">
      <c r="A995" s="148">
        <v>44751</v>
      </c>
      <c r="B995" s="149" t="s">
        <v>22297</v>
      </c>
      <c r="C995" s="153" t="s">
        <v>244</v>
      </c>
      <c r="D995" s="154">
        <v>1162.8</v>
      </c>
      <c r="E995" s="155">
        <v>44751</v>
      </c>
      <c r="F995" s="154">
        <v>1162.8</v>
      </c>
      <c r="G995" s="156">
        <f>Tabla18[[#This Row],[Importe]]-Tabla18[[#This Row],[Pagado]]</f>
        <v>0</v>
      </c>
      <c r="H995" s="153" t="s">
        <v>10</v>
      </c>
    </row>
    <row r="996" spans="1:8" x14ac:dyDescent="0.25">
      <c r="A996" s="73">
        <v>44751</v>
      </c>
      <c r="B996" s="74" t="s">
        <v>22298</v>
      </c>
      <c r="C996" s="75" t="s">
        <v>214</v>
      </c>
      <c r="D996" s="81">
        <v>1317.2</v>
      </c>
      <c r="E996" s="151">
        <v>44751</v>
      </c>
      <c r="F996" s="81">
        <v>1317.2</v>
      </c>
      <c r="G996" s="156">
        <f>Tabla18[[#This Row],[Importe]]-Tabla18[[#This Row],[Pagado]]</f>
        <v>0</v>
      </c>
      <c r="H996" s="75" t="s">
        <v>10</v>
      </c>
    </row>
    <row r="997" spans="1:8" ht="31.5" x14ac:dyDescent="0.25">
      <c r="A997" s="148">
        <v>44751</v>
      </c>
      <c r="B997" s="149" t="s">
        <v>22299</v>
      </c>
      <c r="C997" s="153" t="s">
        <v>275</v>
      </c>
      <c r="D997" s="154">
        <v>169289.78</v>
      </c>
      <c r="E997" s="150" t="s">
        <v>22300</v>
      </c>
      <c r="F997" s="154">
        <f>4796.85</f>
        <v>4796.8500000000004</v>
      </c>
      <c r="G997" s="156">
        <f>Tabla18[[#This Row],[Importe]]-Tabla18[[#This Row],[Pagado]]</f>
        <v>164492.93</v>
      </c>
      <c r="H997" s="153" t="s">
        <v>10</v>
      </c>
    </row>
    <row r="998" spans="1:8" x14ac:dyDescent="0.25">
      <c r="A998" s="73">
        <v>44751</v>
      </c>
      <c r="B998" s="74" t="s">
        <v>22301</v>
      </c>
      <c r="C998" s="75" t="s">
        <v>1239</v>
      </c>
      <c r="D998" s="81">
        <v>1674</v>
      </c>
      <c r="E998" s="151">
        <v>44751</v>
      </c>
      <c r="F998" s="81">
        <v>1674</v>
      </c>
      <c r="G998" s="156">
        <f>Tabla18[[#This Row],[Importe]]-Tabla18[[#This Row],[Pagado]]</f>
        <v>0</v>
      </c>
      <c r="H998" s="75" t="s">
        <v>10</v>
      </c>
    </row>
    <row r="999" spans="1:8" x14ac:dyDescent="0.25">
      <c r="A999" s="148">
        <v>44751</v>
      </c>
      <c r="B999" s="149" t="s">
        <v>22302</v>
      </c>
      <c r="C999" s="153" t="s">
        <v>51</v>
      </c>
      <c r="D999" s="154">
        <v>4960</v>
      </c>
      <c r="E999" s="155">
        <v>44751</v>
      </c>
      <c r="F999" s="154">
        <v>4960</v>
      </c>
      <c r="G999" s="156">
        <f>Tabla18[[#This Row],[Importe]]-Tabla18[[#This Row],[Pagado]]</f>
        <v>0</v>
      </c>
      <c r="H999" s="153" t="s">
        <v>10</v>
      </c>
    </row>
    <row r="1000" spans="1:8" x14ac:dyDescent="0.25">
      <c r="A1000" s="73">
        <v>44751</v>
      </c>
      <c r="B1000" s="74" t="s">
        <v>22303</v>
      </c>
      <c r="C1000" s="75" t="s">
        <v>181</v>
      </c>
      <c r="D1000" s="81">
        <v>18401</v>
      </c>
      <c r="E1000" s="151">
        <v>44751</v>
      </c>
      <c r="F1000" s="81">
        <v>18401</v>
      </c>
      <c r="G1000" s="156">
        <f>Tabla18[[#This Row],[Importe]]-Tabla18[[#This Row],[Pagado]]</f>
        <v>0</v>
      </c>
      <c r="H1000" s="75" t="s">
        <v>10</v>
      </c>
    </row>
    <row r="1001" spans="1:8" x14ac:dyDescent="0.25">
      <c r="A1001" s="148">
        <v>44751</v>
      </c>
      <c r="B1001" s="149" t="s">
        <v>22304</v>
      </c>
      <c r="C1001" s="153" t="s">
        <v>445</v>
      </c>
      <c r="D1001" s="154">
        <v>5206.8</v>
      </c>
      <c r="E1001" s="155">
        <v>44751</v>
      </c>
      <c r="F1001" s="154">
        <v>5206.8</v>
      </c>
      <c r="G1001" s="156">
        <f>Tabla18[[#This Row],[Importe]]-Tabla18[[#This Row],[Pagado]]</f>
        <v>0</v>
      </c>
      <c r="H1001" s="153" t="s">
        <v>10</v>
      </c>
    </row>
    <row r="1002" spans="1:8" x14ac:dyDescent="0.25">
      <c r="A1002" s="73">
        <v>44751</v>
      </c>
      <c r="B1002" s="74" t="s">
        <v>22305</v>
      </c>
      <c r="C1002" s="75" t="s">
        <v>426</v>
      </c>
      <c r="D1002" s="81">
        <v>4200.3999999999996</v>
      </c>
      <c r="E1002" s="151">
        <v>44751</v>
      </c>
      <c r="F1002" s="81">
        <v>4200.3999999999996</v>
      </c>
      <c r="G1002" s="156">
        <f>Tabla18[[#This Row],[Importe]]-Tabla18[[#This Row],[Pagado]]</f>
        <v>0</v>
      </c>
      <c r="H1002" s="75" t="s">
        <v>10</v>
      </c>
    </row>
    <row r="1003" spans="1:8" x14ac:dyDescent="0.25">
      <c r="A1003" s="148">
        <v>44751</v>
      </c>
      <c r="B1003" s="149" t="s">
        <v>22306</v>
      </c>
      <c r="C1003" s="153" t="s">
        <v>200</v>
      </c>
      <c r="D1003" s="154">
        <v>2427.1999999999998</v>
      </c>
      <c r="E1003" s="155">
        <v>44751</v>
      </c>
      <c r="F1003" s="154">
        <v>2427.1999999999998</v>
      </c>
      <c r="G1003" s="156">
        <f>Tabla18[[#This Row],[Importe]]-Tabla18[[#This Row],[Pagado]]</f>
        <v>0</v>
      </c>
      <c r="H1003" s="153" t="s">
        <v>10</v>
      </c>
    </row>
    <row r="1004" spans="1:8" x14ac:dyDescent="0.25">
      <c r="A1004" s="73">
        <v>44751</v>
      </c>
      <c r="B1004" s="74" t="s">
        <v>22307</v>
      </c>
      <c r="C1004" s="75" t="s">
        <v>857</v>
      </c>
      <c r="D1004" s="81">
        <v>2472</v>
      </c>
      <c r="E1004" s="151">
        <v>44751</v>
      </c>
      <c r="F1004" s="81">
        <v>2472</v>
      </c>
      <c r="G1004" s="156">
        <f>Tabla18[[#This Row],[Importe]]-Tabla18[[#This Row],[Pagado]]</f>
        <v>0</v>
      </c>
      <c r="H1004" s="75" t="s">
        <v>10</v>
      </c>
    </row>
    <row r="1005" spans="1:8" x14ac:dyDescent="0.25">
      <c r="A1005" s="148">
        <v>44751</v>
      </c>
      <c r="B1005" s="149" t="s">
        <v>22308</v>
      </c>
      <c r="C1005" s="153" t="s">
        <v>22309</v>
      </c>
      <c r="D1005" s="154">
        <v>0</v>
      </c>
      <c r="E1005" s="158" t="s">
        <v>189</v>
      </c>
      <c r="F1005" s="154">
        <v>0</v>
      </c>
      <c r="G1005" s="156">
        <f>Tabla18[[#This Row],[Importe]]-Tabla18[[#This Row],[Pagado]]</f>
        <v>0</v>
      </c>
      <c r="H1005" s="153" t="s">
        <v>189</v>
      </c>
    </row>
    <row r="1006" spans="1:8" x14ac:dyDescent="0.25">
      <c r="A1006" s="73">
        <v>44751</v>
      </c>
      <c r="B1006" s="74" t="s">
        <v>22310</v>
      </c>
      <c r="C1006" s="75" t="s">
        <v>263</v>
      </c>
      <c r="D1006" s="81">
        <v>22656</v>
      </c>
      <c r="E1006" s="151">
        <v>44755</v>
      </c>
      <c r="F1006" s="81">
        <v>22656</v>
      </c>
      <c r="G1006" s="156">
        <f>Tabla18[[#This Row],[Importe]]-Tabla18[[#This Row],[Pagado]]</f>
        <v>0</v>
      </c>
      <c r="H1006" s="75" t="s">
        <v>10</v>
      </c>
    </row>
    <row r="1007" spans="1:8" x14ac:dyDescent="0.25">
      <c r="A1007" s="148">
        <v>44751</v>
      </c>
      <c r="B1007" s="149" t="s">
        <v>22311</v>
      </c>
      <c r="C1007" s="153" t="s">
        <v>6112</v>
      </c>
      <c r="D1007" s="154">
        <v>8326.7999999999993</v>
      </c>
      <c r="E1007" s="155">
        <v>44751</v>
      </c>
      <c r="F1007" s="154">
        <v>8326.7999999999993</v>
      </c>
      <c r="G1007" s="156">
        <f>Tabla18[[#This Row],[Importe]]-Tabla18[[#This Row],[Pagado]]</f>
        <v>0</v>
      </c>
      <c r="H1007" s="153" t="s">
        <v>10</v>
      </c>
    </row>
    <row r="1008" spans="1:8" x14ac:dyDescent="0.25">
      <c r="A1008" s="73">
        <v>44751</v>
      </c>
      <c r="B1008" s="74" t="s">
        <v>22312</v>
      </c>
      <c r="C1008" s="75" t="s">
        <v>296</v>
      </c>
      <c r="D1008" s="81">
        <v>1895.2</v>
      </c>
      <c r="E1008" s="151">
        <v>44751</v>
      </c>
      <c r="F1008" s="81">
        <v>1895.2</v>
      </c>
      <c r="G1008" s="156">
        <f>Tabla18[[#This Row],[Importe]]-Tabla18[[#This Row],[Pagado]]</f>
        <v>0</v>
      </c>
      <c r="H1008" s="75" t="s">
        <v>10</v>
      </c>
    </row>
    <row r="1009" spans="1:8" x14ac:dyDescent="0.25">
      <c r="A1009" s="148">
        <v>44751</v>
      </c>
      <c r="B1009" s="149" t="s">
        <v>22313</v>
      </c>
      <c r="C1009" s="153" t="s">
        <v>53</v>
      </c>
      <c r="D1009" s="154">
        <v>1322.4</v>
      </c>
      <c r="E1009" s="155">
        <v>44751</v>
      </c>
      <c r="F1009" s="154">
        <v>1322.4</v>
      </c>
      <c r="G1009" s="156">
        <f>Tabla18[[#This Row],[Importe]]-Tabla18[[#This Row],[Pagado]]</f>
        <v>0</v>
      </c>
      <c r="H1009" s="153" t="s">
        <v>10</v>
      </c>
    </row>
    <row r="1010" spans="1:8" x14ac:dyDescent="0.25">
      <c r="A1010" s="73">
        <v>44751</v>
      </c>
      <c r="B1010" s="74" t="s">
        <v>22314</v>
      </c>
      <c r="C1010" s="75" t="s">
        <v>555</v>
      </c>
      <c r="D1010" s="81">
        <v>35939.199999999997</v>
      </c>
      <c r="E1010" s="151">
        <v>44753</v>
      </c>
      <c r="F1010" s="81">
        <v>35939.199999999997</v>
      </c>
      <c r="G1010" s="156">
        <f>Tabla18[[#This Row],[Importe]]-Tabla18[[#This Row],[Pagado]]</f>
        <v>0</v>
      </c>
      <c r="H1010" s="75" t="s">
        <v>10</v>
      </c>
    </row>
    <row r="1011" spans="1:8" x14ac:dyDescent="0.25">
      <c r="A1011" s="148">
        <v>44751</v>
      </c>
      <c r="B1011" s="149" t="s">
        <v>22315</v>
      </c>
      <c r="C1011" s="153" t="s">
        <v>69</v>
      </c>
      <c r="D1011" s="154">
        <v>2086.8000000000002</v>
      </c>
      <c r="E1011" s="155">
        <v>44751</v>
      </c>
      <c r="F1011" s="154">
        <v>2086.8000000000002</v>
      </c>
      <c r="G1011" s="156">
        <f>Tabla18[[#This Row],[Importe]]-Tabla18[[#This Row],[Pagado]]</f>
        <v>0</v>
      </c>
      <c r="H1011" s="153" t="s">
        <v>10</v>
      </c>
    </row>
    <row r="1012" spans="1:8" x14ac:dyDescent="0.25">
      <c r="A1012" s="73">
        <v>44751</v>
      </c>
      <c r="B1012" s="74" t="s">
        <v>22316</v>
      </c>
      <c r="C1012" s="75" t="s">
        <v>16</v>
      </c>
      <c r="D1012" s="81">
        <v>1209.5</v>
      </c>
      <c r="E1012" s="151">
        <v>44751</v>
      </c>
      <c r="F1012" s="81">
        <v>1209.5</v>
      </c>
      <c r="G1012" s="156">
        <f>Tabla18[[#This Row],[Importe]]-Tabla18[[#This Row],[Pagado]]</f>
        <v>0</v>
      </c>
      <c r="H1012" s="75" t="s">
        <v>10</v>
      </c>
    </row>
    <row r="1013" spans="1:8" x14ac:dyDescent="0.25">
      <c r="A1013" s="148">
        <v>44751</v>
      </c>
      <c r="B1013" s="149" t="s">
        <v>22317</v>
      </c>
      <c r="C1013" s="153" t="s">
        <v>448</v>
      </c>
      <c r="D1013" s="154">
        <v>21715.200000000001</v>
      </c>
      <c r="E1013" s="155">
        <v>44753</v>
      </c>
      <c r="F1013" s="154">
        <v>21715.200000000001</v>
      </c>
      <c r="G1013" s="156">
        <f>Tabla18[[#This Row],[Importe]]-Tabla18[[#This Row],[Pagado]]</f>
        <v>0</v>
      </c>
      <c r="H1013" s="153" t="s">
        <v>10</v>
      </c>
    </row>
    <row r="1014" spans="1:8" x14ac:dyDescent="0.25">
      <c r="A1014" s="73">
        <v>44751</v>
      </c>
      <c r="B1014" s="74" t="s">
        <v>22318</v>
      </c>
      <c r="C1014" s="75" t="s">
        <v>31</v>
      </c>
      <c r="D1014" s="81">
        <v>3122.8</v>
      </c>
      <c r="E1014" s="151">
        <v>44751</v>
      </c>
      <c r="F1014" s="81">
        <v>3122.8</v>
      </c>
      <c r="G1014" s="156">
        <f>Tabla18[[#This Row],[Importe]]-Tabla18[[#This Row],[Pagado]]</f>
        <v>0</v>
      </c>
      <c r="H1014" s="75" t="s">
        <v>10</v>
      </c>
    </row>
    <row r="1015" spans="1:8" x14ac:dyDescent="0.25">
      <c r="A1015" s="148">
        <v>44751</v>
      </c>
      <c r="B1015" s="149" t="s">
        <v>22319</v>
      </c>
      <c r="C1015" s="153" t="s">
        <v>442</v>
      </c>
      <c r="D1015" s="154">
        <v>14544</v>
      </c>
      <c r="E1015" s="155">
        <v>44751</v>
      </c>
      <c r="F1015" s="154">
        <v>14544</v>
      </c>
      <c r="G1015" s="156">
        <f>Tabla18[[#This Row],[Importe]]-Tabla18[[#This Row],[Pagado]]</f>
        <v>0</v>
      </c>
      <c r="H1015" s="153" t="s">
        <v>10</v>
      </c>
    </row>
    <row r="1016" spans="1:8" x14ac:dyDescent="0.25">
      <c r="A1016" s="73">
        <v>44751</v>
      </c>
      <c r="B1016" s="74" t="s">
        <v>22320</v>
      </c>
      <c r="C1016" s="75" t="s">
        <v>224</v>
      </c>
      <c r="D1016" s="81">
        <v>2022</v>
      </c>
      <c r="E1016" s="151">
        <v>44751</v>
      </c>
      <c r="F1016" s="81">
        <v>2022</v>
      </c>
      <c r="G1016" s="156">
        <f>Tabla18[[#This Row],[Importe]]-Tabla18[[#This Row],[Pagado]]</f>
        <v>0</v>
      </c>
      <c r="H1016" s="75" t="s">
        <v>10</v>
      </c>
    </row>
    <row r="1017" spans="1:8" x14ac:dyDescent="0.25">
      <c r="A1017" s="148">
        <v>44751</v>
      </c>
      <c r="B1017" s="149" t="s">
        <v>22321</v>
      </c>
      <c r="C1017" s="153" t="s">
        <v>296</v>
      </c>
      <c r="D1017" s="154">
        <v>2395.6</v>
      </c>
      <c r="E1017" s="155">
        <v>44751</v>
      </c>
      <c r="F1017" s="154">
        <v>2395.6</v>
      </c>
      <c r="G1017" s="156">
        <f>Tabla18[[#This Row],[Importe]]-Tabla18[[#This Row],[Pagado]]</f>
        <v>0</v>
      </c>
      <c r="H1017" s="153" t="s">
        <v>10</v>
      </c>
    </row>
    <row r="1018" spans="1:8" x14ac:dyDescent="0.25">
      <c r="A1018" s="73">
        <v>44751</v>
      </c>
      <c r="B1018" s="74" t="s">
        <v>22322</v>
      </c>
      <c r="C1018" s="75" t="s">
        <v>31</v>
      </c>
      <c r="D1018" s="81">
        <v>3188</v>
      </c>
      <c r="E1018" s="151">
        <v>44751</v>
      </c>
      <c r="F1018" s="81">
        <v>3188</v>
      </c>
      <c r="G1018" s="156">
        <f>Tabla18[[#This Row],[Importe]]-Tabla18[[#This Row],[Pagado]]</f>
        <v>0</v>
      </c>
      <c r="H1018" s="75" t="s">
        <v>10</v>
      </c>
    </row>
    <row r="1019" spans="1:8" x14ac:dyDescent="0.25">
      <c r="A1019" s="148">
        <v>44751</v>
      </c>
      <c r="B1019" s="149" t="s">
        <v>22323</v>
      </c>
      <c r="C1019" s="153" t="s">
        <v>7313</v>
      </c>
      <c r="D1019" s="154">
        <v>3034.9</v>
      </c>
      <c r="E1019" s="155">
        <v>44751</v>
      </c>
      <c r="F1019" s="154">
        <v>3034.9</v>
      </c>
      <c r="G1019" s="156">
        <f>Tabla18[[#This Row],[Importe]]-Tabla18[[#This Row],[Pagado]]</f>
        <v>0</v>
      </c>
      <c r="H1019" s="153" t="s">
        <v>10</v>
      </c>
    </row>
    <row r="1020" spans="1:8" x14ac:dyDescent="0.25">
      <c r="A1020" s="73">
        <v>44751</v>
      </c>
      <c r="B1020" s="74" t="s">
        <v>22324</v>
      </c>
      <c r="C1020" s="75" t="s">
        <v>870</v>
      </c>
      <c r="D1020" s="81">
        <v>40548.800000000003</v>
      </c>
      <c r="E1020" s="151">
        <v>44753</v>
      </c>
      <c r="F1020" s="81">
        <v>40548.800000000003</v>
      </c>
      <c r="G1020" s="156">
        <f>Tabla18[[#This Row],[Importe]]-Tabla18[[#This Row],[Pagado]]</f>
        <v>0</v>
      </c>
      <c r="H1020" s="75" t="s">
        <v>10</v>
      </c>
    </row>
    <row r="1021" spans="1:8" x14ac:dyDescent="0.25">
      <c r="A1021" s="148">
        <v>44751</v>
      </c>
      <c r="B1021" s="149" t="s">
        <v>22325</v>
      </c>
      <c r="C1021" s="153" t="s">
        <v>35</v>
      </c>
      <c r="D1021" s="154">
        <v>3448.6</v>
      </c>
      <c r="E1021" s="155">
        <v>44751</v>
      </c>
      <c r="F1021" s="154">
        <v>3448.6</v>
      </c>
      <c r="G1021" s="156">
        <f>Tabla18[[#This Row],[Importe]]-Tabla18[[#This Row],[Pagado]]</f>
        <v>0</v>
      </c>
      <c r="H1021" s="153" t="s">
        <v>10</v>
      </c>
    </row>
    <row r="1022" spans="1:8" x14ac:dyDescent="0.25">
      <c r="A1022" s="73">
        <v>44751</v>
      </c>
      <c r="B1022" s="74" t="s">
        <v>22326</v>
      </c>
      <c r="C1022" s="75" t="s">
        <v>450</v>
      </c>
      <c r="D1022" s="81">
        <v>5005.2</v>
      </c>
      <c r="E1022" s="151">
        <v>44751</v>
      </c>
      <c r="F1022" s="81">
        <v>5005.2</v>
      </c>
      <c r="G1022" s="156">
        <f>Tabla18[[#This Row],[Importe]]-Tabla18[[#This Row],[Pagado]]</f>
        <v>0</v>
      </c>
      <c r="H1022" s="75" t="s">
        <v>10</v>
      </c>
    </row>
    <row r="1023" spans="1:8" x14ac:dyDescent="0.25">
      <c r="A1023" s="148">
        <v>44751</v>
      </c>
      <c r="B1023" s="149" t="s">
        <v>22327</v>
      </c>
      <c r="C1023" s="153" t="s">
        <v>10840</v>
      </c>
      <c r="D1023" s="154">
        <v>20006.8</v>
      </c>
      <c r="E1023" s="155">
        <v>44751</v>
      </c>
      <c r="F1023" s="154">
        <v>20006.8</v>
      </c>
      <c r="G1023" s="156">
        <f>Tabla18[[#This Row],[Importe]]-Tabla18[[#This Row],[Pagado]]</f>
        <v>0</v>
      </c>
      <c r="H1023" s="153" t="s">
        <v>10</v>
      </c>
    </row>
    <row r="1024" spans="1:8" x14ac:dyDescent="0.25">
      <c r="A1024" s="73">
        <v>44751</v>
      </c>
      <c r="B1024" s="74" t="s">
        <v>22328</v>
      </c>
      <c r="C1024" s="75" t="s">
        <v>273</v>
      </c>
      <c r="D1024" s="81">
        <v>2835</v>
      </c>
      <c r="E1024" s="151">
        <v>44751</v>
      </c>
      <c r="F1024" s="81">
        <v>2835</v>
      </c>
      <c r="G1024" s="156">
        <f>Tabla18[[#This Row],[Importe]]-Tabla18[[#This Row],[Pagado]]</f>
        <v>0</v>
      </c>
      <c r="H1024" s="75" t="s">
        <v>10</v>
      </c>
    </row>
    <row r="1025" spans="1:8" x14ac:dyDescent="0.25">
      <c r="A1025" s="148">
        <v>44751</v>
      </c>
      <c r="B1025" s="149" t="s">
        <v>22329</v>
      </c>
      <c r="C1025" s="153" t="s">
        <v>31</v>
      </c>
      <c r="D1025" s="154">
        <v>45</v>
      </c>
      <c r="E1025" s="155">
        <v>44751</v>
      </c>
      <c r="F1025" s="154">
        <v>45</v>
      </c>
      <c r="G1025" s="156">
        <f>Tabla18[[#This Row],[Importe]]-Tabla18[[#This Row],[Pagado]]</f>
        <v>0</v>
      </c>
      <c r="H1025" s="153" t="s">
        <v>10</v>
      </c>
    </row>
    <row r="1026" spans="1:8" x14ac:dyDescent="0.25">
      <c r="A1026" s="73">
        <v>44751</v>
      </c>
      <c r="B1026" s="74" t="s">
        <v>22330</v>
      </c>
      <c r="C1026" s="75" t="s">
        <v>31</v>
      </c>
      <c r="D1026" s="81">
        <v>30</v>
      </c>
      <c r="E1026" s="151">
        <v>44751</v>
      </c>
      <c r="F1026" s="81">
        <v>30</v>
      </c>
      <c r="G1026" s="156">
        <f>Tabla18[[#This Row],[Importe]]-Tabla18[[#This Row],[Pagado]]</f>
        <v>0</v>
      </c>
      <c r="H1026" s="75" t="s">
        <v>10</v>
      </c>
    </row>
    <row r="1027" spans="1:8" x14ac:dyDescent="0.25">
      <c r="A1027" s="148">
        <v>44751</v>
      </c>
      <c r="B1027" s="149" t="s">
        <v>22331</v>
      </c>
      <c r="C1027" s="153" t="s">
        <v>284</v>
      </c>
      <c r="D1027" s="154">
        <v>15436.4</v>
      </c>
      <c r="E1027" s="155">
        <v>44753</v>
      </c>
      <c r="F1027" s="154">
        <v>15436.4</v>
      </c>
      <c r="G1027" s="156">
        <f>Tabla18[[#This Row],[Importe]]-Tabla18[[#This Row],[Pagado]]</f>
        <v>0</v>
      </c>
      <c r="H1027" s="153" t="s">
        <v>10</v>
      </c>
    </row>
    <row r="1028" spans="1:8" x14ac:dyDescent="0.25">
      <c r="A1028" s="73">
        <v>44751</v>
      </c>
      <c r="B1028" s="74" t="s">
        <v>22332</v>
      </c>
      <c r="C1028" s="75" t="s">
        <v>407</v>
      </c>
      <c r="D1028" s="81">
        <v>10000</v>
      </c>
      <c r="E1028" s="151">
        <v>44753</v>
      </c>
      <c r="F1028" s="81">
        <v>10000</v>
      </c>
      <c r="G1028" s="156">
        <f>Tabla18[[#This Row],[Importe]]-Tabla18[[#This Row],[Pagado]]</f>
        <v>0</v>
      </c>
      <c r="H1028" s="75" t="s">
        <v>10</v>
      </c>
    </row>
    <row r="1029" spans="1:8" x14ac:dyDescent="0.25">
      <c r="A1029" s="148">
        <v>44751</v>
      </c>
      <c r="B1029" s="149" t="s">
        <v>22333</v>
      </c>
      <c r="C1029" s="153" t="s">
        <v>22334</v>
      </c>
      <c r="D1029" s="154">
        <v>50416.5</v>
      </c>
      <c r="E1029" s="155">
        <v>44752</v>
      </c>
      <c r="F1029" s="154">
        <v>50416.5</v>
      </c>
      <c r="G1029" s="156">
        <f>Tabla18[[#This Row],[Importe]]-Tabla18[[#This Row],[Pagado]]</f>
        <v>0</v>
      </c>
      <c r="H1029" s="153" t="s">
        <v>10</v>
      </c>
    </row>
    <row r="1030" spans="1:8" x14ac:dyDescent="0.25">
      <c r="A1030" s="73">
        <v>44751</v>
      </c>
      <c r="B1030" s="74" t="s">
        <v>22335</v>
      </c>
      <c r="C1030" s="75" t="s">
        <v>10190</v>
      </c>
      <c r="D1030" s="81">
        <v>23212.799999999999</v>
      </c>
      <c r="E1030" s="151">
        <v>44753</v>
      </c>
      <c r="F1030" s="81">
        <v>23212.799999999999</v>
      </c>
      <c r="G1030" s="156">
        <f>Tabla18[[#This Row],[Importe]]-Tabla18[[#This Row],[Pagado]]</f>
        <v>0</v>
      </c>
      <c r="H1030" s="75" t="s">
        <v>10</v>
      </c>
    </row>
    <row r="1031" spans="1:8" x14ac:dyDescent="0.25">
      <c r="A1031" s="148">
        <v>44751</v>
      </c>
      <c r="B1031" s="149" t="s">
        <v>22336</v>
      </c>
      <c r="C1031" s="153" t="s">
        <v>10819</v>
      </c>
      <c r="D1031" s="154">
        <v>64</v>
      </c>
      <c r="E1031" s="155">
        <v>44753</v>
      </c>
      <c r="F1031" s="154">
        <v>64</v>
      </c>
      <c r="G1031" s="156">
        <f>Tabla18[[#This Row],[Importe]]-Tabla18[[#This Row],[Pagado]]</f>
        <v>0</v>
      </c>
      <c r="H1031" s="153" t="s">
        <v>10</v>
      </c>
    </row>
    <row r="1032" spans="1:8" x14ac:dyDescent="0.25">
      <c r="A1032" s="73">
        <v>44751</v>
      </c>
      <c r="B1032" s="74" t="s">
        <v>22337</v>
      </c>
      <c r="C1032" s="75" t="s">
        <v>31</v>
      </c>
      <c r="D1032" s="81">
        <v>1295</v>
      </c>
      <c r="E1032" s="151">
        <v>44753</v>
      </c>
      <c r="F1032" s="81">
        <v>1295</v>
      </c>
      <c r="G1032" s="156">
        <f>Tabla18[[#This Row],[Importe]]-Tabla18[[#This Row],[Pagado]]</f>
        <v>0</v>
      </c>
      <c r="H1032" s="75" t="s">
        <v>10</v>
      </c>
    </row>
    <row r="1033" spans="1:8" x14ac:dyDescent="0.25">
      <c r="A1033" s="148">
        <v>44751</v>
      </c>
      <c r="B1033" s="149" t="s">
        <v>22338</v>
      </c>
      <c r="C1033" s="153" t="s">
        <v>280</v>
      </c>
      <c r="D1033" s="154">
        <v>1613.2</v>
      </c>
      <c r="E1033" s="155">
        <v>44753</v>
      </c>
      <c r="F1033" s="154">
        <v>1613.2</v>
      </c>
      <c r="G1033" s="156">
        <f>Tabla18[[#This Row],[Importe]]-Tabla18[[#This Row],[Pagado]]</f>
        <v>0</v>
      </c>
      <c r="H1033" s="153" t="s">
        <v>10</v>
      </c>
    </row>
    <row r="1034" spans="1:8" x14ac:dyDescent="0.25">
      <c r="A1034" s="73">
        <v>44751</v>
      </c>
      <c r="B1034" s="74" t="s">
        <v>22339</v>
      </c>
      <c r="C1034" s="75" t="s">
        <v>31</v>
      </c>
      <c r="D1034" s="81">
        <v>1480</v>
      </c>
      <c r="E1034" s="151">
        <v>44753</v>
      </c>
      <c r="F1034" s="81">
        <v>1480</v>
      </c>
      <c r="G1034" s="156">
        <f>Tabla18[[#This Row],[Importe]]-Tabla18[[#This Row],[Pagado]]</f>
        <v>0</v>
      </c>
      <c r="H1034" s="75" t="s">
        <v>10</v>
      </c>
    </row>
    <row r="1035" spans="1:8" x14ac:dyDescent="0.25">
      <c r="A1035" s="148">
        <v>44751</v>
      </c>
      <c r="B1035" s="149" t="s">
        <v>22340</v>
      </c>
      <c r="C1035" s="153" t="s">
        <v>5345</v>
      </c>
      <c r="D1035" s="154">
        <v>2434.6</v>
      </c>
      <c r="E1035" s="155">
        <v>44753</v>
      </c>
      <c r="F1035" s="154">
        <v>2434.6</v>
      </c>
      <c r="G1035" s="156">
        <f>Tabla18[[#This Row],[Importe]]-Tabla18[[#This Row],[Pagado]]</f>
        <v>0</v>
      </c>
      <c r="H1035" s="153" t="s">
        <v>10</v>
      </c>
    </row>
    <row r="1036" spans="1:8" x14ac:dyDescent="0.25">
      <c r="A1036" s="73">
        <v>44751</v>
      </c>
      <c r="B1036" s="74" t="s">
        <v>22341</v>
      </c>
      <c r="C1036" s="75" t="s">
        <v>282</v>
      </c>
      <c r="D1036" s="81">
        <v>9131.6</v>
      </c>
      <c r="E1036" s="151">
        <v>44753</v>
      </c>
      <c r="F1036" s="81">
        <v>9131.6</v>
      </c>
      <c r="G1036" s="156">
        <f>Tabla18[[#This Row],[Importe]]-Tabla18[[#This Row],[Pagado]]</f>
        <v>0</v>
      </c>
      <c r="H1036" s="75" t="s">
        <v>10</v>
      </c>
    </row>
    <row r="1037" spans="1:8" x14ac:dyDescent="0.25">
      <c r="A1037" s="148">
        <v>44752</v>
      </c>
      <c r="B1037" s="149" t="s">
        <v>22342</v>
      </c>
      <c r="C1037" s="153" t="s">
        <v>481</v>
      </c>
      <c r="D1037" s="154">
        <v>290.7</v>
      </c>
      <c r="E1037" s="155">
        <v>44752</v>
      </c>
      <c r="F1037" s="154">
        <v>290.7</v>
      </c>
      <c r="G1037" s="156">
        <f>Tabla18[[#This Row],[Importe]]-Tabla18[[#This Row],[Pagado]]</f>
        <v>0</v>
      </c>
      <c r="H1037" s="153" t="s">
        <v>10</v>
      </c>
    </row>
    <row r="1038" spans="1:8" ht="31.5" x14ac:dyDescent="0.25">
      <c r="A1038" s="73">
        <v>44752</v>
      </c>
      <c r="B1038" s="74" t="s">
        <v>22343</v>
      </c>
      <c r="C1038" s="75" t="s">
        <v>475</v>
      </c>
      <c r="D1038" s="81">
        <v>43513.599999999999</v>
      </c>
      <c r="E1038" s="147" t="s">
        <v>22344</v>
      </c>
      <c r="F1038" s="81">
        <f>35700+7813.6</f>
        <v>43513.599999999999</v>
      </c>
      <c r="G1038" s="156">
        <f>Tabla18[[#This Row],[Importe]]-Tabla18[[#This Row],[Pagado]]</f>
        <v>0</v>
      </c>
      <c r="H1038" s="75" t="s">
        <v>10</v>
      </c>
    </row>
    <row r="1039" spans="1:8" x14ac:dyDescent="0.25">
      <c r="A1039" s="148">
        <v>44752</v>
      </c>
      <c r="B1039" s="149" t="s">
        <v>22345</v>
      </c>
      <c r="C1039" s="153" t="s">
        <v>924</v>
      </c>
      <c r="D1039" s="154">
        <v>17347.2</v>
      </c>
      <c r="E1039" s="155">
        <v>44752</v>
      </c>
      <c r="F1039" s="154">
        <v>17347.2</v>
      </c>
      <c r="G1039" s="156">
        <f>Tabla18[[#This Row],[Importe]]-Tabla18[[#This Row],[Pagado]]</f>
        <v>0</v>
      </c>
      <c r="H1039" s="153" t="s">
        <v>10</v>
      </c>
    </row>
    <row r="1040" spans="1:8" x14ac:dyDescent="0.25">
      <c r="A1040" s="73">
        <v>44752</v>
      </c>
      <c r="B1040" s="74" t="s">
        <v>22346</v>
      </c>
      <c r="C1040" s="75" t="s">
        <v>47</v>
      </c>
      <c r="D1040" s="81">
        <v>27964</v>
      </c>
      <c r="E1040" s="151">
        <v>44752</v>
      </c>
      <c r="F1040" s="81">
        <v>27964</v>
      </c>
      <c r="G1040" s="156">
        <f>Tabla18[[#This Row],[Importe]]-Tabla18[[#This Row],[Pagado]]</f>
        <v>0</v>
      </c>
      <c r="H1040" s="75" t="s">
        <v>10</v>
      </c>
    </row>
    <row r="1041" spans="1:8" x14ac:dyDescent="0.25">
      <c r="A1041" s="148">
        <v>44752</v>
      </c>
      <c r="B1041" s="149" t="s">
        <v>22347</v>
      </c>
      <c r="C1041" s="153" t="s">
        <v>9</v>
      </c>
      <c r="D1041" s="154">
        <v>12148</v>
      </c>
      <c r="E1041" s="155">
        <v>44752</v>
      </c>
      <c r="F1041" s="154">
        <v>12148</v>
      </c>
      <c r="G1041" s="156">
        <f>Tabla18[[#This Row],[Importe]]-Tabla18[[#This Row],[Pagado]]</f>
        <v>0</v>
      </c>
      <c r="H1041" s="153" t="s">
        <v>10</v>
      </c>
    </row>
    <row r="1042" spans="1:8" x14ac:dyDescent="0.25">
      <c r="A1042" s="73">
        <v>44752</v>
      </c>
      <c r="B1042" s="74" t="s">
        <v>22348</v>
      </c>
      <c r="C1042" s="75" t="s">
        <v>230</v>
      </c>
      <c r="D1042" s="81">
        <v>4073.6</v>
      </c>
      <c r="E1042" s="151">
        <v>44752</v>
      </c>
      <c r="F1042" s="81">
        <v>4073.6</v>
      </c>
      <c r="G1042" s="156">
        <f>Tabla18[[#This Row],[Importe]]-Tabla18[[#This Row],[Pagado]]</f>
        <v>0</v>
      </c>
      <c r="H1042" s="75" t="s">
        <v>10</v>
      </c>
    </row>
    <row r="1043" spans="1:8" x14ac:dyDescent="0.25">
      <c r="A1043" s="148">
        <v>44752</v>
      </c>
      <c r="B1043" s="149" t="s">
        <v>22349</v>
      </c>
      <c r="C1043" s="153" t="s">
        <v>27</v>
      </c>
      <c r="D1043" s="154">
        <v>1717.4</v>
      </c>
      <c r="E1043" s="155">
        <v>44752</v>
      </c>
      <c r="F1043" s="154">
        <v>1717.4</v>
      </c>
      <c r="G1043" s="156">
        <f>Tabla18[[#This Row],[Importe]]-Tabla18[[#This Row],[Pagado]]</f>
        <v>0</v>
      </c>
      <c r="H1043" s="153" t="s">
        <v>10</v>
      </c>
    </row>
    <row r="1044" spans="1:8" x14ac:dyDescent="0.25">
      <c r="A1044" s="73">
        <v>44752</v>
      </c>
      <c r="B1044" s="74" t="s">
        <v>22350</v>
      </c>
      <c r="C1044" s="75" t="s">
        <v>12</v>
      </c>
      <c r="D1044" s="81">
        <v>8322</v>
      </c>
      <c r="E1044" s="151">
        <v>44752</v>
      </c>
      <c r="F1044" s="81">
        <v>8322</v>
      </c>
      <c r="G1044" s="156">
        <f>Tabla18[[#This Row],[Importe]]-Tabla18[[#This Row],[Pagado]]</f>
        <v>0</v>
      </c>
      <c r="H1044" s="75" t="s">
        <v>10</v>
      </c>
    </row>
    <row r="1045" spans="1:8" x14ac:dyDescent="0.25">
      <c r="A1045" s="148">
        <v>44752</v>
      </c>
      <c r="B1045" s="149" t="s">
        <v>22351</v>
      </c>
      <c r="C1045" s="153" t="s">
        <v>16</v>
      </c>
      <c r="D1045" s="154">
        <v>11228.4</v>
      </c>
      <c r="E1045" s="155">
        <v>44752</v>
      </c>
      <c r="F1045" s="154">
        <v>11228.4</v>
      </c>
      <c r="G1045" s="156">
        <f>Tabla18[[#This Row],[Importe]]-Tabla18[[#This Row],[Pagado]]</f>
        <v>0</v>
      </c>
      <c r="H1045" s="153" t="s">
        <v>10</v>
      </c>
    </row>
    <row r="1046" spans="1:8" ht="31.5" x14ac:dyDescent="0.25">
      <c r="A1046" s="73">
        <v>44752</v>
      </c>
      <c r="B1046" s="74" t="s">
        <v>22352</v>
      </c>
      <c r="C1046" s="75" t="s">
        <v>22</v>
      </c>
      <c r="D1046" s="81">
        <v>69725.2</v>
      </c>
      <c r="E1046" s="147" t="s">
        <v>22353</v>
      </c>
      <c r="F1046" s="81">
        <f>35700+24300.2+9725</f>
        <v>69725.2</v>
      </c>
      <c r="G1046" s="156">
        <f>Tabla18[[#This Row],[Importe]]-Tabla18[[#This Row],[Pagado]]</f>
        <v>0</v>
      </c>
      <c r="H1046" s="75" t="s">
        <v>10</v>
      </c>
    </row>
    <row r="1047" spans="1:8" x14ac:dyDescent="0.25">
      <c r="A1047" s="148">
        <v>44752</v>
      </c>
      <c r="B1047" s="149" t="s">
        <v>22354</v>
      </c>
      <c r="C1047" s="153" t="s">
        <v>16</v>
      </c>
      <c r="D1047" s="154">
        <v>743.4</v>
      </c>
      <c r="E1047" s="155">
        <v>44752</v>
      </c>
      <c r="F1047" s="154">
        <v>743.4</v>
      </c>
      <c r="G1047" s="156">
        <f>Tabla18[[#This Row],[Importe]]-Tabla18[[#This Row],[Pagado]]</f>
        <v>0</v>
      </c>
      <c r="H1047" s="153" t="s">
        <v>10</v>
      </c>
    </row>
    <row r="1048" spans="1:8" x14ac:dyDescent="0.25">
      <c r="A1048" s="73">
        <v>44752</v>
      </c>
      <c r="B1048" s="74" t="s">
        <v>22355</v>
      </c>
      <c r="C1048" s="75" t="s">
        <v>29</v>
      </c>
      <c r="D1048" s="81">
        <v>11958.4</v>
      </c>
      <c r="E1048" s="151">
        <v>44752</v>
      </c>
      <c r="F1048" s="81">
        <v>11958.4</v>
      </c>
      <c r="G1048" s="156">
        <f>Tabla18[[#This Row],[Importe]]-Tabla18[[#This Row],[Pagado]]</f>
        <v>0</v>
      </c>
      <c r="H1048" s="75" t="s">
        <v>10</v>
      </c>
    </row>
    <row r="1049" spans="1:8" x14ac:dyDescent="0.25">
      <c r="A1049" s="148">
        <v>44752</v>
      </c>
      <c r="B1049" s="149" t="s">
        <v>22356</v>
      </c>
      <c r="C1049" s="153" t="s">
        <v>12</v>
      </c>
      <c r="D1049" s="154">
        <v>1050.8</v>
      </c>
      <c r="E1049" s="155">
        <v>44752</v>
      </c>
      <c r="F1049" s="154">
        <v>1050.8</v>
      </c>
      <c r="G1049" s="156">
        <f>Tabla18[[#This Row],[Importe]]-Tabla18[[#This Row],[Pagado]]</f>
        <v>0</v>
      </c>
      <c r="H1049" s="153" t="s">
        <v>10</v>
      </c>
    </row>
    <row r="1050" spans="1:8" x14ac:dyDescent="0.25">
      <c r="A1050" s="73">
        <v>44752</v>
      </c>
      <c r="B1050" s="74" t="s">
        <v>22357</v>
      </c>
      <c r="C1050" s="75" t="s">
        <v>20</v>
      </c>
      <c r="D1050" s="81">
        <v>10652.8</v>
      </c>
      <c r="E1050" s="151">
        <v>44752</v>
      </c>
      <c r="F1050" s="81">
        <v>10652.8</v>
      </c>
      <c r="G1050" s="156">
        <f>Tabla18[[#This Row],[Importe]]-Tabla18[[#This Row],[Pagado]]</f>
        <v>0</v>
      </c>
      <c r="H1050" s="75" t="s">
        <v>10</v>
      </c>
    </row>
    <row r="1051" spans="1:8" x14ac:dyDescent="0.25">
      <c r="A1051" s="148">
        <v>44752</v>
      </c>
      <c r="B1051" s="149" t="s">
        <v>22358</v>
      </c>
      <c r="C1051" s="153" t="s">
        <v>15039</v>
      </c>
      <c r="D1051" s="154">
        <v>2145.3000000000002</v>
      </c>
      <c r="E1051" s="155">
        <v>44752</v>
      </c>
      <c r="F1051" s="154">
        <v>2145.3000000000002</v>
      </c>
      <c r="G1051" s="156">
        <f>Tabla18[[#This Row],[Importe]]-Tabla18[[#This Row],[Pagado]]</f>
        <v>0</v>
      </c>
      <c r="H1051" s="153" t="s">
        <v>10</v>
      </c>
    </row>
    <row r="1052" spans="1:8" x14ac:dyDescent="0.25">
      <c r="A1052" s="73">
        <v>44752</v>
      </c>
      <c r="B1052" s="74" t="s">
        <v>22359</v>
      </c>
      <c r="C1052" s="75" t="s">
        <v>224</v>
      </c>
      <c r="D1052" s="81">
        <v>3883.2</v>
      </c>
      <c r="E1052" s="151">
        <v>44752</v>
      </c>
      <c r="F1052" s="81">
        <v>3883.2</v>
      </c>
      <c r="G1052" s="156">
        <f>Tabla18[[#This Row],[Importe]]-Tabla18[[#This Row],[Pagado]]</f>
        <v>0</v>
      </c>
      <c r="H1052" s="75" t="s">
        <v>10</v>
      </c>
    </row>
    <row r="1053" spans="1:8" x14ac:dyDescent="0.25">
      <c r="A1053" s="148">
        <v>44752</v>
      </c>
      <c r="B1053" s="149" t="s">
        <v>22360</v>
      </c>
      <c r="C1053" s="153" t="s">
        <v>49</v>
      </c>
      <c r="D1053" s="154">
        <v>4312.8999999999996</v>
      </c>
      <c r="E1053" s="155">
        <v>44752</v>
      </c>
      <c r="F1053" s="154">
        <v>4312.8999999999996</v>
      </c>
      <c r="G1053" s="156">
        <f>Tabla18[[#This Row],[Importe]]-Tabla18[[#This Row],[Pagado]]</f>
        <v>0</v>
      </c>
      <c r="H1053" s="153" t="s">
        <v>10</v>
      </c>
    </row>
    <row r="1054" spans="1:8" x14ac:dyDescent="0.25">
      <c r="A1054" s="73">
        <v>44752</v>
      </c>
      <c r="B1054" s="74" t="s">
        <v>22361</v>
      </c>
      <c r="C1054" s="75" t="s">
        <v>216</v>
      </c>
      <c r="D1054" s="81">
        <v>2464.1999999999998</v>
      </c>
      <c r="E1054" s="151">
        <v>44752</v>
      </c>
      <c r="F1054" s="81">
        <v>2464.1999999999998</v>
      </c>
      <c r="G1054" s="156">
        <f>Tabla18[[#This Row],[Importe]]-Tabla18[[#This Row],[Pagado]]</f>
        <v>0</v>
      </c>
      <c r="H1054" s="75" t="s">
        <v>10</v>
      </c>
    </row>
    <row r="1055" spans="1:8" x14ac:dyDescent="0.25">
      <c r="A1055" s="148">
        <v>44752</v>
      </c>
      <c r="B1055" s="149" t="s">
        <v>22362</v>
      </c>
      <c r="C1055" s="153" t="s">
        <v>24</v>
      </c>
      <c r="D1055" s="154">
        <v>5261</v>
      </c>
      <c r="E1055" s="155">
        <v>44752</v>
      </c>
      <c r="F1055" s="154">
        <v>5261</v>
      </c>
      <c r="G1055" s="156">
        <f>Tabla18[[#This Row],[Importe]]-Tabla18[[#This Row],[Pagado]]</f>
        <v>0</v>
      </c>
      <c r="H1055" s="153" t="s">
        <v>10</v>
      </c>
    </row>
    <row r="1056" spans="1:8" x14ac:dyDescent="0.25">
      <c r="A1056" s="73">
        <v>44752</v>
      </c>
      <c r="B1056" s="74" t="s">
        <v>22363</v>
      </c>
      <c r="C1056" s="75" t="s">
        <v>31</v>
      </c>
      <c r="D1056" s="81">
        <v>716.8</v>
      </c>
      <c r="E1056" s="151">
        <v>44752</v>
      </c>
      <c r="F1056" s="81">
        <v>716.8</v>
      </c>
      <c r="G1056" s="156">
        <f>Tabla18[[#This Row],[Importe]]-Tabla18[[#This Row],[Pagado]]</f>
        <v>0</v>
      </c>
      <c r="H1056" s="75" t="s">
        <v>10</v>
      </c>
    </row>
    <row r="1057" spans="1:8" x14ac:dyDescent="0.25">
      <c r="A1057" s="148">
        <v>44752</v>
      </c>
      <c r="B1057" s="149" t="s">
        <v>22364</v>
      </c>
      <c r="C1057" s="153" t="s">
        <v>97</v>
      </c>
      <c r="D1057" s="154">
        <v>5091.2</v>
      </c>
      <c r="E1057" s="155">
        <v>44752</v>
      </c>
      <c r="F1057" s="154">
        <v>5091.2</v>
      </c>
      <c r="G1057" s="156">
        <f>Tabla18[[#This Row],[Importe]]-Tabla18[[#This Row],[Pagado]]</f>
        <v>0</v>
      </c>
      <c r="H1057" s="153" t="s">
        <v>10</v>
      </c>
    </row>
    <row r="1058" spans="1:8" x14ac:dyDescent="0.25">
      <c r="A1058" s="73">
        <v>44752</v>
      </c>
      <c r="B1058" s="74" t="s">
        <v>22365</v>
      </c>
      <c r="C1058" s="75" t="s">
        <v>1003</v>
      </c>
      <c r="D1058" s="81">
        <v>12480.3</v>
      </c>
      <c r="E1058" s="151">
        <v>44756</v>
      </c>
      <c r="F1058" s="81">
        <v>12480.3</v>
      </c>
      <c r="G1058" s="156">
        <f>Tabla18[[#This Row],[Importe]]-Tabla18[[#This Row],[Pagado]]</f>
        <v>0</v>
      </c>
      <c r="H1058" s="75" t="s">
        <v>10</v>
      </c>
    </row>
    <row r="1059" spans="1:8" x14ac:dyDescent="0.25">
      <c r="A1059" s="148">
        <v>44752</v>
      </c>
      <c r="B1059" s="149" t="s">
        <v>22366</v>
      </c>
      <c r="C1059" s="153" t="s">
        <v>31</v>
      </c>
      <c r="D1059" s="154">
        <v>2274</v>
      </c>
      <c r="E1059" s="155">
        <v>44752</v>
      </c>
      <c r="F1059" s="154">
        <v>2274</v>
      </c>
      <c r="G1059" s="156">
        <f>Tabla18[[#This Row],[Importe]]-Tabla18[[#This Row],[Pagado]]</f>
        <v>0</v>
      </c>
      <c r="H1059" s="153" t="s">
        <v>10</v>
      </c>
    </row>
    <row r="1060" spans="1:8" x14ac:dyDescent="0.25">
      <c r="A1060" s="73">
        <v>44752</v>
      </c>
      <c r="B1060" s="74" t="s">
        <v>22367</v>
      </c>
      <c r="C1060" s="75" t="s">
        <v>56</v>
      </c>
      <c r="D1060" s="81">
        <v>7762.5</v>
      </c>
      <c r="E1060" s="151">
        <v>44752</v>
      </c>
      <c r="F1060" s="81">
        <v>7762.5</v>
      </c>
      <c r="G1060" s="156">
        <f>Tabla18[[#This Row],[Importe]]-Tabla18[[#This Row],[Pagado]]</f>
        <v>0</v>
      </c>
      <c r="H1060" s="75" t="s">
        <v>10</v>
      </c>
    </row>
    <row r="1061" spans="1:8" x14ac:dyDescent="0.25">
      <c r="A1061" s="148">
        <v>44752</v>
      </c>
      <c r="B1061" s="149" t="s">
        <v>22368</v>
      </c>
      <c r="C1061" s="153" t="s">
        <v>45</v>
      </c>
      <c r="D1061" s="154">
        <v>9468.5</v>
      </c>
      <c r="E1061" s="155">
        <v>44752</v>
      </c>
      <c r="F1061" s="154">
        <v>9468.5</v>
      </c>
      <c r="G1061" s="156">
        <f>Tabla18[[#This Row],[Importe]]-Tabla18[[#This Row],[Pagado]]</f>
        <v>0</v>
      </c>
      <c r="H1061" s="153" t="s">
        <v>10</v>
      </c>
    </row>
    <row r="1062" spans="1:8" x14ac:dyDescent="0.25">
      <c r="A1062" s="73">
        <v>44752</v>
      </c>
      <c r="B1062" s="74" t="s">
        <v>22369</v>
      </c>
      <c r="C1062" s="75" t="s">
        <v>191</v>
      </c>
      <c r="D1062" s="81">
        <v>2234.4</v>
      </c>
      <c r="E1062" s="151">
        <v>44752</v>
      </c>
      <c r="F1062" s="81">
        <v>2234.4</v>
      </c>
      <c r="G1062" s="156">
        <f>Tabla18[[#This Row],[Importe]]-Tabla18[[#This Row],[Pagado]]</f>
        <v>0</v>
      </c>
      <c r="H1062" s="75" t="s">
        <v>10</v>
      </c>
    </row>
    <row r="1063" spans="1:8" ht="31.5" x14ac:dyDescent="0.25">
      <c r="A1063" s="148">
        <v>44752</v>
      </c>
      <c r="B1063" s="149" t="s">
        <v>22370</v>
      </c>
      <c r="C1063" s="153" t="s">
        <v>670</v>
      </c>
      <c r="D1063" s="154">
        <v>6249.2</v>
      </c>
      <c r="E1063" s="150" t="s">
        <v>22371</v>
      </c>
      <c r="F1063" s="154">
        <f>3530+2249.2</f>
        <v>5779.2</v>
      </c>
      <c r="G1063" s="156">
        <f>Tabla18[[#This Row],[Importe]]-Tabla18[[#This Row],[Pagado]]</f>
        <v>470</v>
      </c>
      <c r="H1063" s="153" t="s">
        <v>10</v>
      </c>
    </row>
    <row r="1064" spans="1:8" x14ac:dyDescent="0.25">
      <c r="A1064" s="73">
        <v>44752</v>
      </c>
      <c r="B1064" s="74" t="s">
        <v>22372</v>
      </c>
      <c r="C1064" s="75" t="s">
        <v>654</v>
      </c>
      <c r="D1064" s="81">
        <v>7890.5</v>
      </c>
      <c r="E1064" s="151">
        <v>44752</v>
      </c>
      <c r="F1064" s="81">
        <v>7890.5</v>
      </c>
      <c r="G1064" s="156">
        <f>Tabla18[[#This Row],[Importe]]-Tabla18[[#This Row],[Pagado]]</f>
        <v>0</v>
      </c>
      <c r="H1064" s="75" t="s">
        <v>10</v>
      </c>
    </row>
    <row r="1065" spans="1:8" x14ac:dyDescent="0.25">
      <c r="A1065" s="148">
        <v>44752</v>
      </c>
      <c r="B1065" s="149" t="s">
        <v>22373</v>
      </c>
      <c r="C1065" s="153" t="s">
        <v>442</v>
      </c>
      <c r="D1065" s="154">
        <v>7918</v>
      </c>
      <c r="E1065" s="155">
        <v>44752</v>
      </c>
      <c r="F1065" s="154">
        <v>7918</v>
      </c>
      <c r="G1065" s="156">
        <f>Tabla18[[#This Row],[Importe]]-Tabla18[[#This Row],[Pagado]]</f>
        <v>0</v>
      </c>
      <c r="H1065" s="153" t="s">
        <v>10</v>
      </c>
    </row>
    <row r="1066" spans="1:8" x14ac:dyDescent="0.25">
      <c r="A1066" s="73">
        <v>44752</v>
      </c>
      <c r="B1066" s="74" t="s">
        <v>22374</v>
      </c>
      <c r="C1066" s="75" t="s">
        <v>226</v>
      </c>
      <c r="D1066" s="81">
        <v>29817.8</v>
      </c>
      <c r="E1066" s="151">
        <v>44752</v>
      </c>
      <c r="F1066" s="81">
        <v>29817.8</v>
      </c>
      <c r="G1066" s="156">
        <f>Tabla18[[#This Row],[Importe]]-Tabla18[[#This Row],[Pagado]]</f>
        <v>0</v>
      </c>
      <c r="H1066" s="75" t="s">
        <v>10</v>
      </c>
    </row>
    <row r="1067" spans="1:8" x14ac:dyDescent="0.25">
      <c r="A1067" s="148">
        <v>44752</v>
      </c>
      <c r="B1067" s="149" t="s">
        <v>22375</v>
      </c>
      <c r="C1067" s="153" t="s">
        <v>31</v>
      </c>
      <c r="D1067" s="154">
        <v>1753.8</v>
      </c>
      <c r="E1067" s="155">
        <v>44752</v>
      </c>
      <c r="F1067" s="154">
        <v>1753.8</v>
      </c>
      <c r="G1067" s="156">
        <f>Tabla18[[#This Row],[Importe]]-Tabla18[[#This Row],[Pagado]]</f>
        <v>0</v>
      </c>
      <c r="H1067" s="153" t="s">
        <v>10</v>
      </c>
    </row>
    <row r="1068" spans="1:8" x14ac:dyDescent="0.25">
      <c r="A1068" s="73">
        <v>44752</v>
      </c>
      <c r="B1068" s="74" t="s">
        <v>22376</v>
      </c>
      <c r="C1068" s="75" t="s">
        <v>31</v>
      </c>
      <c r="D1068" s="81">
        <v>1300</v>
      </c>
      <c r="E1068" s="151">
        <v>44752</v>
      </c>
      <c r="F1068" s="81">
        <v>1300</v>
      </c>
      <c r="G1068" s="156">
        <f>Tabla18[[#This Row],[Importe]]-Tabla18[[#This Row],[Pagado]]</f>
        <v>0</v>
      </c>
      <c r="H1068" s="75" t="s">
        <v>10</v>
      </c>
    </row>
    <row r="1069" spans="1:8" x14ac:dyDescent="0.25">
      <c r="A1069" s="148">
        <v>44752</v>
      </c>
      <c r="B1069" s="149" t="s">
        <v>22377</v>
      </c>
      <c r="C1069" s="153" t="s">
        <v>1064</v>
      </c>
      <c r="D1069" s="154">
        <v>4692.3999999999996</v>
      </c>
      <c r="E1069" s="155">
        <v>44752</v>
      </c>
      <c r="F1069" s="154">
        <v>4692.3999999999996</v>
      </c>
      <c r="G1069" s="156">
        <f>Tabla18[[#This Row],[Importe]]-Tabla18[[#This Row],[Pagado]]</f>
        <v>0</v>
      </c>
      <c r="H1069" s="153" t="s">
        <v>10</v>
      </c>
    </row>
    <row r="1070" spans="1:8" x14ac:dyDescent="0.25">
      <c r="A1070" s="73">
        <v>44752</v>
      </c>
      <c r="B1070" s="74" t="s">
        <v>22378</v>
      </c>
      <c r="C1070" s="75" t="s">
        <v>71</v>
      </c>
      <c r="D1070" s="81">
        <v>2236.1</v>
      </c>
      <c r="E1070" s="151">
        <v>44752</v>
      </c>
      <c r="F1070" s="81">
        <v>2236.1</v>
      </c>
      <c r="G1070" s="156">
        <f>Tabla18[[#This Row],[Importe]]-Tabla18[[#This Row],[Pagado]]</f>
        <v>0</v>
      </c>
      <c r="H1070" s="75" t="s">
        <v>10</v>
      </c>
    </row>
    <row r="1071" spans="1:8" x14ac:dyDescent="0.25">
      <c r="A1071" s="148">
        <v>44752</v>
      </c>
      <c r="B1071" s="149" t="s">
        <v>22379</v>
      </c>
      <c r="C1071" s="153" t="s">
        <v>16</v>
      </c>
      <c r="D1071" s="154">
        <v>4283.5</v>
      </c>
      <c r="E1071" s="155">
        <v>44752</v>
      </c>
      <c r="F1071" s="154">
        <v>4283.5</v>
      </c>
      <c r="G1071" s="156">
        <f>Tabla18[[#This Row],[Importe]]-Tabla18[[#This Row],[Pagado]]</f>
        <v>0</v>
      </c>
      <c r="H1071" s="153" t="s">
        <v>10</v>
      </c>
    </row>
    <row r="1072" spans="1:8" x14ac:dyDescent="0.25">
      <c r="A1072" s="73">
        <v>44752</v>
      </c>
      <c r="B1072" s="74" t="s">
        <v>22380</v>
      </c>
      <c r="C1072" s="75" t="s">
        <v>16</v>
      </c>
      <c r="D1072" s="81">
        <v>436</v>
      </c>
      <c r="E1072" s="151">
        <v>44752</v>
      </c>
      <c r="F1072" s="81">
        <v>436</v>
      </c>
      <c r="G1072" s="156">
        <f>Tabla18[[#This Row],[Importe]]-Tabla18[[#This Row],[Pagado]]</f>
        <v>0</v>
      </c>
      <c r="H1072" s="75" t="s">
        <v>10</v>
      </c>
    </row>
    <row r="1073" spans="1:8" x14ac:dyDescent="0.25">
      <c r="A1073" s="148">
        <v>44752</v>
      </c>
      <c r="B1073" s="149" t="s">
        <v>22381</v>
      </c>
      <c r="C1073" s="153" t="s">
        <v>31</v>
      </c>
      <c r="D1073" s="154">
        <v>877.5</v>
      </c>
      <c r="E1073" s="155">
        <v>44752</v>
      </c>
      <c r="F1073" s="154">
        <v>877.5</v>
      </c>
      <c r="G1073" s="156">
        <f>Tabla18[[#This Row],[Importe]]-Tabla18[[#This Row],[Pagado]]</f>
        <v>0</v>
      </c>
      <c r="H1073" s="153" t="s">
        <v>10</v>
      </c>
    </row>
    <row r="1074" spans="1:8" x14ac:dyDescent="0.25">
      <c r="A1074" s="73">
        <v>44752</v>
      </c>
      <c r="B1074" s="74" t="s">
        <v>22382</v>
      </c>
      <c r="C1074" s="75" t="s">
        <v>58</v>
      </c>
      <c r="D1074" s="81">
        <v>3480</v>
      </c>
      <c r="E1074" s="151">
        <v>44752</v>
      </c>
      <c r="F1074" s="81">
        <v>3480</v>
      </c>
      <c r="G1074" s="156">
        <f>Tabla18[[#This Row],[Importe]]-Tabla18[[#This Row],[Pagado]]</f>
        <v>0</v>
      </c>
      <c r="H1074" s="75" t="s">
        <v>10</v>
      </c>
    </row>
    <row r="1075" spans="1:8" x14ac:dyDescent="0.25">
      <c r="A1075" s="148">
        <v>44752</v>
      </c>
      <c r="B1075" s="149" t="s">
        <v>22383</v>
      </c>
      <c r="C1075" s="153" t="s">
        <v>11033</v>
      </c>
      <c r="D1075" s="154">
        <v>2021.6</v>
      </c>
      <c r="E1075" s="155">
        <v>44752</v>
      </c>
      <c r="F1075" s="154">
        <v>2021.6</v>
      </c>
      <c r="G1075" s="156">
        <f>Tabla18[[#This Row],[Importe]]-Tabla18[[#This Row],[Pagado]]</f>
        <v>0</v>
      </c>
      <c r="H1075" s="153" t="s">
        <v>10</v>
      </c>
    </row>
    <row r="1076" spans="1:8" x14ac:dyDescent="0.25">
      <c r="A1076" s="73">
        <v>44752</v>
      </c>
      <c r="B1076" s="74" t="s">
        <v>22384</v>
      </c>
      <c r="C1076" s="75" t="s">
        <v>53</v>
      </c>
      <c r="D1076" s="81">
        <v>748.8</v>
      </c>
      <c r="E1076" s="151">
        <v>44752</v>
      </c>
      <c r="F1076" s="81">
        <v>748.8</v>
      </c>
      <c r="G1076" s="156">
        <f>Tabla18[[#This Row],[Importe]]-Tabla18[[#This Row],[Pagado]]</f>
        <v>0</v>
      </c>
      <c r="H1076" s="75" t="s">
        <v>10</v>
      </c>
    </row>
    <row r="1077" spans="1:8" x14ac:dyDescent="0.25">
      <c r="A1077" s="148">
        <v>44752</v>
      </c>
      <c r="B1077" s="149" t="s">
        <v>22385</v>
      </c>
      <c r="C1077" s="153" t="s">
        <v>296</v>
      </c>
      <c r="D1077" s="154">
        <v>4666.6000000000004</v>
      </c>
      <c r="E1077" s="155">
        <v>44752</v>
      </c>
      <c r="F1077" s="154">
        <v>4666.6000000000004</v>
      </c>
      <c r="G1077" s="156">
        <f>Tabla18[[#This Row],[Importe]]-Tabla18[[#This Row],[Pagado]]</f>
        <v>0</v>
      </c>
      <c r="H1077" s="153" t="s">
        <v>10</v>
      </c>
    </row>
    <row r="1078" spans="1:8" x14ac:dyDescent="0.25">
      <c r="A1078" s="73">
        <v>44752</v>
      </c>
      <c r="B1078" s="74" t="s">
        <v>22386</v>
      </c>
      <c r="C1078" s="75" t="s">
        <v>191</v>
      </c>
      <c r="D1078" s="81">
        <v>2017.4</v>
      </c>
      <c r="E1078" s="151">
        <v>44752</v>
      </c>
      <c r="F1078" s="81">
        <v>2017.4</v>
      </c>
      <c r="G1078" s="156">
        <f>Tabla18[[#This Row],[Importe]]-Tabla18[[#This Row],[Pagado]]</f>
        <v>0</v>
      </c>
      <c r="H1078" s="75" t="s">
        <v>10</v>
      </c>
    </row>
    <row r="1079" spans="1:8" x14ac:dyDescent="0.25">
      <c r="A1079" s="148">
        <v>44752</v>
      </c>
      <c r="B1079" s="149" t="s">
        <v>22387</v>
      </c>
      <c r="C1079" s="153" t="s">
        <v>857</v>
      </c>
      <c r="D1079" s="154">
        <v>1306.8</v>
      </c>
      <c r="E1079" s="155">
        <v>44752</v>
      </c>
      <c r="F1079" s="154">
        <v>1306.8</v>
      </c>
      <c r="G1079" s="156">
        <f>Tabla18[[#This Row],[Importe]]-Tabla18[[#This Row],[Pagado]]</f>
        <v>0</v>
      </c>
      <c r="H1079" s="153" t="s">
        <v>10</v>
      </c>
    </row>
    <row r="1080" spans="1:8" x14ac:dyDescent="0.25">
      <c r="A1080" s="73">
        <v>44752</v>
      </c>
      <c r="B1080" s="74" t="s">
        <v>22388</v>
      </c>
      <c r="C1080" s="75" t="s">
        <v>445</v>
      </c>
      <c r="D1080" s="81">
        <v>5093.8</v>
      </c>
      <c r="E1080" s="151">
        <v>44752</v>
      </c>
      <c r="F1080" s="81">
        <v>5093.8</v>
      </c>
      <c r="G1080" s="156">
        <f>Tabla18[[#This Row],[Importe]]-Tabla18[[#This Row],[Pagado]]</f>
        <v>0</v>
      </c>
      <c r="H1080" s="75" t="s">
        <v>10</v>
      </c>
    </row>
    <row r="1081" spans="1:8" x14ac:dyDescent="0.25">
      <c r="A1081" s="148">
        <v>44752</v>
      </c>
      <c r="B1081" s="149" t="s">
        <v>22389</v>
      </c>
      <c r="C1081" s="153" t="s">
        <v>69</v>
      </c>
      <c r="D1081" s="154">
        <v>2109</v>
      </c>
      <c r="E1081" s="155">
        <v>44752</v>
      </c>
      <c r="F1081" s="154">
        <v>2109</v>
      </c>
      <c r="G1081" s="156">
        <f>Tabla18[[#This Row],[Importe]]-Tabla18[[#This Row],[Pagado]]</f>
        <v>0</v>
      </c>
      <c r="H1081" s="153" t="s">
        <v>10</v>
      </c>
    </row>
    <row r="1082" spans="1:8" x14ac:dyDescent="0.25">
      <c r="A1082" s="73">
        <v>44752</v>
      </c>
      <c r="B1082" s="74" t="s">
        <v>22390</v>
      </c>
      <c r="C1082" s="75" t="s">
        <v>804</v>
      </c>
      <c r="D1082" s="81">
        <v>15787.6</v>
      </c>
      <c r="E1082" s="151">
        <v>44752</v>
      </c>
      <c r="F1082" s="81">
        <v>15787.6</v>
      </c>
      <c r="G1082" s="156">
        <f>Tabla18[[#This Row],[Importe]]-Tabla18[[#This Row],[Pagado]]</f>
        <v>0</v>
      </c>
      <c r="H1082" s="75" t="s">
        <v>10</v>
      </c>
    </row>
    <row r="1083" spans="1:8" x14ac:dyDescent="0.25">
      <c r="A1083" s="148">
        <v>44752</v>
      </c>
      <c r="B1083" s="149" t="s">
        <v>22391</v>
      </c>
      <c r="C1083" s="153" t="s">
        <v>31</v>
      </c>
      <c r="D1083" s="154">
        <v>1199.5</v>
      </c>
      <c r="E1083" s="155">
        <v>44752</v>
      </c>
      <c r="F1083" s="154">
        <v>1199.5</v>
      </c>
      <c r="G1083" s="156">
        <f>Tabla18[[#This Row],[Importe]]-Tabla18[[#This Row],[Pagado]]</f>
        <v>0</v>
      </c>
      <c r="H1083" s="153" t="s">
        <v>10</v>
      </c>
    </row>
    <row r="1084" spans="1:8" x14ac:dyDescent="0.25">
      <c r="A1084" s="73">
        <v>44752</v>
      </c>
      <c r="B1084" s="74" t="s">
        <v>22392</v>
      </c>
      <c r="C1084" s="75" t="s">
        <v>214</v>
      </c>
      <c r="D1084" s="81">
        <v>1827.8</v>
      </c>
      <c r="E1084" s="151">
        <v>44752</v>
      </c>
      <c r="F1084" s="81">
        <v>1827.8</v>
      </c>
      <c r="G1084" s="156">
        <f>Tabla18[[#This Row],[Importe]]-Tabla18[[#This Row],[Pagado]]</f>
        <v>0</v>
      </c>
      <c r="H1084" s="75" t="s">
        <v>10</v>
      </c>
    </row>
    <row r="1085" spans="1:8" x14ac:dyDescent="0.25">
      <c r="A1085" s="148">
        <v>44752</v>
      </c>
      <c r="B1085" s="149" t="s">
        <v>22393</v>
      </c>
      <c r="C1085" s="153" t="s">
        <v>804</v>
      </c>
      <c r="D1085" s="154">
        <v>7008</v>
      </c>
      <c r="E1085" s="155">
        <v>44752</v>
      </c>
      <c r="F1085" s="154">
        <v>7008</v>
      </c>
      <c r="G1085" s="156">
        <f>Tabla18[[#This Row],[Importe]]-Tabla18[[#This Row],[Pagado]]</f>
        <v>0</v>
      </c>
      <c r="H1085" s="153" t="s">
        <v>10</v>
      </c>
    </row>
    <row r="1086" spans="1:8" x14ac:dyDescent="0.25">
      <c r="A1086" s="73">
        <v>44752</v>
      </c>
      <c r="B1086" s="74" t="s">
        <v>22394</v>
      </c>
      <c r="C1086" s="75" t="s">
        <v>62</v>
      </c>
      <c r="D1086" s="81">
        <v>8321.5</v>
      </c>
      <c r="E1086" s="151">
        <v>44752</v>
      </c>
      <c r="F1086" s="81">
        <v>8321.5</v>
      </c>
      <c r="G1086" s="156">
        <f>Tabla18[[#This Row],[Importe]]-Tabla18[[#This Row],[Pagado]]</f>
        <v>0</v>
      </c>
      <c r="H1086" s="75" t="s">
        <v>10</v>
      </c>
    </row>
    <row r="1087" spans="1:8" x14ac:dyDescent="0.25">
      <c r="A1087" s="148">
        <v>44752</v>
      </c>
      <c r="B1087" s="149" t="s">
        <v>22395</v>
      </c>
      <c r="C1087" s="153" t="s">
        <v>67</v>
      </c>
      <c r="D1087" s="154">
        <v>138</v>
      </c>
      <c r="E1087" s="155">
        <v>44752</v>
      </c>
      <c r="F1087" s="154">
        <v>138</v>
      </c>
      <c r="G1087" s="156">
        <f>Tabla18[[#This Row],[Importe]]-Tabla18[[#This Row],[Pagado]]</f>
        <v>0</v>
      </c>
      <c r="H1087" s="153" t="s">
        <v>10</v>
      </c>
    </row>
    <row r="1088" spans="1:8" x14ac:dyDescent="0.25">
      <c r="A1088" s="73">
        <v>44752</v>
      </c>
      <c r="B1088" s="74" t="s">
        <v>22396</v>
      </c>
      <c r="C1088" s="75" t="s">
        <v>4136</v>
      </c>
      <c r="D1088" s="81">
        <v>1567</v>
      </c>
      <c r="E1088" s="151">
        <v>44752</v>
      </c>
      <c r="F1088" s="81">
        <v>1567</v>
      </c>
      <c r="G1088" s="156">
        <f>Tabla18[[#This Row],[Importe]]-Tabla18[[#This Row],[Pagado]]</f>
        <v>0</v>
      </c>
      <c r="H1088" s="75" t="s">
        <v>10</v>
      </c>
    </row>
    <row r="1089" spans="1:8" x14ac:dyDescent="0.25">
      <c r="A1089" s="148">
        <v>44752</v>
      </c>
      <c r="B1089" s="149" t="s">
        <v>22397</v>
      </c>
      <c r="C1089" s="153" t="s">
        <v>31</v>
      </c>
      <c r="D1089" s="154">
        <v>38.5</v>
      </c>
      <c r="E1089" s="155">
        <v>44752</v>
      </c>
      <c r="F1089" s="154">
        <v>38.5</v>
      </c>
      <c r="G1089" s="156">
        <f>Tabla18[[#This Row],[Importe]]-Tabla18[[#This Row],[Pagado]]</f>
        <v>0</v>
      </c>
      <c r="H1089" s="153" t="s">
        <v>10</v>
      </c>
    </row>
    <row r="1090" spans="1:8" ht="31.5" x14ac:dyDescent="0.25">
      <c r="A1090" s="73">
        <v>44753</v>
      </c>
      <c r="B1090" s="74" t="s">
        <v>22398</v>
      </c>
      <c r="C1090" s="75" t="s">
        <v>475</v>
      </c>
      <c r="D1090" s="81">
        <v>100441.60000000001</v>
      </c>
      <c r="E1090" s="147" t="s">
        <v>22399</v>
      </c>
      <c r="F1090" s="81">
        <f>81500+18941.6</f>
        <v>100441.60000000001</v>
      </c>
      <c r="G1090" s="156">
        <f>Tabla18[[#This Row],[Importe]]-Tabla18[[#This Row],[Pagado]]</f>
        <v>0</v>
      </c>
      <c r="H1090" s="75" t="s">
        <v>10</v>
      </c>
    </row>
    <row r="1091" spans="1:8" x14ac:dyDescent="0.25">
      <c r="A1091" s="148">
        <v>44753</v>
      </c>
      <c r="B1091" s="149" t="s">
        <v>22400</v>
      </c>
      <c r="C1091" s="153" t="s">
        <v>83</v>
      </c>
      <c r="D1091" s="154">
        <v>11930</v>
      </c>
      <c r="E1091" s="155">
        <v>44753</v>
      </c>
      <c r="F1091" s="154">
        <v>11930</v>
      </c>
      <c r="G1091" s="156">
        <f>Tabla18[[#This Row],[Importe]]-Tabla18[[#This Row],[Pagado]]</f>
        <v>0</v>
      </c>
      <c r="H1091" s="153" t="s">
        <v>10</v>
      </c>
    </row>
    <row r="1092" spans="1:8" x14ac:dyDescent="0.25">
      <c r="A1092" s="73">
        <v>44753</v>
      </c>
      <c r="B1092" s="74" t="s">
        <v>22401</v>
      </c>
      <c r="C1092" s="75" t="s">
        <v>481</v>
      </c>
      <c r="D1092" s="81">
        <v>539.6</v>
      </c>
      <c r="E1092" s="151">
        <v>44753</v>
      </c>
      <c r="F1092" s="81">
        <v>539.6</v>
      </c>
      <c r="G1092" s="156">
        <f>Tabla18[[#This Row],[Importe]]-Tabla18[[#This Row],[Pagado]]</f>
        <v>0</v>
      </c>
      <c r="H1092" s="75" t="s">
        <v>10</v>
      </c>
    </row>
    <row r="1093" spans="1:8" x14ac:dyDescent="0.25">
      <c r="A1093" s="148">
        <v>44753</v>
      </c>
      <c r="B1093" s="149" t="s">
        <v>22402</v>
      </c>
      <c r="C1093" s="153" t="s">
        <v>75</v>
      </c>
      <c r="D1093" s="154">
        <v>8110.4</v>
      </c>
      <c r="E1093" s="155">
        <v>44753</v>
      </c>
      <c r="F1093" s="154">
        <v>8110.4</v>
      </c>
      <c r="G1093" s="156">
        <f>Tabla18[[#This Row],[Importe]]-Tabla18[[#This Row],[Pagado]]</f>
        <v>0</v>
      </c>
      <c r="H1093" s="153" t="s">
        <v>10</v>
      </c>
    </row>
    <row r="1094" spans="1:8" x14ac:dyDescent="0.25">
      <c r="A1094" s="73">
        <v>44753</v>
      </c>
      <c r="B1094" s="74" t="s">
        <v>22403</v>
      </c>
      <c r="C1094" s="75" t="s">
        <v>473</v>
      </c>
      <c r="D1094" s="81">
        <v>5446.9</v>
      </c>
      <c r="E1094" s="151">
        <v>44753</v>
      </c>
      <c r="F1094" s="81">
        <v>5446.9</v>
      </c>
      <c r="G1094" s="156">
        <f>Tabla18[[#This Row],[Importe]]-Tabla18[[#This Row],[Pagado]]</f>
        <v>0</v>
      </c>
      <c r="H1094" s="75" t="s">
        <v>10</v>
      </c>
    </row>
    <row r="1095" spans="1:8" x14ac:dyDescent="0.25">
      <c r="A1095" s="148">
        <v>44753</v>
      </c>
      <c r="B1095" s="149" t="s">
        <v>22404</v>
      </c>
      <c r="C1095" s="153" t="s">
        <v>85</v>
      </c>
      <c r="D1095" s="154">
        <v>1385</v>
      </c>
      <c r="E1095" s="155">
        <v>44753</v>
      </c>
      <c r="F1095" s="154">
        <v>1385</v>
      </c>
      <c r="G1095" s="156">
        <f>Tabla18[[#This Row],[Importe]]-Tabla18[[#This Row],[Pagado]]</f>
        <v>0</v>
      </c>
      <c r="H1095" s="153" t="s">
        <v>10</v>
      </c>
    </row>
    <row r="1096" spans="1:8" x14ac:dyDescent="0.25">
      <c r="A1096" s="73">
        <v>44753</v>
      </c>
      <c r="B1096" s="74" t="s">
        <v>22405</v>
      </c>
      <c r="C1096" s="75" t="s">
        <v>240</v>
      </c>
      <c r="D1096" s="81">
        <v>11992</v>
      </c>
      <c r="E1096" s="151">
        <v>44753</v>
      </c>
      <c r="F1096" s="81">
        <v>11992</v>
      </c>
      <c r="G1096" s="156">
        <f>Tabla18[[#This Row],[Importe]]-Tabla18[[#This Row],[Pagado]]</f>
        <v>0</v>
      </c>
      <c r="H1096" s="75" t="s">
        <v>10</v>
      </c>
    </row>
    <row r="1097" spans="1:8" x14ac:dyDescent="0.25">
      <c r="A1097" s="148">
        <v>44753</v>
      </c>
      <c r="B1097" s="149" t="s">
        <v>22406</v>
      </c>
      <c r="C1097" s="153" t="s">
        <v>87</v>
      </c>
      <c r="D1097" s="154">
        <v>2360.8000000000002</v>
      </c>
      <c r="E1097" s="155">
        <v>44753</v>
      </c>
      <c r="F1097" s="154">
        <v>2360.8000000000002</v>
      </c>
      <c r="G1097" s="156">
        <f>Tabla18[[#This Row],[Importe]]-Tabla18[[#This Row],[Pagado]]</f>
        <v>0</v>
      </c>
      <c r="H1097" s="153" t="s">
        <v>10</v>
      </c>
    </row>
    <row r="1098" spans="1:8" x14ac:dyDescent="0.25">
      <c r="A1098" s="73">
        <v>44753</v>
      </c>
      <c r="B1098" s="74" t="s">
        <v>22407</v>
      </c>
      <c r="C1098" s="75" t="s">
        <v>314</v>
      </c>
      <c r="D1098" s="81">
        <v>3070</v>
      </c>
      <c r="E1098" s="151">
        <v>44753</v>
      </c>
      <c r="F1098" s="81">
        <v>3070</v>
      </c>
      <c r="G1098" s="156">
        <f>Tabla18[[#This Row],[Importe]]-Tabla18[[#This Row],[Pagado]]</f>
        <v>0</v>
      </c>
      <c r="H1098" s="75" t="s">
        <v>10</v>
      </c>
    </row>
    <row r="1099" spans="1:8" x14ac:dyDescent="0.25">
      <c r="A1099" s="148">
        <v>44753</v>
      </c>
      <c r="B1099" s="149" t="s">
        <v>22408</v>
      </c>
      <c r="C1099" s="153" t="s">
        <v>111</v>
      </c>
      <c r="D1099" s="154">
        <v>5542.8</v>
      </c>
      <c r="E1099" s="155">
        <v>44754</v>
      </c>
      <c r="F1099" s="154">
        <v>5542.8</v>
      </c>
      <c r="G1099" s="156">
        <f>Tabla18[[#This Row],[Importe]]-Tabla18[[#This Row],[Pagado]]</f>
        <v>0</v>
      </c>
      <c r="H1099" s="153" t="s">
        <v>10</v>
      </c>
    </row>
    <row r="1100" spans="1:8" x14ac:dyDescent="0.25">
      <c r="A1100" s="73">
        <v>44753</v>
      </c>
      <c r="B1100" s="74" t="s">
        <v>22409</v>
      </c>
      <c r="C1100" s="75" t="s">
        <v>64</v>
      </c>
      <c r="D1100" s="81">
        <v>5120</v>
      </c>
      <c r="E1100" s="151">
        <v>44754</v>
      </c>
      <c r="F1100" s="81">
        <v>5120</v>
      </c>
      <c r="G1100" s="156">
        <f>Tabla18[[#This Row],[Importe]]-Tabla18[[#This Row],[Pagado]]</f>
        <v>0</v>
      </c>
      <c r="H1100" s="75" t="s">
        <v>10</v>
      </c>
    </row>
    <row r="1101" spans="1:8" x14ac:dyDescent="0.25">
      <c r="A1101" s="148">
        <v>44753</v>
      </c>
      <c r="B1101" s="149" t="s">
        <v>22410</v>
      </c>
      <c r="C1101" s="153" t="s">
        <v>2563</v>
      </c>
      <c r="D1101" s="154">
        <v>4320</v>
      </c>
      <c r="E1101" s="155">
        <v>44754</v>
      </c>
      <c r="F1101" s="154">
        <v>4320</v>
      </c>
      <c r="G1101" s="156">
        <f>Tabla18[[#This Row],[Importe]]-Tabla18[[#This Row],[Pagado]]</f>
        <v>0</v>
      </c>
      <c r="H1101" s="153" t="s">
        <v>10</v>
      </c>
    </row>
    <row r="1102" spans="1:8" x14ac:dyDescent="0.25">
      <c r="A1102" s="73">
        <v>44753</v>
      </c>
      <c r="B1102" s="74" t="s">
        <v>22411</v>
      </c>
      <c r="C1102" s="75" t="s">
        <v>97</v>
      </c>
      <c r="D1102" s="81">
        <v>4889.6000000000004</v>
      </c>
      <c r="E1102" s="151">
        <v>44754</v>
      </c>
      <c r="F1102" s="81">
        <v>4889.6000000000004</v>
      </c>
      <c r="G1102" s="156">
        <f>Tabla18[[#This Row],[Importe]]-Tabla18[[#This Row],[Pagado]]</f>
        <v>0</v>
      </c>
      <c r="H1102" s="75" t="s">
        <v>10</v>
      </c>
    </row>
    <row r="1103" spans="1:8" ht="31.5" x14ac:dyDescent="0.25">
      <c r="A1103" s="148">
        <v>44753</v>
      </c>
      <c r="B1103" s="149" t="s">
        <v>22412</v>
      </c>
      <c r="C1103" s="153" t="s">
        <v>99</v>
      </c>
      <c r="D1103" s="154">
        <v>7926.7</v>
      </c>
      <c r="E1103" s="150" t="s">
        <v>22399</v>
      </c>
      <c r="F1103" s="154">
        <f>2100+5826.7</f>
        <v>7926.7</v>
      </c>
      <c r="G1103" s="156">
        <f>Tabla18[[#This Row],[Importe]]-Tabla18[[#This Row],[Pagado]]</f>
        <v>0</v>
      </c>
      <c r="H1103" s="153" t="s">
        <v>10</v>
      </c>
    </row>
    <row r="1104" spans="1:8" x14ac:dyDescent="0.25">
      <c r="A1104" s="73">
        <v>44753</v>
      </c>
      <c r="B1104" s="74" t="s">
        <v>22413</v>
      </c>
      <c r="C1104" s="75" t="s">
        <v>105</v>
      </c>
      <c r="D1104" s="81">
        <v>12457</v>
      </c>
      <c r="E1104" s="151">
        <v>44755</v>
      </c>
      <c r="F1104" s="81">
        <v>12457</v>
      </c>
      <c r="G1104" s="156">
        <f>Tabla18[[#This Row],[Importe]]-Tabla18[[#This Row],[Pagado]]</f>
        <v>0</v>
      </c>
      <c r="H1104" s="75" t="s">
        <v>10</v>
      </c>
    </row>
    <row r="1105" spans="1:8" x14ac:dyDescent="0.25">
      <c r="A1105" s="148">
        <v>44753</v>
      </c>
      <c r="B1105" s="149" t="s">
        <v>22414</v>
      </c>
      <c r="C1105" s="153" t="s">
        <v>60</v>
      </c>
      <c r="D1105" s="154">
        <v>4710.3999999999996</v>
      </c>
      <c r="E1105" s="155">
        <v>44756</v>
      </c>
      <c r="F1105" s="154">
        <v>4710.3999999999996</v>
      </c>
      <c r="G1105" s="156">
        <f>Tabla18[[#This Row],[Importe]]-Tabla18[[#This Row],[Pagado]]</f>
        <v>0</v>
      </c>
      <c r="H1105" s="153" t="s">
        <v>10</v>
      </c>
    </row>
    <row r="1106" spans="1:8" x14ac:dyDescent="0.25">
      <c r="A1106" s="73">
        <v>44753</v>
      </c>
      <c r="B1106" s="74" t="s">
        <v>22415</v>
      </c>
      <c r="C1106" s="75" t="s">
        <v>116</v>
      </c>
      <c r="D1106" s="81">
        <v>6061</v>
      </c>
      <c r="E1106" s="151">
        <v>44755</v>
      </c>
      <c r="F1106" s="81">
        <v>6061</v>
      </c>
      <c r="G1106" s="156">
        <f>Tabla18[[#This Row],[Importe]]-Tabla18[[#This Row],[Pagado]]</f>
        <v>0</v>
      </c>
      <c r="H1106" s="75" t="s">
        <v>10</v>
      </c>
    </row>
    <row r="1107" spans="1:8" x14ac:dyDescent="0.25">
      <c r="A1107" s="148">
        <v>44753</v>
      </c>
      <c r="B1107" s="149" t="s">
        <v>22416</v>
      </c>
      <c r="C1107" s="153" t="s">
        <v>114</v>
      </c>
      <c r="D1107" s="154">
        <v>5611</v>
      </c>
      <c r="E1107" s="155">
        <v>44754</v>
      </c>
      <c r="F1107" s="154">
        <v>5611</v>
      </c>
      <c r="G1107" s="156">
        <f>Tabla18[[#This Row],[Importe]]-Tabla18[[#This Row],[Pagado]]</f>
        <v>0</v>
      </c>
      <c r="H1107" s="153" t="s">
        <v>10</v>
      </c>
    </row>
    <row r="1108" spans="1:8" x14ac:dyDescent="0.25">
      <c r="A1108" s="73">
        <v>44753</v>
      </c>
      <c r="B1108" s="74" t="s">
        <v>22417</v>
      </c>
      <c r="C1108" s="75" t="s">
        <v>9</v>
      </c>
      <c r="D1108" s="81">
        <v>7456.6</v>
      </c>
      <c r="E1108" s="151">
        <v>44753</v>
      </c>
      <c r="F1108" s="81">
        <v>7456.6</v>
      </c>
      <c r="G1108" s="156">
        <f>Tabla18[[#This Row],[Importe]]-Tabla18[[#This Row],[Pagado]]</f>
        <v>0</v>
      </c>
      <c r="H1108" s="75" t="s">
        <v>10</v>
      </c>
    </row>
    <row r="1109" spans="1:8" x14ac:dyDescent="0.25">
      <c r="A1109" s="148">
        <v>44753</v>
      </c>
      <c r="B1109" s="149" t="s">
        <v>22418</v>
      </c>
      <c r="C1109" s="153" t="s">
        <v>348</v>
      </c>
      <c r="D1109" s="154">
        <v>2499.8000000000002</v>
      </c>
      <c r="E1109" s="155">
        <v>44753</v>
      </c>
      <c r="F1109" s="154">
        <v>2499.8000000000002</v>
      </c>
      <c r="G1109" s="156">
        <f>Tabla18[[#This Row],[Importe]]-Tabla18[[#This Row],[Pagado]]</f>
        <v>0</v>
      </c>
      <c r="H1109" s="153" t="s">
        <v>10</v>
      </c>
    </row>
    <row r="1110" spans="1:8" x14ac:dyDescent="0.25">
      <c r="A1110" s="73">
        <v>44753</v>
      </c>
      <c r="B1110" s="74" t="s">
        <v>22419</v>
      </c>
      <c r="C1110" s="75" t="s">
        <v>93</v>
      </c>
      <c r="D1110" s="81">
        <v>3404.6</v>
      </c>
      <c r="E1110" s="151">
        <v>44755</v>
      </c>
      <c r="F1110" s="81">
        <v>3404.6</v>
      </c>
      <c r="G1110" s="156">
        <f>Tabla18[[#This Row],[Importe]]-Tabla18[[#This Row],[Pagado]]</f>
        <v>0</v>
      </c>
      <c r="H1110" s="75" t="s">
        <v>10</v>
      </c>
    </row>
    <row r="1111" spans="1:8" x14ac:dyDescent="0.25">
      <c r="A1111" s="148">
        <v>44753</v>
      </c>
      <c r="B1111" s="149" t="s">
        <v>22420</v>
      </c>
      <c r="C1111" s="153" t="s">
        <v>11893</v>
      </c>
      <c r="D1111" s="154">
        <v>0</v>
      </c>
      <c r="E1111" s="158" t="s">
        <v>189</v>
      </c>
      <c r="F1111" s="154">
        <v>0</v>
      </c>
      <c r="G1111" s="156">
        <f>Tabla18[[#This Row],[Importe]]-Tabla18[[#This Row],[Pagado]]</f>
        <v>0</v>
      </c>
      <c r="H1111" s="153" t="s">
        <v>189</v>
      </c>
    </row>
    <row r="1112" spans="1:8" x14ac:dyDescent="0.25">
      <c r="A1112" s="73">
        <v>44753</v>
      </c>
      <c r="B1112" s="74" t="s">
        <v>22421</v>
      </c>
      <c r="C1112" s="75" t="s">
        <v>89</v>
      </c>
      <c r="D1112" s="81">
        <v>10167.4</v>
      </c>
      <c r="E1112" s="151">
        <v>44754</v>
      </c>
      <c r="F1112" s="81">
        <v>10167.4</v>
      </c>
      <c r="G1112" s="156">
        <f>Tabla18[[#This Row],[Importe]]-Tabla18[[#This Row],[Pagado]]</f>
        <v>0</v>
      </c>
      <c r="H1112" s="75" t="s">
        <v>10</v>
      </c>
    </row>
    <row r="1113" spans="1:8" x14ac:dyDescent="0.25">
      <c r="A1113" s="148">
        <v>44753</v>
      </c>
      <c r="B1113" s="149" t="s">
        <v>22422</v>
      </c>
      <c r="C1113" s="153" t="s">
        <v>326</v>
      </c>
      <c r="D1113" s="154">
        <v>5107.2</v>
      </c>
      <c r="E1113" s="155">
        <v>44754</v>
      </c>
      <c r="F1113" s="154">
        <v>5107.2</v>
      </c>
      <c r="G1113" s="156">
        <f>Tabla18[[#This Row],[Importe]]-Tabla18[[#This Row],[Pagado]]</f>
        <v>0</v>
      </c>
      <c r="H1113" s="153" t="s">
        <v>10</v>
      </c>
    </row>
    <row r="1114" spans="1:8" x14ac:dyDescent="0.25">
      <c r="A1114" s="73">
        <v>44753</v>
      </c>
      <c r="B1114" s="74" t="s">
        <v>22423</v>
      </c>
      <c r="C1114" s="75" t="s">
        <v>918</v>
      </c>
      <c r="D1114" s="81">
        <v>1248.2</v>
      </c>
      <c r="E1114" s="151">
        <v>44753</v>
      </c>
      <c r="F1114" s="81">
        <v>1248.2</v>
      </c>
      <c r="G1114" s="156">
        <f>Tabla18[[#This Row],[Importe]]-Tabla18[[#This Row],[Pagado]]</f>
        <v>0</v>
      </c>
      <c r="H1114" s="75" t="s">
        <v>10</v>
      </c>
    </row>
    <row r="1115" spans="1:8" x14ac:dyDescent="0.25">
      <c r="A1115" s="148">
        <v>44753</v>
      </c>
      <c r="B1115" s="149" t="s">
        <v>22424</v>
      </c>
      <c r="C1115" s="153" t="s">
        <v>1187</v>
      </c>
      <c r="D1115" s="154">
        <v>2652</v>
      </c>
      <c r="E1115" s="155">
        <v>44753</v>
      </c>
      <c r="F1115" s="154">
        <v>2652</v>
      </c>
      <c r="G1115" s="156">
        <f>Tabla18[[#This Row],[Importe]]-Tabla18[[#This Row],[Pagado]]</f>
        <v>0</v>
      </c>
      <c r="H1115" s="153" t="s">
        <v>10</v>
      </c>
    </row>
    <row r="1116" spans="1:8" x14ac:dyDescent="0.25">
      <c r="A1116" s="73">
        <v>44753</v>
      </c>
      <c r="B1116" s="74" t="s">
        <v>22425</v>
      </c>
      <c r="C1116" s="75" t="s">
        <v>56</v>
      </c>
      <c r="D1116" s="81">
        <v>8692.1</v>
      </c>
      <c r="E1116" s="151">
        <v>44753</v>
      </c>
      <c r="F1116" s="81">
        <v>8692.1</v>
      </c>
      <c r="G1116" s="156">
        <f>Tabla18[[#This Row],[Importe]]-Tabla18[[#This Row],[Pagado]]</f>
        <v>0</v>
      </c>
      <c r="H1116" s="75" t="s">
        <v>10</v>
      </c>
    </row>
    <row r="1117" spans="1:8" ht="31.5" x14ac:dyDescent="0.25">
      <c r="A1117" s="148">
        <v>44753</v>
      </c>
      <c r="B1117" s="149" t="s">
        <v>22426</v>
      </c>
      <c r="C1117" s="153" t="s">
        <v>22</v>
      </c>
      <c r="D1117" s="154">
        <v>59677.599999999999</v>
      </c>
      <c r="E1117" s="150" t="s">
        <v>22203</v>
      </c>
      <c r="F1117" s="154">
        <f>36000+23677.6</f>
        <v>59677.599999999999</v>
      </c>
      <c r="G1117" s="156">
        <f>Tabla18[[#This Row],[Importe]]-Tabla18[[#This Row],[Pagado]]</f>
        <v>0</v>
      </c>
      <c r="H1117" s="153" t="s">
        <v>10</v>
      </c>
    </row>
    <row r="1118" spans="1:8" x14ac:dyDescent="0.25">
      <c r="A1118" s="73">
        <v>44753</v>
      </c>
      <c r="B1118" s="74" t="s">
        <v>22427</v>
      </c>
      <c r="C1118" s="75" t="s">
        <v>11033</v>
      </c>
      <c r="D1118" s="81">
        <v>1963.5</v>
      </c>
      <c r="E1118" s="151">
        <v>44753</v>
      </c>
      <c r="F1118" s="81">
        <v>1963.5</v>
      </c>
      <c r="G1118" s="156">
        <f>Tabla18[[#This Row],[Importe]]-Tabla18[[#This Row],[Pagado]]</f>
        <v>0</v>
      </c>
      <c r="H1118" s="75" t="s">
        <v>10</v>
      </c>
    </row>
    <row r="1119" spans="1:8" x14ac:dyDescent="0.25">
      <c r="A1119" s="148">
        <v>44753</v>
      </c>
      <c r="B1119" s="149" t="s">
        <v>22428</v>
      </c>
      <c r="C1119" s="153" t="s">
        <v>16</v>
      </c>
      <c r="D1119" s="154">
        <v>6299</v>
      </c>
      <c r="E1119" s="155">
        <v>44753</v>
      </c>
      <c r="F1119" s="154">
        <v>6299</v>
      </c>
      <c r="G1119" s="156">
        <f>Tabla18[[#This Row],[Importe]]-Tabla18[[#This Row],[Pagado]]</f>
        <v>0</v>
      </c>
      <c r="H1119" s="153" t="s">
        <v>10</v>
      </c>
    </row>
    <row r="1120" spans="1:8" x14ac:dyDescent="0.25">
      <c r="A1120" s="73">
        <v>44753</v>
      </c>
      <c r="B1120" s="74" t="s">
        <v>22429</v>
      </c>
      <c r="C1120" s="75" t="s">
        <v>27</v>
      </c>
      <c r="D1120" s="81">
        <v>2220</v>
      </c>
      <c r="E1120" s="151">
        <v>44753</v>
      </c>
      <c r="F1120" s="81">
        <v>2220</v>
      </c>
      <c r="G1120" s="156">
        <f>Tabla18[[#This Row],[Importe]]-Tabla18[[#This Row],[Pagado]]</f>
        <v>0</v>
      </c>
      <c r="H1120" s="75" t="s">
        <v>10</v>
      </c>
    </row>
    <row r="1121" spans="1:8" x14ac:dyDescent="0.25">
      <c r="A1121" s="148">
        <v>44753</v>
      </c>
      <c r="B1121" s="149" t="s">
        <v>22430</v>
      </c>
      <c r="C1121" s="153" t="s">
        <v>53</v>
      </c>
      <c r="D1121" s="154">
        <v>1185.5999999999999</v>
      </c>
      <c r="E1121" s="155">
        <v>44753</v>
      </c>
      <c r="F1121" s="154">
        <v>1185.5999999999999</v>
      </c>
      <c r="G1121" s="156">
        <f>Tabla18[[#This Row],[Importe]]-Tabla18[[#This Row],[Pagado]]</f>
        <v>0</v>
      </c>
      <c r="H1121" s="153" t="s">
        <v>10</v>
      </c>
    </row>
    <row r="1122" spans="1:8" x14ac:dyDescent="0.25">
      <c r="A1122" s="73">
        <v>44753</v>
      </c>
      <c r="B1122" s="74" t="s">
        <v>22431</v>
      </c>
      <c r="C1122" s="75" t="s">
        <v>222</v>
      </c>
      <c r="D1122" s="81">
        <v>11493.6</v>
      </c>
      <c r="E1122" s="151">
        <v>44753</v>
      </c>
      <c r="F1122" s="81">
        <v>11493.6</v>
      </c>
      <c r="G1122" s="156">
        <f>Tabla18[[#This Row],[Importe]]-Tabla18[[#This Row],[Pagado]]</f>
        <v>0</v>
      </c>
      <c r="H1122" s="75" t="s">
        <v>10</v>
      </c>
    </row>
    <row r="1123" spans="1:8" x14ac:dyDescent="0.25">
      <c r="A1123" s="148">
        <v>44753</v>
      </c>
      <c r="B1123" s="149" t="s">
        <v>22432</v>
      </c>
      <c r="C1123" s="153" t="s">
        <v>49</v>
      </c>
      <c r="D1123" s="154">
        <v>3504.6</v>
      </c>
      <c r="E1123" s="155">
        <v>44753</v>
      </c>
      <c r="F1123" s="154">
        <v>3504.6</v>
      </c>
      <c r="G1123" s="156">
        <f>Tabla18[[#This Row],[Importe]]-Tabla18[[#This Row],[Pagado]]</f>
        <v>0</v>
      </c>
      <c r="H1123" s="153" t="s">
        <v>10</v>
      </c>
    </row>
    <row r="1124" spans="1:8" x14ac:dyDescent="0.25">
      <c r="A1124" s="73">
        <v>44753</v>
      </c>
      <c r="B1124" s="74" t="s">
        <v>22433</v>
      </c>
      <c r="C1124" s="75" t="s">
        <v>142</v>
      </c>
      <c r="D1124" s="81">
        <v>121513</v>
      </c>
      <c r="E1124" s="151">
        <v>44799</v>
      </c>
      <c r="F1124" s="81">
        <v>121513</v>
      </c>
      <c r="G1124" s="156">
        <f>Tabla18[[#This Row],[Importe]]-Tabla18[[#This Row],[Pagado]]</f>
        <v>0</v>
      </c>
      <c r="H1124" s="75" t="s">
        <v>10</v>
      </c>
    </row>
    <row r="1125" spans="1:8" x14ac:dyDescent="0.25">
      <c r="A1125" s="148">
        <v>44753</v>
      </c>
      <c r="B1125" s="149" t="s">
        <v>22434</v>
      </c>
      <c r="C1125" s="153" t="s">
        <v>45</v>
      </c>
      <c r="D1125" s="154">
        <v>8158.8</v>
      </c>
      <c r="E1125" s="155">
        <v>44753</v>
      </c>
      <c r="F1125" s="154">
        <v>8158.8</v>
      </c>
      <c r="G1125" s="156">
        <f>Tabla18[[#This Row],[Importe]]-Tabla18[[#This Row],[Pagado]]</f>
        <v>0</v>
      </c>
      <c r="H1125" s="153" t="s">
        <v>10</v>
      </c>
    </row>
    <row r="1126" spans="1:8" x14ac:dyDescent="0.25">
      <c r="A1126" s="73">
        <v>44753</v>
      </c>
      <c r="B1126" s="74" t="s">
        <v>22435</v>
      </c>
      <c r="C1126" s="75" t="s">
        <v>14</v>
      </c>
      <c r="D1126" s="81">
        <v>27589.4</v>
      </c>
      <c r="E1126" s="151">
        <v>44753</v>
      </c>
      <c r="F1126" s="81">
        <v>27589.4</v>
      </c>
      <c r="G1126" s="156">
        <f>Tabla18[[#This Row],[Importe]]-Tabla18[[#This Row],[Pagado]]</f>
        <v>0</v>
      </c>
      <c r="H1126" s="75" t="s">
        <v>10</v>
      </c>
    </row>
    <row r="1127" spans="1:8" x14ac:dyDescent="0.25">
      <c r="A1127" s="148">
        <v>44753</v>
      </c>
      <c r="B1127" s="149" t="s">
        <v>22436</v>
      </c>
      <c r="C1127" s="153" t="s">
        <v>161</v>
      </c>
      <c r="D1127" s="154">
        <v>3907.2</v>
      </c>
      <c r="E1127" s="155">
        <v>44753</v>
      </c>
      <c r="F1127" s="154">
        <v>3907.2</v>
      </c>
      <c r="G1127" s="156">
        <f>Tabla18[[#This Row],[Importe]]-Tabla18[[#This Row],[Pagado]]</f>
        <v>0</v>
      </c>
      <c r="H1127" s="153" t="s">
        <v>10</v>
      </c>
    </row>
    <row r="1128" spans="1:8" x14ac:dyDescent="0.25">
      <c r="A1128" s="73">
        <v>44753</v>
      </c>
      <c r="B1128" s="74" t="s">
        <v>22437</v>
      </c>
      <c r="C1128" s="75" t="s">
        <v>426</v>
      </c>
      <c r="D1128" s="81">
        <v>9348</v>
      </c>
      <c r="E1128" s="151">
        <v>44753</v>
      </c>
      <c r="F1128" s="81">
        <v>9348</v>
      </c>
      <c r="G1128" s="156">
        <f>Tabla18[[#This Row],[Importe]]-Tabla18[[#This Row],[Pagado]]</f>
        <v>0</v>
      </c>
      <c r="H1128" s="75" t="s">
        <v>10</v>
      </c>
    </row>
    <row r="1129" spans="1:8" x14ac:dyDescent="0.25">
      <c r="A1129" s="148">
        <v>44753</v>
      </c>
      <c r="B1129" s="149" t="s">
        <v>22438</v>
      </c>
      <c r="C1129" s="153" t="s">
        <v>196</v>
      </c>
      <c r="D1129" s="154">
        <v>86612.94</v>
      </c>
      <c r="E1129" s="155">
        <v>44757</v>
      </c>
      <c r="F1129" s="154">
        <v>86612.94</v>
      </c>
      <c r="G1129" s="156">
        <f>Tabla18[[#This Row],[Importe]]-Tabla18[[#This Row],[Pagado]]</f>
        <v>0</v>
      </c>
      <c r="H1129" s="153" t="s">
        <v>10</v>
      </c>
    </row>
    <row r="1130" spans="1:8" x14ac:dyDescent="0.25">
      <c r="A1130" s="73">
        <v>44753</v>
      </c>
      <c r="B1130" s="74" t="s">
        <v>22439</v>
      </c>
      <c r="C1130" s="75" t="s">
        <v>19346</v>
      </c>
      <c r="D1130" s="81">
        <v>0</v>
      </c>
      <c r="E1130" s="157" t="s">
        <v>189</v>
      </c>
      <c r="F1130" s="81">
        <v>0</v>
      </c>
      <c r="G1130" s="156">
        <f>Tabla18[[#This Row],[Importe]]-Tabla18[[#This Row],[Pagado]]</f>
        <v>0</v>
      </c>
      <c r="H1130" s="75" t="s">
        <v>189</v>
      </c>
    </row>
    <row r="1131" spans="1:8" x14ac:dyDescent="0.25">
      <c r="A1131" s="148">
        <v>44753</v>
      </c>
      <c r="B1131" s="149" t="s">
        <v>22440</v>
      </c>
      <c r="C1131" s="153" t="s">
        <v>175</v>
      </c>
      <c r="D1131" s="154">
        <v>15022.6</v>
      </c>
      <c r="E1131" s="155">
        <v>44753</v>
      </c>
      <c r="F1131" s="154">
        <v>15022.6</v>
      </c>
      <c r="G1131" s="156">
        <f>Tabla18[[#This Row],[Importe]]-Tabla18[[#This Row],[Pagado]]</f>
        <v>0</v>
      </c>
      <c r="H1131" s="153" t="s">
        <v>10</v>
      </c>
    </row>
    <row r="1132" spans="1:8" x14ac:dyDescent="0.25">
      <c r="A1132" s="73">
        <v>44753</v>
      </c>
      <c r="B1132" s="74" t="s">
        <v>22441</v>
      </c>
      <c r="C1132" s="75" t="s">
        <v>246</v>
      </c>
      <c r="D1132" s="81">
        <v>1925</v>
      </c>
      <c r="E1132" s="151">
        <v>44753</v>
      </c>
      <c r="F1132" s="81">
        <v>1925</v>
      </c>
      <c r="G1132" s="156">
        <f>Tabla18[[#This Row],[Importe]]-Tabla18[[#This Row],[Pagado]]</f>
        <v>0</v>
      </c>
      <c r="H1132" s="75" t="s">
        <v>10</v>
      </c>
    </row>
    <row r="1133" spans="1:8" x14ac:dyDescent="0.25">
      <c r="A1133" s="148">
        <v>44753</v>
      </c>
      <c r="B1133" s="149" t="s">
        <v>22442</v>
      </c>
      <c r="C1133" s="153" t="s">
        <v>246</v>
      </c>
      <c r="D1133" s="154">
        <v>332.5</v>
      </c>
      <c r="E1133" s="155">
        <v>44753</v>
      </c>
      <c r="F1133" s="154">
        <v>332.5</v>
      </c>
      <c r="G1133" s="156">
        <f>Tabla18[[#This Row],[Importe]]-Tabla18[[#This Row],[Pagado]]</f>
        <v>0</v>
      </c>
      <c r="H1133" s="153" t="s">
        <v>10</v>
      </c>
    </row>
    <row r="1134" spans="1:8" x14ac:dyDescent="0.25">
      <c r="A1134" s="73">
        <v>44753</v>
      </c>
      <c r="B1134" s="74" t="s">
        <v>22443</v>
      </c>
      <c r="C1134" s="75" t="s">
        <v>777</v>
      </c>
      <c r="D1134" s="81">
        <v>2454</v>
      </c>
      <c r="E1134" s="151">
        <v>44753</v>
      </c>
      <c r="F1134" s="81">
        <v>2454</v>
      </c>
      <c r="G1134" s="156">
        <f>Tabla18[[#This Row],[Importe]]-Tabla18[[#This Row],[Pagado]]</f>
        <v>0</v>
      </c>
      <c r="H1134" s="75" t="s">
        <v>10</v>
      </c>
    </row>
    <row r="1135" spans="1:8" x14ac:dyDescent="0.25">
      <c r="A1135" s="148">
        <v>44753</v>
      </c>
      <c r="B1135" s="149" t="s">
        <v>22444</v>
      </c>
      <c r="C1135" s="153" t="s">
        <v>214</v>
      </c>
      <c r="D1135" s="154">
        <v>1169.2</v>
      </c>
      <c r="E1135" s="155">
        <v>44753</v>
      </c>
      <c r="F1135" s="154">
        <v>1169.2</v>
      </c>
      <c r="G1135" s="156">
        <f>Tabla18[[#This Row],[Importe]]-Tabla18[[#This Row],[Pagado]]</f>
        <v>0</v>
      </c>
      <c r="H1135" s="153" t="s">
        <v>10</v>
      </c>
    </row>
    <row r="1136" spans="1:8" x14ac:dyDescent="0.25">
      <c r="A1136" s="73">
        <v>44753</v>
      </c>
      <c r="B1136" s="74" t="s">
        <v>22445</v>
      </c>
      <c r="C1136" s="75" t="s">
        <v>286</v>
      </c>
      <c r="D1136" s="81">
        <v>23446</v>
      </c>
      <c r="E1136" s="151">
        <v>44753</v>
      </c>
      <c r="F1136" s="81">
        <v>23446</v>
      </c>
      <c r="G1136" s="156">
        <f>Tabla18[[#This Row],[Importe]]-Tabla18[[#This Row],[Pagado]]</f>
        <v>0</v>
      </c>
      <c r="H1136" s="75" t="s">
        <v>10</v>
      </c>
    </row>
    <row r="1137" spans="1:8" x14ac:dyDescent="0.25">
      <c r="A1137" s="148">
        <v>44753</v>
      </c>
      <c r="B1137" s="149" t="s">
        <v>22446</v>
      </c>
      <c r="C1137" s="153" t="s">
        <v>137</v>
      </c>
      <c r="D1137" s="154">
        <v>2572.8000000000002</v>
      </c>
      <c r="E1137" s="155">
        <v>44753</v>
      </c>
      <c r="F1137" s="154">
        <v>2572.8000000000002</v>
      </c>
      <c r="G1137" s="156">
        <f>Tabla18[[#This Row],[Importe]]-Tabla18[[#This Row],[Pagado]]</f>
        <v>0</v>
      </c>
      <c r="H1137" s="153" t="s">
        <v>10</v>
      </c>
    </row>
    <row r="1138" spans="1:8" x14ac:dyDescent="0.25">
      <c r="A1138" s="73">
        <v>44753</v>
      </c>
      <c r="B1138" s="74" t="s">
        <v>22447</v>
      </c>
      <c r="C1138" s="75" t="s">
        <v>382</v>
      </c>
      <c r="D1138" s="81">
        <v>1267.5</v>
      </c>
      <c r="E1138" s="151">
        <v>44753</v>
      </c>
      <c r="F1138" s="81">
        <v>1267.5</v>
      </c>
      <c r="G1138" s="156">
        <f>Tabla18[[#This Row],[Importe]]-Tabla18[[#This Row],[Pagado]]</f>
        <v>0</v>
      </c>
      <c r="H1138" s="75" t="s">
        <v>10</v>
      </c>
    </row>
    <row r="1139" spans="1:8" x14ac:dyDescent="0.25">
      <c r="A1139" s="148">
        <v>44753</v>
      </c>
      <c r="B1139" s="149" t="s">
        <v>22448</v>
      </c>
      <c r="C1139" s="153" t="s">
        <v>289</v>
      </c>
      <c r="D1139" s="154">
        <v>15036.2</v>
      </c>
      <c r="E1139" s="155">
        <v>44753</v>
      </c>
      <c r="F1139" s="154">
        <v>15036.2</v>
      </c>
      <c r="G1139" s="156">
        <f>Tabla18[[#This Row],[Importe]]-Tabla18[[#This Row],[Pagado]]</f>
        <v>0</v>
      </c>
      <c r="H1139" s="153" t="s">
        <v>10</v>
      </c>
    </row>
    <row r="1140" spans="1:8" x14ac:dyDescent="0.25">
      <c r="A1140" s="73">
        <v>44753</v>
      </c>
      <c r="B1140" s="74" t="s">
        <v>22449</v>
      </c>
      <c r="C1140" s="75" t="s">
        <v>3971</v>
      </c>
      <c r="D1140" s="81">
        <v>5551.2</v>
      </c>
      <c r="E1140" s="151">
        <v>44753</v>
      </c>
      <c r="F1140" s="81">
        <v>5551.2</v>
      </c>
      <c r="G1140" s="156">
        <f>Tabla18[[#This Row],[Importe]]-Tabla18[[#This Row],[Pagado]]</f>
        <v>0</v>
      </c>
      <c r="H1140" s="75" t="s">
        <v>10</v>
      </c>
    </row>
    <row r="1141" spans="1:8" x14ac:dyDescent="0.25">
      <c r="A1141" s="148">
        <v>44753</v>
      </c>
      <c r="B1141" s="149" t="s">
        <v>22450</v>
      </c>
      <c r="C1141" s="153" t="s">
        <v>51</v>
      </c>
      <c r="D1141" s="154">
        <v>2188</v>
      </c>
      <c r="E1141" s="155">
        <v>44753</v>
      </c>
      <c r="F1141" s="154">
        <v>2188</v>
      </c>
      <c r="G1141" s="156">
        <f>Tabla18[[#This Row],[Importe]]-Tabla18[[#This Row],[Pagado]]</f>
        <v>0</v>
      </c>
      <c r="H1141" s="153" t="s">
        <v>10</v>
      </c>
    </row>
    <row r="1142" spans="1:8" x14ac:dyDescent="0.25">
      <c r="A1142" s="73">
        <v>44753</v>
      </c>
      <c r="B1142" s="74" t="s">
        <v>22451</v>
      </c>
      <c r="C1142" s="75" t="s">
        <v>179</v>
      </c>
      <c r="D1142" s="81">
        <v>1354.2</v>
      </c>
      <c r="E1142" s="151">
        <v>44753</v>
      </c>
      <c r="F1142" s="81">
        <v>1354.2</v>
      </c>
      <c r="G1142" s="156">
        <f>Tabla18[[#This Row],[Importe]]-Tabla18[[#This Row],[Pagado]]</f>
        <v>0</v>
      </c>
      <c r="H1142" s="75" t="s">
        <v>10</v>
      </c>
    </row>
    <row r="1143" spans="1:8" x14ac:dyDescent="0.25">
      <c r="A1143" s="148">
        <v>44753</v>
      </c>
      <c r="B1143" s="149" t="s">
        <v>22452</v>
      </c>
      <c r="C1143" s="153" t="s">
        <v>140</v>
      </c>
      <c r="D1143" s="154">
        <v>1649.2</v>
      </c>
      <c r="E1143" s="155">
        <v>44753</v>
      </c>
      <c r="F1143" s="154">
        <v>1649.2</v>
      </c>
      <c r="G1143" s="156">
        <f>Tabla18[[#This Row],[Importe]]-Tabla18[[#This Row],[Pagado]]</f>
        <v>0</v>
      </c>
      <c r="H1143" s="153" t="s">
        <v>10</v>
      </c>
    </row>
    <row r="1144" spans="1:8" x14ac:dyDescent="0.25">
      <c r="A1144" s="73">
        <v>44753</v>
      </c>
      <c r="B1144" s="74" t="s">
        <v>22453</v>
      </c>
      <c r="C1144" s="75" t="s">
        <v>129</v>
      </c>
      <c r="D1144" s="81">
        <v>4762.5</v>
      </c>
      <c r="E1144" s="151">
        <v>44753</v>
      </c>
      <c r="F1144" s="81">
        <v>4762.5</v>
      </c>
      <c r="G1144" s="156">
        <f>Tabla18[[#This Row],[Importe]]-Tabla18[[#This Row],[Pagado]]</f>
        <v>0</v>
      </c>
      <c r="H1144" s="75" t="s">
        <v>10</v>
      </c>
    </row>
    <row r="1145" spans="1:8" x14ac:dyDescent="0.25">
      <c r="A1145" s="148">
        <v>44753</v>
      </c>
      <c r="B1145" s="149" t="s">
        <v>22454</v>
      </c>
      <c r="C1145" s="153" t="s">
        <v>127</v>
      </c>
      <c r="D1145" s="154">
        <v>5215.6000000000004</v>
      </c>
      <c r="E1145" s="155">
        <v>44753</v>
      </c>
      <c r="F1145" s="154">
        <v>5215.6000000000004</v>
      </c>
      <c r="G1145" s="156">
        <f>Tabla18[[#This Row],[Importe]]-Tabla18[[#This Row],[Pagado]]</f>
        <v>0</v>
      </c>
      <c r="H1145" s="153" t="s">
        <v>10</v>
      </c>
    </row>
    <row r="1146" spans="1:8" x14ac:dyDescent="0.25">
      <c r="A1146" s="73">
        <v>44753</v>
      </c>
      <c r="B1146" s="74" t="s">
        <v>22455</v>
      </c>
      <c r="C1146" s="75" t="s">
        <v>357</v>
      </c>
      <c r="D1146" s="81">
        <v>1086.8</v>
      </c>
      <c r="E1146" s="151">
        <v>44753</v>
      </c>
      <c r="F1146" s="81">
        <v>1086.8</v>
      </c>
      <c r="G1146" s="156">
        <f>Tabla18[[#This Row],[Importe]]-Tabla18[[#This Row],[Pagado]]</f>
        <v>0</v>
      </c>
      <c r="H1146" s="75" t="s">
        <v>10</v>
      </c>
    </row>
    <row r="1147" spans="1:8" x14ac:dyDescent="0.25">
      <c r="A1147" s="148">
        <v>44753</v>
      </c>
      <c r="B1147" s="149" t="s">
        <v>22456</v>
      </c>
      <c r="C1147" s="153" t="s">
        <v>202</v>
      </c>
      <c r="D1147" s="154">
        <v>4537.2</v>
      </c>
      <c r="E1147" s="155">
        <v>44753</v>
      </c>
      <c r="F1147" s="154">
        <v>4537.2</v>
      </c>
      <c r="G1147" s="156">
        <f>Tabla18[[#This Row],[Importe]]-Tabla18[[#This Row],[Pagado]]</f>
        <v>0</v>
      </c>
      <c r="H1147" s="153" t="s">
        <v>10</v>
      </c>
    </row>
    <row r="1148" spans="1:8" x14ac:dyDescent="0.25">
      <c r="A1148" s="73">
        <v>44753</v>
      </c>
      <c r="B1148" s="74" t="s">
        <v>22457</v>
      </c>
      <c r="C1148" s="75" t="s">
        <v>91</v>
      </c>
      <c r="D1148" s="81">
        <v>5180</v>
      </c>
      <c r="E1148" s="151">
        <v>44753</v>
      </c>
      <c r="F1148" s="81">
        <v>5180</v>
      </c>
      <c r="G1148" s="156">
        <f>Tabla18[[#This Row],[Importe]]-Tabla18[[#This Row],[Pagado]]</f>
        <v>0</v>
      </c>
      <c r="H1148" s="75" t="s">
        <v>10</v>
      </c>
    </row>
    <row r="1149" spans="1:8" x14ac:dyDescent="0.25">
      <c r="A1149" s="148">
        <v>44753</v>
      </c>
      <c r="B1149" s="149" t="s">
        <v>22458</v>
      </c>
      <c r="C1149" s="153" t="s">
        <v>392</v>
      </c>
      <c r="D1149" s="154">
        <v>1324.6</v>
      </c>
      <c r="E1149" s="155">
        <v>44753</v>
      </c>
      <c r="F1149" s="154">
        <v>1324.6</v>
      </c>
      <c r="G1149" s="156">
        <f>Tabla18[[#This Row],[Importe]]-Tabla18[[#This Row],[Pagado]]</f>
        <v>0</v>
      </c>
      <c r="H1149" s="153" t="s">
        <v>10</v>
      </c>
    </row>
    <row r="1150" spans="1:8" x14ac:dyDescent="0.25">
      <c r="A1150" s="73">
        <v>44753</v>
      </c>
      <c r="B1150" s="74" t="s">
        <v>22459</v>
      </c>
      <c r="C1150" s="75" t="s">
        <v>24</v>
      </c>
      <c r="D1150" s="81">
        <v>3871</v>
      </c>
      <c r="E1150" s="151">
        <v>44753</v>
      </c>
      <c r="F1150" s="81">
        <v>3871</v>
      </c>
      <c r="G1150" s="156">
        <f>Tabla18[[#This Row],[Importe]]-Tabla18[[#This Row],[Pagado]]</f>
        <v>0</v>
      </c>
      <c r="H1150" s="75" t="s">
        <v>10</v>
      </c>
    </row>
    <row r="1151" spans="1:8" x14ac:dyDescent="0.25">
      <c r="A1151" s="148">
        <v>44753</v>
      </c>
      <c r="B1151" s="149" t="s">
        <v>22460</v>
      </c>
      <c r="C1151" s="153" t="s">
        <v>22263</v>
      </c>
      <c r="D1151" s="154">
        <v>0</v>
      </c>
      <c r="E1151" s="158" t="s">
        <v>189</v>
      </c>
      <c r="F1151" s="154">
        <v>0</v>
      </c>
      <c r="G1151" s="156">
        <f>Tabla18[[#This Row],[Importe]]-Tabla18[[#This Row],[Pagado]]</f>
        <v>0</v>
      </c>
      <c r="H1151" s="153" t="s">
        <v>189</v>
      </c>
    </row>
    <row r="1152" spans="1:8" x14ac:dyDescent="0.25">
      <c r="A1152" s="73">
        <v>44753</v>
      </c>
      <c r="B1152" s="74" t="s">
        <v>22461</v>
      </c>
      <c r="C1152" s="75" t="s">
        <v>146</v>
      </c>
      <c r="D1152" s="81">
        <v>4035</v>
      </c>
      <c r="E1152" s="151">
        <v>44753</v>
      </c>
      <c r="F1152" s="81">
        <v>4035</v>
      </c>
      <c r="G1152" s="156">
        <f>Tabla18[[#This Row],[Importe]]-Tabla18[[#This Row],[Pagado]]</f>
        <v>0</v>
      </c>
      <c r="H1152" s="75" t="s">
        <v>10</v>
      </c>
    </row>
    <row r="1153" spans="1:8" x14ac:dyDescent="0.25">
      <c r="A1153" s="148">
        <v>44753</v>
      </c>
      <c r="B1153" s="149" t="s">
        <v>22462</v>
      </c>
      <c r="C1153" s="153" t="s">
        <v>654</v>
      </c>
      <c r="D1153" s="154">
        <v>4325.2</v>
      </c>
      <c r="E1153" s="155">
        <v>44754</v>
      </c>
      <c r="F1153" s="154">
        <v>4325.2</v>
      </c>
      <c r="G1153" s="156">
        <f>Tabla18[[#This Row],[Importe]]-Tabla18[[#This Row],[Pagado]]</f>
        <v>0</v>
      </c>
      <c r="H1153" s="153" t="s">
        <v>10</v>
      </c>
    </row>
    <row r="1154" spans="1:8" x14ac:dyDescent="0.25">
      <c r="A1154" s="73">
        <v>44753</v>
      </c>
      <c r="B1154" s="74" t="s">
        <v>22463</v>
      </c>
      <c r="C1154" s="75" t="s">
        <v>664</v>
      </c>
      <c r="D1154" s="81">
        <v>14348</v>
      </c>
      <c r="E1154" s="151">
        <v>44753</v>
      </c>
      <c r="F1154" s="81">
        <v>14348</v>
      </c>
      <c r="G1154" s="156">
        <f>Tabla18[[#This Row],[Importe]]-Tabla18[[#This Row],[Pagado]]</f>
        <v>0</v>
      </c>
      <c r="H1154" s="75" t="s">
        <v>10</v>
      </c>
    </row>
    <row r="1155" spans="1:8" x14ac:dyDescent="0.25">
      <c r="A1155" s="148">
        <v>44753</v>
      </c>
      <c r="B1155" s="149" t="s">
        <v>22464</v>
      </c>
      <c r="C1155" s="153" t="s">
        <v>69</v>
      </c>
      <c r="D1155" s="154">
        <v>1776</v>
      </c>
      <c r="E1155" s="155">
        <v>44753</v>
      </c>
      <c r="F1155" s="154">
        <v>1776</v>
      </c>
      <c r="G1155" s="156">
        <f>Tabla18[[#This Row],[Importe]]-Tabla18[[#This Row],[Pagado]]</f>
        <v>0</v>
      </c>
      <c r="H1155" s="153" t="s">
        <v>10</v>
      </c>
    </row>
    <row r="1156" spans="1:8" x14ac:dyDescent="0.25">
      <c r="A1156" s="73">
        <v>44753</v>
      </c>
      <c r="B1156" s="74" t="s">
        <v>22465</v>
      </c>
      <c r="C1156" s="75" t="s">
        <v>107</v>
      </c>
      <c r="D1156" s="81">
        <v>4870.3999999999996</v>
      </c>
      <c r="E1156" s="151">
        <v>44753</v>
      </c>
      <c r="F1156" s="81">
        <v>4870.3999999999996</v>
      </c>
      <c r="G1156" s="156">
        <f>Tabla18[[#This Row],[Importe]]-Tabla18[[#This Row],[Pagado]]</f>
        <v>0</v>
      </c>
      <c r="H1156" s="75" t="s">
        <v>10</v>
      </c>
    </row>
    <row r="1157" spans="1:8" x14ac:dyDescent="0.25">
      <c r="A1157" s="148">
        <v>44753</v>
      </c>
      <c r="B1157" s="149" t="s">
        <v>22466</v>
      </c>
      <c r="C1157" s="153" t="s">
        <v>214</v>
      </c>
      <c r="D1157" s="154">
        <v>5124</v>
      </c>
      <c r="E1157" s="155">
        <v>44753</v>
      </c>
      <c r="F1157" s="154">
        <v>5124</v>
      </c>
      <c r="G1157" s="156">
        <f>Tabla18[[#This Row],[Importe]]-Tabla18[[#This Row],[Pagado]]</f>
        <v>0</v>
      </c>
      <c r="H1157" s="153" t="s">
        <v>10</v>
      </c>
    </row>
    <row r="1158" spans="1:8" x14ac:dyDescent="0.25">
      <c r="A1158" s="73">
        <v>44753</v>
      </c>
      <c r="B1158" s="74" t="s">
        <v>22467</v>
      </c>
      <c r="C1158" s="75" t="s">
        <v>91</v>
      </c>
      <c r="D1158" s="81">
        <v>8140</v>
      </c>
      <c r="E1158" s="151">
        <v>44753</v>
      </c>
      <c r="F1158" s="81">
        <v>8140</v>
      </c>
      <c r="G1158" s="156">
        <f>Tabla18[[#This Row],[Importe]]-Tabla18[[#This Row],[Pagado]]</f>
        <v>0</v>
      </c>
      <c r="H1158" s="75" t="s">
        <v>10</v>
      </c>
    </row>
    <row r="1159" spans="1:8" x14ac:dyDescent="0.25">
      <c r="A1159" s="148">
        <v>44753</v>
      </c>
      <c r="B1159" s="149" t="s">
        <v>22468</v>
      </c>
      <c r="C1159" s="153" t="s">
        <v>244</v>
      </c>
      <c r="D1159" s="154">
        <v>1794.6</v>
      </c>
      <c r="E1159" s="155">
        <v>44753</v>
      </c>
      <c r="F1159" s="154">
        <v>1794.6</v>
      </c>
      <c r="G1159" s="156">
        <f>Tabla18[[#This Row],[Importe]]-Tabla18[[#This Row],[Pagado]]</f>
        <v>0</v>
      </c>
      <c r="H1159" s="153" t="s">
        <v>10</v>
      </c>
    </row>
    <row r="1160" spans="1:8" x14ac:dyDescent="0.25">
      <c r="A1160" s="73">
        <v>44753</v>
      </c>
      <c r="B1160" s="74" t="s">
        <v>22469</v>
      </c>
      <c r="C1160" s="75" t="s">
        <v>135</v>
      </c>
      <c r="D1160" s="81">
        <v>1294.8</v>
      </c>
      <c r="E1160" s="151">
        <v>44753</v>
      </c>
      <c r="F1160" s="81">
        <v>1294.8</v>
      </c>
      <c r="G1160" s="156">
        <f>Tabla18[[#This Row],[Importe]]-Tabla18[[#This Row],[Pagado]]</f>
        <v>0</v>
      </c>
      <c r="H1160" s="75" t="s">
        <v>10</v>
      </c>
    </row>
    <row r="1161" spans="1:8" x14ac:dyDescent="0.25">
      <c r="A1161" s="148">
        <v>44753</v>
      </c>
      <c r="B1161" s="149" t="s">
        <v>22470</v>
      </c>
      <c r="C1161" s="153" t="s">
        <v>191</v>
      </c>
      <c r="D1161" s="154">
        <v>899.4</v>
      </c>
      <c r="E1161" s="155">
        <v>44753</v>
      </c>
      <c r="F1161" s="154">
        <v>899.4</v>
      </c>
      <c r="G1161" s="156">
        <f>Tabla18[[#This Row],[Importe]]-Tabla18[[#This Row],[Pagado]]</f>
        <v>0</v>
      </c>
      <c r="H1161" s="153" t="s">
        <v>10</v>
      </c>
    </row>
    <row r="1162" spans="1:8" x14ac:dyDescent="0.25">
      <c r="A1162" s="73">
        <v>44753</v>
      </c>
      <c r="B1162" s="74" t="s">
        <v>22471</v>
      </c>
      <c r="C1162" s="75" t="s">
        <v>9415</v>
      </c>
      <c r="D1162" s="81">
        <v>11628</v>
      </c>
      <c r="E1162" s="151">
        <v>44758</v>
      </c>
      <c r="F1162" s="81">
        <v>11628</v>
      </c>
      <c r="G1162" s="156">
        <f>Tabla18[[#This Row],[Importe]]-Tabla18[[#This Row],[Pagado]]</f>
        <v>0</v>
      </c>
      <c r="H1162" s="75" t="s">
        <v>10</v>
      </c>
    </row>
    <row r="1163" spans="1:8" x14ac:dyDescent="0.25">
      <c r="A1163" s="148">
        <v>44753</v>
      </c>
      <c r="B1163" s="149" t="s">
        <v>22472</v>
      </c>
      <c r="C1163" s="153" t="s">
        <v>7745</v>
      </c>
      <c r="D1163" s="154">
        <v>25220</v>
      </c>
      <c r="E1163" s="155">
        <v>44753</v>
      </c>
      <c r="F1163" s="154">
        <v>25220</v>
      </c>
      <c r="G1163" s="156">
        <f>Tabla18[[#This Row],[Importe]]-Tabla18[[#This Row],[Pagado]]</f>
        <v>0</v>
      </c>
      <c r="H1163" s="153" t="s">
        <v>10</v>
      </c>
    </row>
    <row r="1164" spans="1:8" x14ac:dyDescent="0.25">
      <c r="A1164" s="73">
        <v>44753</v>
      </c>
      <c r="B1164" s="74" t="s">
        <v>22473</v>
      </c>
      <c r="C1164" s="75" t="s">
        <v>698</v>
      </c>
      <c r="D1164" s="81">
        <v>7560</v>
      </c>
      <c r="E1164" s="151">
        <v>44753</v>
      </c>
      <c r="F1164" s="81">
        <v>7560</v>
      </c>
      <c r="G1164" s="156">
        <f>Tabla18[[#This Row],[Importe]]-Tabla18[[#This Row],[Pagado]]</f>
        <v>0</v>
      </c>
      <c r="H1164" s="75" t="s">
        <v>10</v>
      </c>
    </row>
    <row r="1165" spans="1:8" x14ac:dyDescent="0.25">
      <c r="A1165" s="148">
        <v>44753</v>
      </c>
      <c r="B1165" s="149" t="s">
        <v>22474</v>
      </c>
      <c r="C1165" s="153" t="s">
        <v>419</v>
      </c>
      <c r="D1165" s="154">
        <v>5513.4</v>
      </c>
      <c r="E1165" s="155">
        <v>44753</v>
      </c>
      <c r="F1165" s="154">
        <v>5513.4</v>
      </c>
      <c r="G1165" s="156">
        <f>Tabla18[[#This Row],[Importe]]-Tabla18[[#This Row],[Pagado]]</f>
        <v>0</v>
      </c>
      <c r="H1165" s="153" t="s">
        <v>10</v>
      </c>
    </row>
    <row r="1166" spans="1:8" x14ac:dyDescent="0.25">
      <c r="A1166" s="73">
        <v>44753</v>
      </c>
      <c r="B1166" s="74" t="s">
        <v>22475</v>
      </c>
      <c r="C1166" s="75" t="s">
        <v>58</v>
      </c>
      <c r="D1166" s="81">
        <v>4865.3999999999996</v>
      </c>
      <c r="E1166" s="151">
        <v>44753</v>
      </c>
      <c r="F1166" s="81">
        <v>4865.3999999999996</v>
      </c>
      <c r="G1166" s="156">
        <f>Tabla18[[#This Row],[Importe]]-Tabla18[[#This Row],[Pagado]]</f>
        <v>0</v>
      </c>
      <c r="H1166" s="75" t="s">
        <v>10</v>
      </c>
    </row>
    <row r="1167" spans="1:8" x14ac:dyDescent="0.25">
      <c r="A1167" s="148">
        <v>44753</v>
      </c>
      <c r="B1167" s="149" t="s">
        <v>22476</v>
      </c>
      <c r="C1167" s="153" t="s">
        <v>414</v>
      </c>
      <c r="D1167" s="154">
        <v>25942.799999999999</v>
      </c>
      <c r="E1167" s="155">
        <v>44761</v>
      </c>
      <c r="F1167" s="154">
        <v>25942.799999999999</v>
      </c>
      <c r="G1167" s="156">
        <f>Tabla18[[#This Row],[Importe]]-Tabla18[[#This Row],[Pagado]]</f>
        <v>0</v>
      </c>
      <c r="H1167" s="153" t="s">
        <v>10</v>
      </c>
    </row>
    <row r="1168" spans="1:8" x14ac:dyDescent="0.25">
      <c r="A1168" s="73">
        <v>44753</v>
      </c>
      <c r="B1168" s="74" t="s">
        <v>22477</v>
      </c>
      <c r="C1168" s="75" t="s">
        <v>275</v>
      </c>
      <c r="D1168" s="81">
        <v>95125.6</v>
      </c>
      <c r="E1168" s="151">
        <v>44771</v>
      </c>
      <c r="F1168" s="81">
        <v>95125.6</v>
      </c>
      <c r="G1168" s="156">
        <f>Tabla18[[#This Row],[Importe]]-Tabla18[[#This Row],[Pagado]]</f>
        <v>0</v>
      </c>
      <c r="H1168" s="75" t="s">
        <v>10</v>
      </c>
    </row>
    <row r="1169" spans="1:8" x14ac:dyDescent="0.25">
      <c r="A1169" s="148">
        <v>44753</v>
      </c>
      <c r="B1169" s="149" t="s">
        <v>22478</v>
      </c>
      <c r="C1169" s="153" t="s">
        <v>414</v>
      </c>
      <c r="D1169" s="154">
        <v>22229.599999999999</v>
      </c>
      <c r="E1169" s="155">
        <v>44763</v>
      </c>
      <c r="F1169" s="154">
        <v>22229.599999999999</v>
      </c>
      <c r="G1169" s="156">
        <f>Tabla18[[#This Row],[Importe]]-Tabla18[[#This Row],[Pagado]]</f>
        <v>0</v>
      </c>
      <c r="H1169" s="153" t="s">
        <v>10</v>
      </c>
    </row>
    <row r="1170" spans="1:8" x14ac:dyDescent="0.25">
      <c r="A1170" s="73">
        <v>44753</v>
      </c>
      <c r="B1170" s="74" t="s">
        <v>22479</v>
      </c>
      <c r="C1170" s="75" t="s">
        <v>10678</v>
      </c>
      <c r="D1170" s="81">
        <v>3515.8</v>
      </c>
      <c r="E1170" s="151">
        <v>44753</v>
      </c>
      <c r="F1170" s="81">
        <v>3515.8</v>
      </c>
      <c r="G1170" s="156">
        <f>Tabla18[[#This Row],[Importe]]-Tabla18[[#This Row],[Pagado]]</f>
        <v>0</v>
      </c>
      <c r="H1170" s="75" t="s">
        <v>10</v>
      </c>
    </row>
    <row r="1171" spans="1:8" x14ac:dyDescent="0.25">
      <c r="A1171" s="148">
        <v>44753</v>
      </c>
      <c r="B1171" s="149" t="s">
        <v>22480</v>
      </c>
      <c r="C1171" s="153" t="s">
        <v>1174</v>
      </c>
      <c r="D1171" s="154">
        <v>25733.599999999999</v>
      </c>
      <c r="E1171" s="155">
        <v>44753</v>
      </c>
      <c r="F1171" s="154">
        <v>25733.599999999999</v>
      </c>
      <c r="G1171" s="156">
        <f>Tabla18[[#This Row],[Importe]]-Tabla18[[#This Row],[Pagado]]</f>
        <v>0</v>
      </c>
      <c r="H1171" s="153" t="s">
        <v>10</v>
      </c>
    </row>
    <row r="1172" spans="1:8" x14ac:dyDescent="0.25">
      <c r="A1172" s="73">
        <v>44753</v>
      </c>
      <c r="B1172" s="74" t="s">
        <v>22481</v>
      </c>
      <c r="C1172" s="75" t="s">
        <v>484</v>
      </c>
      <c r="D1172" s="81">
        <v>6208</v>
      </c>
      <c r="E1172" s="151">
        <v>44753</v>
      </c>
      <c r="F1172" s="81">
        <v>6208</v>
      </c>
      <c r="G1172" s="156">
        <f>Tabla18[[#This Row],[Importe]]-Tabla18[[#This Row],[Pagado]]</f>
        <v>0</v>
      </c>
      <c r="H1172" s="75" t="s">
        <v>10</v>
      </c>
    </row>
    <row r="1173" spans="1:8" x14ac:dyDescent="0.25">
      <c r="A1173" s="148">
        <v>44753</v>
      </c>
      <c r="B1173" s="149" t="s">
        <v>22482</v>
      </c>
      <c r="C1173" s="153" t="s">
        <v>16</v>
      </c>
      <c r="D1173" s="154">
        <v>232</v>
      </c>
      <c r="E1173" s="155">
        <v>44753</v>
      </c>
      <c r="F1173" s="154">
        <v>232</v>
      </c>
      <c r="G1173" s="156">
        <f>Tabla18[[#This Row],[Importe]]-Tabla18[[#This Row],[Pagado]]</f>
        <v>0</v>
      </c>
      <c r="H1173" s="153" t="s">
        <v>10</v>
      </c>
    </row>
    <row r="1174" spans="1:8" x14ac:dyDescent="0.25">
      <c r="A1174" s="73">
        <v>44753</v>
      </c>
      <c r="B1174" s="74" t="s">
        <v>22483</v>
      </c>
      <c r="C1174" s="75" t="s">
        <v>2151</v>
      </c>
      <c r="D1174" s="81">
        <v>12496.4</v>
      </c>
      <c r="E1174" s="151">
        <v>44753</v>
      </c>
      <c r="F1174" s="81">
        <v>12496.4</v>
      </c>
      <c r="G1174" s="156">
        <f>Tabla18[[#This Row],[Importe]]-Tabla18[[#This Row],[Pagado]]</f>
        <v>0</v>
      </c>
      <c r="H1174" s="75" t="s">
        <v>10</v>
      </c>
    </row>
    <row r="1175" spans="1:8" x14ac:dyDescent="0.25">
      <c r="A1175" s="148">
        <v>44753</v>
      </c>
      <c r="B1175" s="149" t="s">
        <v>22484</v>
      </c>
      <c r="C1175" s="153" t="s">
        <v>840</v>
      </c>
      <c r="D1175" s="154">
        <v>8392.6</v>
      </c>
      <c r="E1175" s="155">
        <v>44753</v>
      </c>
      <c r="F1175" s="154">
        <v>8392.6</v>
      </c>
      <c r="G1175" s="156">
        <f>Tabla18[[#This Row],[Importe]]-Tabla18[[#This Row],[Pagado]]</f>
        <v>0</v>
      </c>
      <c r="H1175" s="153" t="s">
        <v>10</v>
      </c>
    </row>
    <row r="1176" spans="1:8" x14ac:dyDescent="0.25">
      <c r="A1176" s="73">
        <v>44753</v>
      </c>
      <c r="B1176" s="74" t="s">
        <v>22485</v>
      </c>
      <c r="C1176" s="75" t="s">
        <v>2139</v>
      </c>
      <c r="D1176" s="81">
        <v>1439.6</v>
      </c>
      <c r="E1176" s="151">
        <v>44753</v>
      </c>
      <c r="F1176" s="81">
        <v>1439.6</v>
      </c>
      <c r="G1176" s="156">
        <f>Tabla18[[#This Row],[Importe]]-Tabla18[[#This Row],[Pagado]]</f>
        <v>0</v>
      </c>
      <c r="H1176" s="75" t="s">
        <v>10</v>
      </c>
    </row>
    <row r="1177" spans="1:8" x14ac:dyDescent="0.25">
      <c r="A1177" s="148">
        <v>44753</v>
      </c>
      <c r="B1177" s="149" t="s">
        <v>22486</v>
      </c>
      <c r="C1177" s="153" t="s">
        <v>12</v>
      </c>
      <c r="D1177" s="154">
        <v>3040</v>
      </c>
      <c r="E1177" s="155">
        <v>44753</v>
      </c>
      <c r="F1177" s="154">
        <v>3040</v>
      </c>
      <c r="G1177" s="156">
        <f>Tabla18[[#This Row],[Importe]]-Tabla18[[#This Row],[Pagado]]</f>
        <v>0</v>
      </c>
      <c r="H1177" s="153" t="s">
        <v>10</v>
      </c>
    </row>
    <row r="1178" spans="1:8" x14ac:dyDescent="0.25">
      <c r="A1178" s="73">
        <v>44753</v>
      </c>
      <c r="B1178" s="74" t="s">
        <v>22487</v>
      </c>
      <c r="C1178" s="75" t="s">
        <v>71</v>
      </c>
      <c r="D1178" s="81">
        <v>12348.5</v>
      </c>
      <c r="E1178" s="151">
        <v>44753</v>
      </c>
      <c r="F1178" s="81">
        <v>12348.5</v>
      </c>
      <c r="G1178" s="156">
        <f>Tabla18[[#This Row],[Importe]]-Tabla18[[#This Row],[Pagado]]</f>
        <v>0</v>
      </c>
      <c r="H1178" s="75" t="s">
        <v>10</v>
      </c>
    </row>
    <row r="1179" spans="1:8" x14ac:dyDescent="0.25">
      <c r="A1179" s="148">
        <v>44753</v>
      </c>
      <c r="B1179" s="149" t="s">
        <v>22488</v>
      </c>
      <c r="C1179" s="153" t="s">
        <v>31</v>
      </c>
      <c r="D1179" s="154">
        <v>6152.6</v>
      </c>
      <c r="E1179" s="155">
        <v>44753</v>
      </c>
      <c r="F1179" s="154">
        <v>6152.6</v>
      </c>
      <c r="G1179" s="156">
        <f>Tabla18[[#This Row],[Importe]]-Tabla18[[#This Row],[Pagado]]</f>
        <v>0</v>
      </c>
      <c r="H1179" s="153" t="s">
        <v>10</v>
      </c>
    </row>
    <row r="1180" spans="1:8" x14ac:dyDescent="0.25">
      <c r="A1180" s="73">
        <v>44753</v>
      </c>
      <c r="B1180" s="74" t="s">
        <v>22489</v>
      </c>
      <c r="C1180" s="75" t="s">
        <v>994</v>
      </c>
      <c r="D1180" s="81">
        <v>1552</v>
      </c>
      <c r="E1180" s="151">
        <v>44753</v>
      </c>
      <c r="F1180" s="81">
        <v>1552</v>
      </c>
      <c r="G1180" s="156">
        <f>Tabla18[[#This Row],[Importe]]-Tabla18[[#This Row],[Pagado]]</f>
        <v>0</v>
      </c>
      <c r="H1180" s="75" t="s">
        <v>10</v>
      </c>
    </row>
    <row r="1181" spans="1:8" x14ac:dyDescent="0.25">
      <c r="A1181" s="148">
        <v>44753</v>
      </c>
      <c r="B1181" s="149" t="s">
        <v>22490</v>
      </c>
      <c r="C1181" s="153" t="s">
        <v>9827</v>
      </c>
      <c r="D1181" s="154">
        <v>3966.4</v>
      </c>
      <c r="E1181" s="155">
        <v>44753</v>
      </c>
      <c r="F1181" s="154">
        <v>3966.4</v>
      </c>
      <c r="G1181" s="156">
        <f>Tabla18[[#This Row],[Importe]]-Tabla18[[#This Row],[Pagado]]</f>
        <v>0</v>
      </c>
      <c r="H1181" s="153" t="s">
        <v>10</v>
      </c>
    </row>
    <row r="1182" spans="1:8" x14ac:dyDescent="0.25">
      <c r="A1182" s="73">
        <v>44753</v>
      </c>
      <c r="B1182" s="74" t="s">
        <v>22491</v>
      </c>
      <c r="C1182" s="75" t="s">
        <v>31</v>
      </c>
      <c r="D1182" s="81">
        <v>748.5</v>
      </c>
      <c r="E1182" s="151">
        <v>44753</v>
      </c>
      <c r="F1182" s="81">
        <v>748.5</v>
      </c>
      <c r="G1182" s="156">
        <f>Tabla18[[#This Row],[Importe]]-Tabla18[[#This Row],[Pagado]]</f>
        <v>0</v>
      </c>
      <c r="H1182" s="75" t="s">
        <v>10</v>
      </c>
    </row>
    <row r="1183" spans="1:8" x14ac:dyDescent="0.25">
      <c r="A1183" s="148">
        <v>44753</v>
      </c>
      <c r="B1183" s="149" t="s">
        <v>22492</v>
      </c>
      <c r="C1183" s="153" t="s">
        <v>1378</v>
      </c>
      <c r="D1183" s="154">
        <v>76439.8</v>
      </c>
      <c r="E1183" s="155">
        <v>44754</v>
      </c>
      <c r="F1183" s="154">
        <v>76439.8</v>
      </c>
      <c r="G1183" s="156">
        <f>Tabla18[[#This Row],[Importe]]-Tabla18[[#This Row],[Pagado]]</f>
        <v>0</v>
      </c>
      <c r="H1183" s="153" t="s">
        <v>10</v>
      </c>
    </row>
    <row r="1184" spans="1:8" x14ac:dyDescent="0.25">
      <c r="A1184" s="73">
        <v>44753</v>
      </c>
      <c r="B1184" s="74" t="s">
        <v>22493</v>
      </c>
      <c r="C1184" s="75" t="s">
        <v>212</v>
      </c>
      <c r="D1184" s="81">
        <v>22769</v>
      </c>
      <c r="E1184" s="151">
        <v>44757</v>
      </c>
      <c r="F1184" s="81">
        <v>22769</v>
      </c>
      <c r="G1184" s="156">
        <f>Tabla18[[#This Row],[Importe]]-Tabla18[[#This Row],[Pagado]]</f>
        <v>0</v>
      </c>
      <c r="H1184" s="75" t="s">
        <v>10</v>
      </c>
    </row>
    <row r="1185" spans="1:8" x14ac:dyDescent="0.25">
      <c r="A1185" s="148">
        <v>44753</v>
      </c>
      <c r="B1185" s="149" t="s">
        <v>22494</v>
      </c>
      <c r="C1185" s="153" t="s">
        <v>154</v>
      </c>
      <c r="D1185" s="154">
        <v>23333.8</v>
      </c>
      <c r="E1185" s="155">
        <v>44756</v>
      </c>
      <c r="F1185" s="154">
        <v>23333.8</v>
      </c>
      <c r="G1185" s="156">
        <f>Tabla18[[#This Row],[Importe]]-Tabla18[[#This Row],[Pagado]]</f>
        <v>0</v>
      </c>
      <c r="H1185" s="153" t="s">
        <v>10</v>
      </c>
    </row>
    <row r="1186" spans="1:8" x14ac:dyDescent="0.25">
      <c r="A1186" s="73">
        <v>44753</v>
      </c>
      <c r="B1186" s="74" t="s">
        <v>22495</v>
      </c>
      <c r="C1186" s="75" t="s">
        <v>5816</v>
      </c>
      <c r="D1186" s="81">
        <v>4160</v>
      </c>
      <c r="E1186" s="151">
        <v>44754</v>
      </c>
      <c r="F1186" s="81">
        <v>4160</v>
      </c>
      <c r="G1186" s="156">
        <f>Tabla18[[#This Row],[Importe]]-Tabla18[[#This Row],[Pagado]]</f>
        <v>0</v>
      </c>
      <c r="H1186" s="75" t="s">
        <v>10</v>
      </c>
    </row>
    <row r="1187" spans="1:8" x14ac:dyDescent="0.25">
      <c r="A1187" s="148">
        <v>44753</v>
      </c>
      <c r="B1187" s="149" t="s">
        <v>22496</v>
      </c>
      <c r="C1187" s="153" t="s">
        <v>173</v>
      </c>
      <c r="D1187" s="154">
        <v>31567.200000000001</v>
      </c>
      <c r="E1187" s="155">
        <v>44754</v>
      </c>
      <c r="F1187" s="154">
        <v>31567.200000000001</v>
      </c>
      <c r="G1187" s="156">
        <f>Tabla18[[#This Row],[Importe]]-Tabla18[[#This Row],[Pagado]]</f>
        <v>0</v>
      </c>
      <c r="H1187" s="153" t="s">
        <v>10</v>
      </c>
    </row>
    <row r="1188" spans="1:8" x14ac:dyDescent="0.25">
      <c r="A1188" s="73">
        <v>44753</v>
      </c>
      <c r="B1188" s="74" t="s">
        <v>22497</v>
      </c>
      <c r="C1188" s="75" t="s">
        <v>154</v>
      </c>
      <c r="D1188" s="81">
        <v>1147.5</v>
      </c>
      <c r="E1188" s="151">
        <v>44756</v>
      </c>
      <c r="F1188" s="81">
        <v>1147.5</v>
      </c>
      <c r="G1188" s="156">
        <f>Tabla18[[#This Row],[Importe]]-Tabla18[[#This Row],[Pagado]]</f>
        <v>0</v>
      </c>
      <c r="H1188" s="75" t="s">
        <v>10</v>
      </c>
    </row>
    <row r="1189" spans="1:8" x14ac:dyDescent="0.25">
      <c r="A1189" s="148">
        <v>44753</v>
      </c>
      <c r="B1189" s="149" t="s">
        <v>22498</v>
      </c>
      <c r="C1189" s="153" t="s">
        <v>212</v>
      </c>
      <c r="D1189" s="154">
        <v>3930</v>
      </c>
      <c r="E1189" s="155">
        <v>44755</v>
      </c>
      <c r="F1189" s="154">
        <v>3930</v>
      </c>
      <c r="G1189" s="156">
        <f>Tabla18[[#This Row],[Importe]]-Tabla18[[#This Row],[Pagado]]</f>
        <v>0</v>
      </c>
      <c r="H1189" s="153" t="s">
        <v>10</v>
      </c>
    </row>
    <row r="1190" spans="1:8" x14ac:dyDescent="0.25">
      <c r="A1190" s="73">
        <v>44753</v>
      </c>
      <c r="B1190" s="74" t="s">
        <v>22499</v>
      </c>
      <c r="C1190" s="75" t="s">
        <v>133</v>
      </c>
      <c r="D1190" s="81">
        <v>15945</v>
      </c>
      <c r="E1190" s="151">
        <v>44754</v>
      </c>
      <c r="F1190" s="81">
        <v>15945</v>
      </c>
      <c r="G1190" s="156">
        <f>Tabla18[[#This Row],[Importe]]-Tabla18[[#This Row],[Pagado]]</f>
        <v>0</v>
      </c>
      <c r="H1190" s="75" t="s">
        <v>10</v>
      </c>
    </row>
    <row r="1191" spans="1:8" x14ac:dyDescent="0.25">
      <c r="A1191" s="148">
        <v>44753</v>
      </c>
      <c r="B1191" s="149" t="s">
        <v>22500</v>
      </c>
      <c r="C1191" s="153" t="s">
        <v>218</v>
      </c>
      <c r="D1191" s="154">
        <v>14096.3</v>
      </c>
      <c r="E1191" s="155">
        <v>44756</v>
      </c>
      <c r="F1191" s="154">
        <v>14096.3</v>
      </c>
      <c r="G1191" s="156">
        <f>Tabla18[[#This Row],[Importe]]-Tabla18[[#This Row],[Pagado]]</f>
        <v>0</v>
      </c>
      <c r="H1191" s="153" t="s">
        <v>10</v>
      </c>
    </row>
    <row r="1192" spans="1:8" x14ac:dyDescent="0.25">
      <c r="A1192" s="73">
        <v>44753</v>
      </c>
      <c r="B1192" s="74" t="s">
        <v>22501</v>
      </c>
      <c r="C1192" s="75" t="s">
        <v>206</v>
      </c>
      <c r="D1192" s="81">
        <v>28319.7</v>
      </c>
      <c r="E1192" s="151">
        <v>44756</v>
      </c>
      <c r="F1192" s="81">
        <v>28319.7</v>
      </c>
      <c r="G1192" s="156">
        <f>Tabla18[[#This Row],[Importe]]-Tabla18[[#This Row],[Pagado]]</f>
        <v>0</v>
      </c>
      <c r="H1192" s="75" t="s">
        <v>10</v>
      </c>
    </row>
    <row r="1193" spans="1:8" x14ac:dyDescent="0.25">
      <c r="A1193" s="148">
        <v>44753</v>
      </c>
      <c r="B1193" s="149" t="s">
        <v>22502</v>
      </c>
      <c r="C1193" s="153" t="s">
        <v>53</v>
      </c>
      <c r="D1193" s="154">
        <v>1655.5</v>
      </c>
      <c r="E1193" s="155">
        <v>44753</v>
      </c>
      <c r="F1193" s="154">
        <v>1655.5</v>
      </c>
      <c r="G1193" s="156">
        <f>Tabla18[[#This Row],[Importe]]-Tabla18[[#This Row],[Pagado]]</f>
        <v>0</v>
      </c>
      <c r="H1193" s="153" t="s">
        <v>10</v>
      </c>
    </row>
    <row r="1194" spans="1:8" x14ac:dyDescent="0.25">
      <c r="A1194" s="73">
        <v>44753</v>
      </c>
      <c r="B1194" s="74" t="s">
        <v>22503</v>
      </c>
      <c r="C1194" s="75" t="s">
        <v>282</v>
      </c>
      <c r="D1194" s="81">
        <v>2415</v>
      </c>
      <c r="E1194" s="151">
        <v>44754</v>
      </c>
      <c r="F1194" s="81">
        <v>2415</v>
      </c>
      <c r="G1194" s="156">
        <f>Tabla18[[#This Row],[Importe]]-Tabla18[[#This Row],[Pagado]]</f>
        <v>0</v>
      </c>
      <c r="H1194" s="75" t="s">
        <v>10</v>
      </c>
    </row>
    <row r="1195" spans="1:8" x14ac:dyDescent="0.25">
      <c r="A1195" s="148">
        <v>44753</v>
      </c>
      <c r="B1195" s="149" t="s">
        <v>22504</v>
      </c>
      <c r="C1195" s="153" t="s">
        <v>10819</v>
      </c>
      <c r="D1195" s="154">
        <v>754</v>
      </c>
      <c r="E1195" s="155">
        <v>44754</v>
      </c>
      <c r="F1195" s="154">
        <v>754</v>
      </c>
      <c r="G1195" s="156">
        <f>Tabla18[[#This Row],[Importe]]-Tabla18[[#This Row],[Pagado]]</f>
        <v>0</v>
      </c>
      <c r="H1195" s="153" t="s">
        <v>10</v>
      </c>
    </row>
    <row r="1196" spans="1:8" x14ac:dyDescent="0.25">
      <c r="A1196" s="73">
        <v>44753</v>
      </c>
      <c r="B1196" s="74" t="s">
        <v>22505</v>
      </c>
      <c r="C1196" s="75" t="s">
        <v>280</v>
      </c>
      <c r="D1196" s="81">
        <v>1042.5</v>
      </c>
      <c r="E1196" s="151">
        <v>44754</v>
      </c>
      <c r="F1196" s="81">
        <v>1042.5</v>
      </c>
      <c r="G1196" s="156">
        <f>Tabla18[[#This Row],[Importe]]-Tabla18[[#This Row],[Pagado]]</f>
        <v>0</v>
      </c>
      <c r="H1196" s="75" t="s">
        <v>10</v>
      </c>
    </row>
    <row r="1197" spans="1:8" x14ac:dyDescent="0.25">
      <c r="A1197" s="148">
        <v>44753</v>
      </c>
      <c r="B1197" s="149" t="s">
        <v>22506</v>
      </c>
      <c r="C1197" s="153" t="s">
        <v>179</v>
      </c>
      <c r="D1197" s="154">
        <v>1972.5</v>
      </c>
      <c r="E1197" s="155">
        <v>44754</v>
      </c>
      <c r="F1197" s="154">
        <v>1972.5</v>
      </c>
      <c r="G1197" s="156">
        <f>Tabla18[[#This Row],[Importe]]-Tabla18[[#This Row],[Pagado]]</f>
        <v>0</v>
      </c>
      <c r="H1197" s="153" t="s">
        <v>10</v>
      </c>
    </row>
    <row r="1198" spans="1:8" x14ac:dyDescent="0.25">
      <c r="A1198" s="73">
        <v>44753</v>
      </c>
      <c r="B1198" s="74" t="s">
        <v>22507</v>
      </c>
      <c r="C1198" s="75" t="s">
        <v>463</v>
      </c>
      <c r="D1198" s="81">
        <v>550</v>
      </c>
      <c r="E1198" s="151">
        <v>44755</v>
      </c>
      <c r="F1198" s="81">
        <v>550</v>
      </c>
      <c r="G1198" s="156">
        <f>Tabla18[[#This Row],[Importe]]-Tabla18[[#This Row],[Pagado]]</f>
        <v>0</v>
      </c>
      <c r="H1198" s="75" t="s">
        <v>10</v>
      </c>
    </row>
    <row r="1199" spans="1:8" x14ac:dyDescent="0.25">
      <c r="A1199" s="148">
        <v>44753</v>
      </c>
      <c r="B1199" s="149" t="s">
        <v>22508</v>
      </c>
      <c r="C1199" s="153" t="s">
        <v>461</v>
      </c>
      <c r="D1199" s="154">
        <v>394</v>
      </c>
      <c r="E1199" s="155">
        <v>44754</v>
      </c>
      <c r="F1199" s="154">
        <v>394</v>
      </c>
      <c r="G1199" s="156">
        <f>Tabla18[[#This Row],[Importe]]-Tabla18[[#This Row],[Pagado]]</f>
        <v>0</v>
      </c>
      <c r="H1199" s="153" t="s">
        <v>10</v>
      </c>
    </row>
    <row r="1200" spans="1:8" x14ac:dyDescent="0.25">
      <c r="A1200" s="73">
        <v>44753</v>
      </c>
      <c r="B1200" s="74" t="s">
        <v>22509</v>
      </c>
      <c r="C1200" s="75" t="s">
        <v>459</v>
      </c>
      <c r="D1200" s="81">
        <v>213</v>
      </c>
      <c r="E1200" s="151">
        <v>44753</v>
      </c>
      <c r="F1200" s="81">
        <v>213</v>
      </c>
      <c r="G1200" s="156">
        <f>Tabla18[[#This Row],[Importe]]-Tabla18[[#This Row],[Pagado]]</f>
        <v>0</v>
      </c>
      <c r="H1200" s="75" t="s">
        <v>10</v>
      </c>
    </row>
    <row r="1201" spans="1:8" x14ac:dyDescent="0.25">
      <c r="A1201" s="148">
        <v>44753</v>
      </c>
      <c r="B1201" s="149" t="s">
        <v>22510</v>
      </c>
      <c r="C1201" s="153" t="s">
        <v>457</v>
      </c>
      <c r="D1201" s="154">
        <v>198</v>
      </c>
      <c r="E1201" s="155">
        <v>44753</v>
      </c>
      <c r="F1201" s="154">
        <v>198</v>
      </c>
      <c r="G1201" s="156">
        <f>Tabla18[[#This Row],[Importe]]-Tabla18[[#This Row],[Pagado]]</f>
        <v>0</v>
      </c>
      <c r="H1201" s="153" t="s">
        <v>10</v>
      </c>
    </row>
    <row r="1202" spans="1:8" x14ac:dyDescent="0.25">
      <c r="A1202" s="73">
        <v>44753</v>
      </c>
      <c r="B1202" s="74" t="s">
        <v>22511</v>
      </c>
      <c r="C1202" s="75" t="s">
        <v>284</v>
      </c>
      <c r="D1202" s="81">
        <v>7755</v>
      </c>
      <c r="E1202" s="151">
        <v>44754</v>
      </c>
      <c r="F1202" s="81">
        <v>7755</v>
      </c>
      <c r="G1202" s="156">
        <f>Tabla18[[#This Row],[Importe]]-Tabla18[[#This Row],[Pagado]]</f>
        <v>0</v>
      </c>
      <c r="H1202" s="75" t="s">
        <v>10</v>
      </c>
    </row>
    <row r="1203" spans="1:8" x14ac:dyDescent="0.25">
      <c r="A1203" s="148">
        <v>44753</v>
      </c>
      <c r="B1203" s="149" t="s">
        <v>22512</v>
      </c>
      <c r="C1203" s="153" t="s">
        <v>31</v>
      </c>
      <c r="D1203" s="154">
        <v>224</v>
      </c>
      <c r="E1203" s="155">
        <v>44753</v>
      </c>
      <c r="F1203" s="154">
        <v>224</v>
      </c>
      <c r="G1203" s="156">
        <f>Tabla18[[#This Row],[Importe]]-Tabla18[[#This Row],[Pagado]]</f>
        <v>0</v>
      </c>
      <c r="H1203" s="153" t="s">
        <v>10</v>
      </c>
    </row>
    <row r="1204" spans="1:8" x14ac:dyDescent="0.25">
      <c r="A1204" s="73">
        <v>44753</v>
      </c>
      <c r="B1204" s="74" t="s">
        <v>22513</v>
      </c>
      <c r="C1204" s="75" t="s">
        <v>291</v>
      </c>
      <c r="D1204" s="81">
        <v>3214</v>
      </c>
      <c r="E1204" s="151">
        <v>44754</v>
      </c>
      <c r="F1204" s="81">
        <v>3214</v>
      </c>
      <c r="G1204" s="156">
        <f>Tabla18[[#This Row],[Importe]]-Tabla18[[#This Row],[Pagado]]</f>
        <v>0</v>
      </c>
      <c r="H1204" s="75" t="s">
        <v>10</v>
      </c>
    </row>
    <row r="1205" spans="1:8" x14ac:dyDescent="0.25">
      <c r="A1205" s="148">
        <v>44753</v>
      </c>
      <c r="B1205" s="149" t="s">
        <v>22514</v>
      </c>
      <c r="C1205" s="153" t="s">
        <v>16447</v>
      </c>
      <c r="D1205" s="154">
        <v>0</v>
      </c>
      <c r="E1205" s="158" t="s">
        <v>189</v>
      </c>
      <c r="F1205" s="154">
        <v>0</v>
      </c>
      <c r="G1205" s="156">
        <f>Tabla18[[#This Row],[Importe]]-Tabla18[[#This Row],[Pagado]]</f>
        <v>0</v>
      </c>
      <c r="H1205" s="153" t="s">
        <v>189</v>
      </c>
    </row>
    <row r="1206" spans="1:8" x14ac:dyDescent="0.25">
      <c r="A1206" s="73">
        <v>44754</v>
      </c>
      <c r="B1206" s="74" t="s">
        <v>22515</v>
      </c>
      <c r="C1206" s="75" t="s">
        <v>887</v>
      </c>
      <c r="D1206" s="81">
        <v>15930.4</v>
      </c>
      <c r="E1206" s="151">
        <v>44754</v>
      </c>
      <c r="F1206" s="81">
        <v>15930.4</v>
      </c>
      <c r="G1206" s="156">
        <f>Tabla18[[#This Row],[Importe]]-Tabla18[[#This Row],[Pagado]]</f>
        <v>0</v>
      </c>
      <c r="H1206" s="75" t="s">
        <v>10</v>
      </c>
    </row>
    <row r="1207" spans="1:8" x14ac:dyDescent="0.25">
      <c r="A1207" s="148">
        <v>44754</v>
      </c>
      <c r="B1207" s="149" t="s">
        <v>22516</v>
      </c>
      <c r="C1207" s="153" t="s">
        <v>75</v>
      </c>
      <c r="D1207" s="154">
        <v>6922.5</v>
      </c>
      <c r="E1207" s="155">
        <v>44754</v>
      </c>
      <c r="F1207" s="154">
        <v>6922.5</v>
      </c>
      <c r="G1207" s="156">
        <f>Tabla18[[#This Row],[Importe]]-Tabla18[[#This Row],[Pagado]]</f>
        <v>0</v>
      </c>
      <c r="H1207" s="153" t="s">
        <v>10</v>
      </c>
    </row>
    <row r="1208" spans="1:8" x14ac:dyDescent="0.25">
      <c r="A1208" s="73">
        <v>44754</v>
      </c>
      <c r="B1208" s="74" t="s">
        <v>22517</v>
      </c>
      <c r="C1208" s="75" t="s">
        <v>85</v>
      </c>
      <c r="D1208" s="81">
        <v>2017.5</v>
      </c>
      <c r="E1208" s="151">
        <v>44754</v>
      </c>
      <c r="F1208" s="81">
        <v>2017.5</v>
      </c>
      <c r="G1208" s="156">
        <f>Tabla18[[#This Row],[Importe]]-Tabla18[[#This Row],[Pagado]]</f>
        <v>0</v>
      </c>
      <c r="H1208" s="75" t="s">
        <v>10</v>
      </c>
    </row>
    <row r="1209" spans="1:8" x14ac:dyDescent="0.25">
      <c r="A1209" s="148">
        <v>44754</v>
      </c>
      <c r="B1209" s="149" t="s">
        <v>22518</v>
      </c>
      <c r="C1209" s="153" t="s">
        <v>83</v>
      </c>
      <c r="D1209" s="154">
        <v>8744.7999999999993</v>
      </c>
      <c r="E1209" s="155">
        <v>44754</v>
      </c>
      <c r="F1209" s="154">
        <v>8744.7999999999993</v>
      </c>
      <c r="G1209" s="156">
        <f>Tabla18[[#This Row],[Importe]]-Tabla18[[#This Row],[Pagado]]</f>
        <v>0</v>
      </c>
      <c r="H1209" s="153" t="s">
        <v>10</v>
      </c>
    </row>
    <row r="1210" spans="1:8" x14ac:dyDescent="0.25">
      <c r="A1210" s="73">
        <v>44754</v>
      </c>
      <c r="B1210" s="74" t="s">
        <v>22519</v>
      </c>
      <c r="C1210" s="75" t="s">
        <v>109</v>
      </c>
      <c r="D1210" s="81">
        <v>4774</v>
      </c>
      <c r="E1210" s="151">
        <v>44755</v>
      </c>
      <c r="F1210" s="81">
        <v>4774</v>
      </c>
      <c r="G1210" s="156">
        <f>Tabla18[[#This Row],[Importe]]-Tabla18[[#This Row],[Pagado]]</f>
        <v>0</v>
      </c>
      <c r="H1210" s="75" t="s">
        <v>10</v>
      </c>
    </row>
    <row r="1211" spans="1:8" x14ac:dyDescent="0.25">
      <c r="A1211" s="148">
        <v>44754</v>
      </c>
      <c r="B1211" s="149" t="s">
        <v>22520</v>
      </c>
      <c r="C1211" s="153" t="s">
        <v>64</v>
      </c>
      <c r="D1211" s="154">
        <v>4812.8</v>
      </c>
      <c r="E1211" s="155">
        <v>44755</v>
      </c>
      <c r="F1211" s="154">
        <v>4812.8</v>
      </c>
      <c r="G1211" s="156">
        <f>Tabla18[[#This Row],[Importe]]-Tabla18[[#This Row],[Pagado]]</f>
        <v>0</v>
      </c>
      <c r="H1211" s="153" t="s">
        <v>10</v>
      </c>
    </row>
    <row r="1212" spans="1:8" x14ac:dyDescent="0.25">
      <c r="A1212" s="73">
        <v>44754</v>
      </c>
      <c r="B1212" s="74" t="s">
        <v>22521</v>
      </c>
      <c r="C1212" s="75" t="s">
        <v>97</v>
      </c>
      <c r="D1212" s="81">
        <v>10035.200000000001</v>
      </c>
      <c r="E1212" s="151">
        <v>44755</v>
      </c>
      <c r="F1212" s="81">
        <v>10035.200000000001</v>
      </c>
      <c r="G1212" s="156">
        <f>Tabla18[[#This Row],[Importe]]-Tabla18[[#This Row],[Pagado]]</f>
        <v>0</v>
      </c>
      <c r="H1212" s="75" t="s">
        <v>10</v>
      </c>
    </row>
    <row r="1213" spans="1:8" x14ac:dyDescent="0.25">
      <c r="A1213" s="148">
        <v>44754</v>
      </c>
      <c r="B1213" s="149" t="s">
        <v>22522</v>
      </c>
      <c r="C1213" s="153" t="s">
        <v>345</v>
      </c>
      <c r="D1213" s="154">
        <v>630.79999999999995</v>
      </c>
      <c r="E1213" s="155">
        <v>44754</v>
      </c>
      <c r="F1213" s="154">
        <v>630.79999999999995</v>
      </c>
      <c r="G1213" s="156">
        <f>Tabla18[[#This Row],[Importe]]-Tabla18[[#This Row],[Pagado]]</f>
        <v>0</v>
      </c>
      <c r="H1213" s="153" t="s">
        <v>10</v>
      </c>
    </row>
    <row r="1214" spans="1:8" x14ac:dyDescent="0.25">
      <c r="A1214" s="73">
        <v>44754</v>
      </c>
      <c r="B1214" s="74" t="s">
        <v>22523</v>
      </c>
      <c r="C1214" s="75" t="s">
        <v>87</v>
      </c>
      <c r="D1214" s="81">
        <v>1670</v>
      </c>
      <c r="E1214" s="151">
        <v>44754</v>
      </c>
      <c r="F1214" s="81">
        <v>1670</v>
      </c>
      <c r="G1214" s="156">
        <f>Tabla18[[#This Row],[Importe]]-Tabla18[[#This Row],[Pagado]]</f>
        <v>0</v>
      </c>
      <c r="H1214" s="75" t="s">
        <v>10</v>
      </c>
    </row>
    <row r="1215" spans="1:8" x14ac:dyDescent="0.25">
      <c r="A1215" s="148">
        <v>44754</v>
      </c>
      <c r="B1215" s="149" t="s">
        <v>22524</v>
      </c>
      <c r="C1215" s="153" t="s">
        <v>314</v>
      </c>
      <c r="D1215" s="154">
        <v>1125</v>
      </c>
      <c r="E1215" s="155">
        <v>44754</v>
      </c>
      <c r="F1215" s="154">
        <v>1125</v>
      </c>
      <c r="G1215" s="156">
        <f>Tabla18[[#This Row],[Importe]]-Tabla18[[#This Row],[Pagado]]</f>
        <v>0</v>
      </c>
      <c r="H1215" s="153" t="s">
        <v>10</v>
      </c>
    </row>
    <row r="1216" spans="1:8" x14ac:dyDescent="0.25">
      <c r="A1216" s="73">
        <v>44754</v>
      </c>
      <c r="B1216" s="74" t="s">
        <v>22525</v>
      </c>
      <c r="C1216" s="75" t="s">
        <v>481</v>
      </c>
      <c r="D1216" s="81">
        <v>1202.4000000000001</v>
      </c>
      <c r="E1216" s="151">
        <v>44754</v>
      </c>
      <c r="F1216" s="81">
        <v>1202.4000000000001</v>
      </c>
      <c r="G1216" s="156">
        <f>Tabla18[[#This Row],[Importe]]-Tabla18[[#This Row],[Pagado]]</f>
        <v>0</v>
      </c>
      <c r="H1216" s="75" t="s">
        <v>10</v>
      </c>
    </row>
    <row r="1217" spans="1:8" x14ac:dyDescent="0.25">
      <c r="A1217" s="148">
        <v>44754</v>
      </c>
      <c r="B1217" s="149" t="s">
        <v>22526</v>
      </c>
      <c r="C1217" s="153" t="s">
        <v>353</v>
      </c>
      <c r="D1217" s="154">
        <v>840</v>
      </c>
      <c r="E1217" s="155">
        <v>44754</v>
      </c>
      <c r="F1217" s="154">
        <v>840</v>
      </c>
      <c r="G1217" s="156">
        <f>Tabla18[[#This Row],[Importe]]-Tabla18[[#This Row],[Pagado]]</f>
        <v>0</v>
      </c>
      <c r="H1217" s="153" t="s">
        <v>10</v>
      </c>
    </row>
    <row r="1218" spans="1:8" x14ac:dyDescent="0.25">
      <c r="A1218" s="73">
        <v>44754</v>
      </c>
      <c r="B1218" s="74" t="s">
        <v>22527</v>
      </c>
      <c r="C1218" s="75" t="s">
        <v>31</v>
      </c>
      <c r="D1218" s="81">
        <v>4537</v>
      </c>
      <c r="E1218" s="151">
        <v>44754</v>
      </c>
      <c r="F1218" s="81">
        <v>4537</v>
      </c>
      <c r="G1218" s="156">
        <f>Tabla18[[#This Row],[Importe]]-Tabla18[[#This Row],[Pagado]]</f>
        <v>0</v>
      </c>
      <c r="H1218" s="75" t="s">
        <v>10</v>
      </c>
    </row>
    <row r="1219" spans="1:8" x14ac:dyDescent="0.25">
      <c r="A1219" s="148">
        <v>44754</v>
      </c>
      <c r="B1219" s="149" t="s">
        <v>22528</v>
      </c>
      <c r="C1219" s="153" t="s">
        <v>105</v>
      </c>
      <c r="D1219" s="154">
        <v>5889</v>
      </c>
      <c r="E1219" s="155">
        <v>44754</v>
      </c>
      <c r="F1219" s="154">
        <v>5889</v>
      </c>
      <c r="G1219" s="156">
        <f>Tabla18[[#This Row],[Importe]]-Tabla18[[#This Row],[Pagado]]</f>
        <v>0</v>
      </c>
      <c r="H1219" s="153" t="s">
        <v>10</v>
      </c>
    </row>
    <row r="1220" spans="1:8" x14ac:dyDescent="0.25">
      <c r="A1220" s="73">
        <v>44754</v>
      </c>
      <c r="B1220" s="74" t="s">
        <v>22529</v>
      </c>
      <c r="C1220" s="75" t="s">
        <v>89</v>
      </c>
      <c r="D1220" s="81">
        <v>6384</v>
      </c>
      <c r="E1220" s="151">
        <v>44755</v>
      </c>
      <c r="F1220" s="81">
        <v>6384</v>
      </c>
      <c r="G1220" s="156">
        <f>Tabla18[[#This Row],[Importe]]-Tabla18[[#This Row],[Pagado]]</f>
        <v>0</v>
      </c>
      <c r="H1220" s="75" t="s">
        <v>10</v>
      </c>
    </row>
    <row r="1221" spans="1:8" x14ac:dyDescent="0.25">
      <c r="A1221" s="148">
        <v>44754</v>
      </c>
      <c r="B1221" s="149" t="s">
        <v>22530</v>
      </c>
      <c r="C1221" s="153" t="s">
        <v>114</v>
      </c>
      <c r="D1221" s="154">
        <v>4984.8</v>
      </c>
      <c r="E1221" s="155">
        <v>44755</v>
      </c>
      <c r="F1221" s="154">
        <v>4984.8</v>
      </c>
      <c r="G1221" s="156">
        <f>Tabla18[[#This Row],[Importe]]-Tabla18[[#This Row],[Pagado]]</f>
        <v>0</v>
      </c>
      <c r="H1221" s="153" t="s">
        <v>10</v>
      </c>
    </row>
    <row r="1222" spans="1:8" ht="31.5" x14ac:dyDescent="0.25">
      <c r="A1222" s="73">
        <v>44754</v>
      </c>
      <c r="B1222" s="74" t="s">
        <v>22531</v>
      </c>
      <c r="C1222" s="75" t="s">
        <v>93</v>
      </c>
      <c r="D1222" s="81">
        <v>9183</v>
      </c>
      <c r="E1222" s="147" t="s">
        <v>22532</v>
      </c>
      <c r="F1222" s="81">
        <f>7000+2183</f>
        <v>9183</v>
      </c>
      <c r="G1222" s="156">
        <f>Tabla18[[#This Row],[Importe]]-Tabla18[[#This Row],[Pagado]]</f>
        <v>0</v>
      </c>
      <c r="H1222" s="75" t="s">
        <v>10</v>
      </c>
    </row>
    <row r="1223" spans="1:8" x14ac:dyDescent="0.25">
      <c r="A1223" s="148">
        <v>44754</v>
      </c>
      <c r="B1223" s="149" t="s">
        <v>22533</v>
      </c>
      <c r="C1223" s="153" t="s">
        <v>2151</v>
      </c>
      <c r="D1223" s="154">
        <v>11131.2</v>
      </c>
      <c r="E1223" s="155">
        <v>44754</v>
      </c>
      <c r="F1223" s="154">
        <v>11131.2</v>
      </c>
      <c r="G1223" s="156">
        <f>Tabla18[[#This Row],[Importe]]-Tabla18[[#This Row],[Pagado]]</f>
        <v>0</v>
      </c>
      <c r="H1223" s="153" t="s">
        <v>10</v>
      </c>
    </row>
    <row r="1224" spans="1:8" x14ac:dyDescent="0.25">
      <c r="A1224" s="73">
        <v>44754</v>
      </c>
      <c r="B1224" s="74" t="s">
        <v>22534</v>
      </c>
      <c r="C1224" s="75" t="s">
        <v>326</v>
      </c>
      <c r="D1224" s="81">
        <v>2272</v>
      </c>
      <c r="E1224" s="151">
        <v>44755</v>
      </c>
      <c r="F1224" s="81">
        <v>2272</v>
      </c>
      <c r="G1224" s="156">
        <f>Tabla18[[#This Row],[Importe]]-Tabla18[[#This Row],[Pagado]]</f>
        <v>0</v>
      </c>
      <c r="H1224" s="75" t="s">
        <v>10</v>
      </c>
    </row>
    <row r="1225" spans="1:8" x14ac:dyDescent="0.25">
      <c r="A1225" s="148">
        <v>44754</v>
      </c>
      <c r="B1225" s="149" t="s">
        <v>22535</v>
      </c>
      <c r="C1225" s="153" t="s">
        <v>348</v>
      </c>
      <c r="D1225" s="154">
        <v>2581</v>
      </c>
      <c r="E1225" s="155">
        <v>44754</v>
      </c>
      <c r="F1225" s="154">
        <v>2581</v>
      </c>
      <c r="G1225" s="156">
        <f>Tabla18[[#This Row],[Importe]]-Tabla18[[#This Row],[Pagado]]</f>
        <v>0</v>
      </c>
      <c r="H1225" s="153" t="s">
        <v>10</v>
      </c>
    </row>
    <row r="1226" spans="1:8" x14ac:dyDescent="0.25">
      <c r="A1226" s="73">
        <v>44754</v>
      </c>
      <c r="B1226" s="74" t="s">
        <v>22536</v>
      </c>
      <c r="C1226" s="75" t="s">
        <v>9</v>
      </c>
      <c r="D1226" s="81">
        <v>11366</v>
      </c>
      <c r="E1226" s="151">
        <v>44754</v>
      </c>
      <c r="F1226" s="81">
        <v>11366</v>
      </c>
      <c r="G1226" s="156">
        <f>Tabla18[[#This Row],[Importe]]-Tabla18[[#This Row],[Pagado]]</f>
        <v>0</v>
      </c>
      <c r="H1226" s="75" t="s">
        <v>10</v>
      </c>
    </row>
    <row r="1227" spans="1:8" x14ac:dyDescent="0.25">
      <c r="A1227" s="148">
        <v>44754</v>
      </c>
      <c r="B1227" s="149" t="s">
        <v>22537</v>
      </c>
      <c r="C1227" s="153" t="s">
        <v>111</v>
      </c>
      <c r="D1227" s="154">
        <v>4960</v>
      </c>
      <c r="E1227" s="155">
        <v>44756</v>
      </c>
      <c r="F1227" s="154">
        <v>4960</v>
      </c>
      <c r="G1227" s="156">
        <f>Tabla18[[#This Row],[Importe]]-Tabla18[[#This Row],[Pagado]]</f>
        <v>0</v>
      </c>
      <c r="H1227" s="153" t="s">
        <v>10</v>
      </c>
    </row>
    <row r="1228" spans="1:8" x14ac:dyDescent="0.25">
      <c r="A1228" s="73">
        <v>44754</v>
      </c>
      <c r="B1228" s="74" t="s">
        <v>22538</v>
      </c>
      <c r="C1228" s="75" t="s">
        <v>22539</v>
      </c>
      <c r="D1228" s="81">
        <v>0</v>
      </c>
      <c r="E1228" s="157" t="s">
        <v>189</v>
      </c>
      <c r="F1228" s="81">
        <v>0</v>
      </c>
      <c r="G1228" s="156">
        <f>Tabla18[[#This Row],[Importe]]-Tabla18[[#This Row],[Pagado]]</f>
        <v>0</v>
      </c>
      <c r="H1228" s="161" t="s">
        <v>22540</v>
      </c>
    </row>
    <row r="1229" spans="1:8" x14ac:dyDescent="0.25">
      <c r="A1229" s="148">
        <v>44754</v>
      </c>
      <c r="B1229" s="149" t="s">
        <v>22541</v>
      </c>
      <c r="C1229" s="153" t="s">
        <v>466</v>
      </c>
      <c r="D1229" s="154">
        <v>16280</v>
      </c>
      <c r="E1229" s="155">
        <v>44754</v>
      </c>
      <c r="F1229" s="154">
        <v>16280</v>
      </c>
      <c r="G1229" s="156">
        <f>Tabla18[[#This Row],[Importe]]-Tabla18[[#This Row],[Pagado]]</f>
        <v>0</v>
      </c>
      <c r="H1229" s="153" t="s">
        <v>10</v>
      </c>
    </row>
    <row r="1230" spans="1:8" x14ac:dyDescent="0.25">
      <c r="A1230" s="73">
        <v>44754</v>
      </c>
      <c r="B1230" s="74" t="s">
        <v>22542</v>
      </c>
      <c r="C1230" s="75" t="s">
        <v>107</v>
      </c>
      <c r="D1230" s="81">
        <v>15799.2</v>
      </c>
      <c r="E1230" s="151">
        <v>44754</v>
      </c>
      <c r="F1230" s="81">
        <v>15799.2</v>
      </c>
      <c r="G1230" s="156">
        <f>Tabla18[[#This Row],[Importe]]-Tabla18[[#This Row],[Pagado]]</f>
        <v>0</v>
      </c>
      <c r="H1230" s="75" t="s">
        <v>10</v>
      </c>
    </row>
    <row r="1231" spans="1:8" x14ac:dyDescent="0.25">
      <c r="A1231" s="148">
        <v>44754</v>
      </c>
      <c r="B1231" s="149" t="s">
        <v>22543</v>
      </c>
      <c r="C1231" s="153" t="s">
        <v>16</v>
      </c>
      <c r="D1231" s="154">
        <v>5965.2</v>
      </c>
      <c r="E1231" s="155">
        <v>44754</v>
      </c>
      <c r="F1231" s="154">
        <v>5965.2</v>
      </c>
      <c r="G1231" s="156">
        <f>Tabla18[[#This Row],[Importe]]-Tabla18[[#This Row],[Pagado]]</f>
        <v>0</v>
      </c>
      <c r="H1231" s="153" t="s">
        <v>10</v>
      </c>
    </row>
    <row r="1232" spans="1:8" x14ac:dyDescent="0.25">
      <c r="A1232" s="73">
        <v>44754</v>
      </c>
      <c r="B1232" s="74" t="s">
        <v>22544</v>
      </c>
      <c r="C1232" s="75" t="s">
        <v>357</v>
      </c>
      <c r="D1232" s="81">
        <v>403.2</v>
      </c>
      <c r="E1232" s="151">
        <v>44754</v>
      </c>
      <c r="F1232" s="81">
        <v>403.2</v>
      </c>
      <c r="G1232" s="156">
        <f>Tabla18[[#This Row],[Importe]]-Tabla18[[#This Row],[Pagado]]</f>
        <v>0</v>
      </c>
      <c r="H1232" s="75" t="s">
        <v>10</v>
      </c>
    </row>
    <row r="1233" spans="1:8" x14ac:dyDescent="0.25">
      <c r="A1233" s="148">
        <v>44754</v>
      </c>
      <c r="B1233" s="149" t="s">
        <v>22545</v>
      </c>
      <c r="C1233" s="153" t="s">
        <v>140</v>
      </c>
      <c r="D1233" s="154">
        <v>4901.3</v>
      </c>
      <c r="E1233" s="155">
        <v>44754</v>
      </c>
      <c r="F1233" s="154">
        <v>4901.3</v>
      </c>
      <c r="G1233" s="156">
        <f>Tabla18[[#This Row],[Importe]]-Tabla18[[#This Row],[Pagado]]</f>
        <v>0</v>
      </c>
      <c r="H1233" s="153" t="s">
        <v>10</v>
      </c>
    </row>
    <row r="1234" spans="1:8" x14ac:dyDescent="0.25">
      <c r="A1234" s="73">
        <v>44754</v>
      </c>
      <c r="B1234" s="74" t="s">
        <v>22546</v>
      </c>
      <c r="C1234" s="75" t="s">
        <v>339</v>
      </c>
      <c r="D1234" s="81">
        <v>712</v>
      </c>
      <c r="E1234" s="151">
        <v>44754</v>
      </c>
      <c r="F1234" s="81">
        <v>712</v>
      </c>
      <c r="G1234" s="156">
        <f>Tabla18[[#This Row],[Importe]]-Tabla18[[#This Row],[Pagado]]</f>
        <v>0</v>
      </c>
      <c r="H1234" s="75" t="s">
        <v>10</v>
      </c>
    </row>
    <row r="1235" spans="1:8" x14ac:dyDescent="0.25">
      <c r="A1235" s="148">
        <v>44754</v>
      </c>
      <c r="B1235" s="149" t="s">
        <v>22547</v>
      </c>
      <c r="C1235" s="153" t="s">
        <v>129</v>
      </c>
      <c r="D1235" s="154">
        <v>4357.5</v>
      </c>
      <c r="E1235" s="155">
        <v>44754</v>
      </c>
      <c r="F1235" s="154">
        <v>4357.5</v>
      </c>
      <c r="G1235" s="156">
        <f>Tabla18[[#This Row],[Importe]]-Tabla18[[#This Row],[Pagado]]</f>
        <v>0</v>
      </c>
      <c r="H1235" s="153" t="s">
        <v>10</v>
      </c>
    </row>
    <row r="1236" spans="1:8" x14ac:dyDescent="0.25">
      <c r="A1236" s="73">
        <v>44754</v>
      </c>
      <c r="B1236" s="74" t="s">
        <v>22548</v>
      </c>
      <c r="C1236" s="75" t="s">
        <v>11033</v>
      </c>
      <c r="D1236" s="81">
        <v>2103.1</v>
      </c>
      <c r="E1236" s="151">
        <v>44754</v>
      </c>
      <c r="F1236" s="81">
        <v>2103.1</v>
      </c>
      <c r="G1236" s="156">
        <f>Tabla18[[#This Row],[Importe]]-Tabla18[[#This Row],[Pagado]]</f>
        <v>0</v>
      </c>
      <c r="H1236" s="75" t="s">
        <v>10</v>
      </c>
    </row>
    <row r="1237" spans="1:8" x14ac:dyDescent="0.25">
      <c r="A1237" s="148">
        <v>44754</v>
      </c>
      <c r="B1237" s="149" t="s">
        <v>22549</v>
      </c>
      <c r="C1237" s="153" t="s">
        <v>127</v>
      </c>
      <c r="D1237" s="154">
        <v>2136</v>
      </c>
      <c r="E1237" s="155">
        <v>44754</v>
      </c>
      <c r="F1237" s="154">
        <v>2136</v>
      </c>
      <c r="G1237" s="156">
        <f>Tabla18[[#This Row],[Importe]]-Tabla18[[#This Row],[Pagado]]</f>
        <v>0</v>
      </c>
      <c r="H1237" s="153" t="s">
        <v>10</v>
      </c>
    </row>
    <row r="1238" spans="1:8" x14ac:dyDescent="0.25">
      <c r="A1238" s="73">
        <v>44754</v>
      </c>
      <c r="B1238" s="74" t="s">
        <v>22550</v>
      </c>
      <c r="C1238" s="75" t="s">
        <v>146</v>
      </c>
      <c r="D1238" s="81">
        <v>2584.8000000000002</v>
      </c>
      <c r="E1238" s="151">
        <v>44754</v>
      </c>
      <c r="F1238" s="81">
        <v>2584.8000000000002</v>
      </c>
      <c r="G1238" s="156">
        <f>Tabla18[[#This Row],[Importe]]-Tabla18[[#This Row],[Pagado]]</f>
        <v>0</v>
      </c>
      <c r="H1238" s="75" t="s">
        <v>10</v>
      </c>
    </row>
    <row r="1239" spans="1:8" x14ac:dyDescent="0.25">
      <c r="A1239" s="148">
        <v>44754</v>
      </c>
      <c r="B1239" s="149" t="s">
        <v>22551</v>
      </c>
      <c r="C1239" s="153" t="s">
        <v>664</v>
      </c>
      <c r="D1239" s="154">
        <v>13736</v>
      </c>
      <c r="E1239" s="155">
        <v>44754</v>
      </c>
      <c r="F1239" s="154">
        <v>13736</v>
      </c>
      <c r="G1239" s="156">
        <f>Tabla18[[#This Row],[Importe]]-Tabla18[[#This Row],[Pagado]]</f>
        <v>0</v>
      </c>
      <c r="H1239" s="153" t="s">
        <v>10</v>
      </c>
    </row>
    <row r="1240" spans="1:8" x14ac:dyDescent="0.25">
      <c r="A1240" s="73">
        <v>44754</v>
      </c>
      <c r="B1240" s="74" t="s">
        <v>22552</v>
      </c>
      <c r="C1240" s="75" t="s">
        <v>56</v>
      </c>
      <c r="D1240" s="81">
        <v>5137.5</v>
      </c>
      <c r="E1240" s="151">
        <v>44754</v>
      </c>
      <c r="F1240" s="81">
        <v>5137.5</v>
      </c>
      <c r="G1240" s="156">
        <f>Tabla18[[#This Row],[Importe]]-Tabla18[[#This Row],[Pagado]]</f>
        <v>0</v>
      </c>
      <c r="H1240" s="75" t="s">
        <v>10</v>
      </c>
    </row>
    <row r="1241" spans="1:8" x14ac:dyDescent="0.25">
      <c r="A1241" s="148">
        <v>44754</v>
      </c>
      <c r="B1241" s="149" t="s">
        <v>22553</v>
      </c>
      <c r="C1241" s="153" t="s">
        <v>214</v>
      </c>
      <c r="D1241" s="154">
        <v>851.5</v>
      </c>
      <c r="E1241" s="155">
        <v>44754</v>
      </c>
      <c r="F1241" s="154">
        <v>851.5</v>
      </c>
      <c r="G1241" s="156">
        <f>Tabla18[[#This Row],[Importe]]-Tabla18[[#This Row],[Pagado]]</f>
        <v>0</v>
      </c>
      <c r="H1241" s="153" t="s">
        <v>10</v>
      </c>
    </row>
    <row r="1242" spans="1:8" x14ac:dyDescent="0.25">
      <c r="A1242" s="73">
        <v>44754</v>
      </c>
      <c r="B1242" s="74" t="s">
        <v>22554</v>
      </c>
      <c r="C1242" s="75" t="s">
        <v>67</v>
      </c>
      <c r="D1242" s="81">
        <v>2158.6</v>
      </c>
      <c r="E1242" s="151">
        <v>44754</v>
      </c>
      <c r="F1242" s="81">
        <v>2158.6</v>
      </c>
      <c r="G1242" s="156">
        <f>Tabla18[[#This Row],[Importe]]-Tabla18[[#This Row],[Pagado]]</f>
        <v>0</v>
      </c>
      <c r="H1242" s="75" t="s">
        <v>10</v>
      </c>
    </row>
    <row r="1243" spans="1:8" x14ac:dyDescent="0.25">
      <c r="A1243" s="148">
        <v>44754</v>
      </c>
      <c r="B1243" s="149" t="s">
        <v>22555</v>
      </c>
      <c r="C1243" s="153" t="s">
        <v>24</v>
      </c>
      <c r="D1243" s="154">
        <v>510</v>
      </c>
      <c r="E1243" s="155">
        <v>44754</v>
      </c>
      <c r="F1243" s="154">
        <v>510</v>
      </c>
      <c r="G1243" s="156">
        <f>Tabla18[[#This Row],[Importe]]-Tabla18[[#This Row],[Pagado]]</f>
        <v>0</v>
      </c>
      <c r="H1243" s="153" t="s">
        <v>10</v>
      </c>
    </row>
    <row r="1244" spans="1:8" x14ac:dyDescent="0.25">
      <c r="A1244" s="73">
        <v>44754</v>
      </c>
      <c r="B1244" s="74" t="s">
        <v>22556</v>
      </c>
      <c r="C1244" s="75" t="s">
        <v>24</v>
      </c>
      <c r="D1244" s="81">
        <v>3313.6</v>
      </c>
      <c r="E1244" s="151">
        <v>44754</v>
      </c>
      <c r="F1244" s="81">
        <v>3313.6</v>
      </c>
      <c r="G1244" s="156">
        <f>Tabla18[[#This Row],[Importe]]-Tabla18[[#This Row],[Pagado]]</f>
        <v>0</v>
      </c>
      <c r="H1244" s="75" t="s">
        <v>10</v>
      </c>
    </row>
    <row r="1245" spans="1:8" x14ac:dyDescent="0.25">
      <c r="A1245" s="148">
        <v>44754</v>
      </c>
      <c r="B1245" s="149" t="s">
        <v>22557</v>
      </c>
      <c r="C1245" s="153" t="s">
        <v>53</v>
      </c>
      <c r="D1245" s="154">
        <v>1701.7</v>
      </c>
      <c r="E1245" s="155">
        <v>44754</v>
      </c>
      <c r="F1245" s="154">
        <v>1701.7</v>
      </c>
      <c r="G1245" s="156">
        <f>Tabla18[[#This Row],[Importe]]-Tabla18[[#This Row],[Pagado]]</f>
        <v>0</v>
      </c>
      <c r="H1245" s="153" t="s">
        <v>10</v>
      </c>
    </row>
    <row r="1246" spans="1:8" ht="31.5" x14ac:dyDescent="0.25">
      <c r="A1246" s="73">
        <v>44754</v>
      </c>
      <c r="B1246" s="74" t="s">
        <v>22558</v>
      </c>
      <c r="C1246" s="75" t="s">
        <v>22</v>
      </c>
      <c r="D1246" s="81">
        <v>50536.800000000003</v>
      </c>
      <c r="E1246" s="147" t="s">
        <v>22399</v>
      </c>
      <c r="F1246" s="81">
        <f>40000+10536.8</f>
        <v>50536.800000000003</v>
      </c>
      <c r="G1246" s="156">
        <f>Tabla18[[#This Row],[Importe]]-Tabla18[[#This Row],[Pagado]]</f>
        <v>0</v>
      </c>
      <c r="H1246" s="75" t="s">
        <v>10</v>
      </c>
    </row>
    <row r="1247" spans="1:8" x14ac:dyDescent="0.25">
      <c r="A1247" s="148">
        <v>44754</v>
      </c>
      <c r="B1247" s="149" t="s">
        <v>22559</v>
      </c>
      <c r="C1247" s="153" t="s">
        <v>135</v>
      </c>
      <c r="D1247" s="154">
        <v>1712</v>
      </c>
      <c r="E1247" s="155">
        <v>44754</v>
      </c>
      <c r="F1247" s="154">
        <v>1712</v>
      </c>
      <c r="G1247" s="156">
        <f>Tabla18[[#This Row],[Importe]]-Tabla18[[#This Row],[Pagado]]</f>
        <v>0</v>
      </c>
      <c r="H1247" s="153" t="s">
        <v>10</v>
      </c>
    </row>
    <row r="1248" spans="1:8" x14ac:dyDescent="0.25">
      <c r="A1248" s="73">
        <v>44754</v>
      </c>
      <c r="B1248" s="74" t="s">
        <v>22560</v>
      </c>
      <c r="C1248" s="75" t="s">
        <v>79</v>
      </c>
      <c r="D1248" s="81">
        <v>26349.9</v>
      </c>
      <c r="E1248" s="151">
        <v>44754</v>
      </c>
      <c r="F1248" s="81">
        <v>26349.9</v>
      </c>
      <c r="G1248" s="156">
        <f>Tabla18[[#This Row],[Importe]]-Tabla18[[#This Row],[Pagado]]</f>
        <v>0</v>
      </c>
      <c r="H1248" s="75" t="s">
        <v>10</v>
      </c>
    </row>
    <row r="1249" spans="1:8" x14ac:dyDescent="0.25">
      <c r="A1249" s="148">
        <v>44754</v>
      </c>
      <c r="B1249" s="149" t="s">
        <v>22561</v>
      </c>
      <c r="C1249" s="153" t="s">
        <v>31</v>
      </c>
      <c r="D1249" s="154">
        <v>405.6</v>
      </c>
      <c r="E1249" s="155">
        <v>44754</v>
      </c>
      <c r="F1249" s="154">
        <v>405.6</v>
      </c>
      <c r="G1249" s="156">
        <f>Tabla18[[#This Row],[Importe]]-Tabla18[[#This Row],[Pagado]]</f>
        <v>0</v>
      </c>
      <c r="H1249" s="153" t="s">
        <v>10</v>
      </c>
    </row>
    <row r="1250" spans="1:8" x14ac:dyDescent="0.25">
      <c r="A1250" s="73">
        <v>44754</v>
      </c>
      <c r="B1250" s="74" t="s">
        <v>22562</v>
      </c>
      <c r="C1250" s="75" t="s">
        <v>421</v>
      </c>
      <c r="D1250" s="81">
        <v>9668.2000000000007</v>
      </c>
      <c r="E1250" s="151">
        <v>44754</v>
      </c>
      <c r="F1250" s="81">
        <v>9668.2000000000007</v>
      </c>
      <c r="G1250" s="156">
        <f>Tabla18[[#This Row],[Importe]]-Tabla18[[#This Row],[Pagado]]</f>
        <v>0</v>
      </c>
      <c r="H1250" s="75" t="s">
        <v>10</v>
      </c>
    </row>
    <row r="1251" spans="1:8" x14ac:dyDescent="0.25">
      <c r="A1251" s="148">
        <v>44754</v>
      </c>
      <c r="B1251" s="149" t="s">
        <v>22563</v>
      </c>
      <c r="C1251" s="153" t="s">
        <v>49</v>
      </c>
      <c r="D1251" s="154">
        <v>5401.2</v>
      </c>
      <c r="E1251" s="155">
        <v>44754</v>
      </c>
      <c r="F1251" s="154">
        <v>5401.2</v>
      </c>
      <c r="G1251" s="156">
        <f>Tabla18[[#This Row],[Importe]]-Tabla18[[#This Row],[Pagado]]</f>
        <v>0</v>
      </c>
      <c r="H1251" s="153" t="s">
        <v>10</v>
      </c>
    </row>
    <row r="1252" spans="1:8" x14ac:dyDescent="0.25">
      <c r="A1252" s="73">
        <v>44754</v>
      </c>
      <c r="B1252" s="74" t="s">
        <v>22564</v>
      </c>
      <c r="C1252" s="75" t="s">
        <v>291</v>
      </c>
      <c r="D1252" s="81">
        <v>4058.1</v>
      </c>
      <c r="E1252" s="151">
        <v>44755</v>
      </c>
      <c r="F1252" s="81">
        <v>4058.1</v>
      </c>
      <c r="G1252" s="156">
        <f>Tabla18[[#This Row],[Importe]]-Tabla18[[#This Row],[Pagado]]</f>
        <v>0</v>
      </c>
      <c r="H1252" s="75" t="s">
        <v>10</v>
      </c>
    </row>
    <row r="1253" spans="1:8" x14ac:dyDescent="0.25">
      <c r="A1253" s="148">
        <v>44754</v>
      </c>
      <c r="B1253" s="149" t="s">
        <v>22565</v>
      </c>
      <c r="C1253" s="153" t="s">
        <v>226</v>
      </c>
      <c r="D1253" s="154">
        <v>4101.5</v>
      </c>
      <c r="E1253" s="155">
        <v>44754</v>
      </c>
      <c r="F1253" s="154">
        <v>4101.5</v>
      </c>
      <c r="G1253" s="156">
        <f>Tabla18[[#This Row],[Importe]]-Tabla18[[#This Row],[Pagado]]</f>
        <v>0</v>
      </c>
      <c r="H1253" s="153" t="s">
        <v>10</v>
      </c>
    </row>
    <row r="1254" spans="1:8" x14ac:dyDescent="0.25">
      <c r="A1254" s="73">
        <v>44754</v>
      </c>
      <c r="B1254" s="74" t="s">
        <v>22566</v>
      </c>
      <c r="C1254" s="75" t="s">
        <v>670</v>
      </c>
      <c r="D1254" s="81">
        <v>4232.8</v>
      </c>
      <c r="E1254" s="151">
        <v>44754</v>
      </c>
      <c r="F1254" s="81">
        <v>4232.8</v>
      </c>
      <c r="G1254" s="156">
        <f>Tabla18[[#This Row],[Importe]]-Tabla18[[#This Row],[Pagado]]</f>
        <v>0</v>
      </c>
      <c r="H1254" s="75" t="s">
        <v>10</v>
      </c>
    </row>
    <row r="1255" spans="1:8" x14ac:dyDescent="0.25">
      <c r="A1255" s="148">
        <v>44754</v>
      </c>
      <c r="B1255" s="149" t="s">
        <v>22567</v>
      </c>
      <c r="C1255" s="153" t="s">
        <v>15039</v>
      </c>
      <c r="D1255" s="154">
        <v>4005.2</v>
      </c>
      <c r="E1255" s="155">
        <v>44754</v>
      </c>
      <c r="F1255" s="154">
        <v>4005.2</v>
      </c>
      <c r="G1255" s="156">
        <f>Tabla18[[#This Row],[Importe]]-Tabla18[[#This Row],[Pagado]]</f>
        <v>0</v>
      </c>
      <c r="H1255" s="153" t="s">
        <v>10</v>
      </c>
    </row>
    <row r="1256" spans="1:8" x14ac:dyDescent="0.25">
      <c r="A1256" s="73">
        <v>44754</v>
      </c>
      <c r="B1256" s="74" t="s">
        <v>22568</v>
      </c>
      <c r="C1256" s="75" t="s">
        <v>191</v>
      </c>
      <c r="D1256" s="81">
        <v>1892.4</v>
      </c>
      <c r="E1256" s="151">
        <v>44754</v>
      </c>
      <c r="F1256" s="81">
        <v>1892.4</v>
      </c>
      <c r="G1256" s="156">
        <f>Tabla18[[#This Row],[Importe]]-Tabla18[[#This Row],[Pagado]]</f>
        <v>0</v>
      </c>
      <c r="H1256" s="75" t="s">
        <v>10</v>
      </c>
    </row>
    <row r="1257" spans="1:8" x14ac:dyDescent="0.25">
      <c r="A1257" s="148">
        <v>44754</v>
      </c>
      <c r="B1257" s="149" t="s">
        <v>22569</v>
      </c>
      <c r="C1257" s="153" t="s">
        <v>9827</v>
      </c>
      <c r="D1257" s="154">
        <v>2010</v>
      </c>
      <c r="E1257" s="155">
        <v>44754</v>
      </c>
      <c r="F1257" s="154">
        <v>2010</v>
      </c>
      <c r="G1257" s="156">
        <f>Tabla18[[#This Row],[Importe]]-Tabla18[[#This Row],[Pagado]]</f>
        <v>0</v>
      </c>
      <c r="H1257" s="153" t="s">
        <v>10</v>
      </c>
    </row>
    <row r="1258" spans="1:8" x14ac:dyDescent="0.25">
      <c r="A1258" s="73">
        <v>44754</v>
      </c>
      <c r="B1258" s="74" t="s">
        <v>22570</v>
      </c>
      <c r="C1258" s="75" t="s">
        <v>698</v>
      </c>
      <c r="D1258" s="81">
        <v>6518.1</v>
      </c>
      <c r="E1258" s="151">
        <v>44754</v>
      </c>
      <c r="F1258" s="81">
        <v>6518.1</v>
      </c>
      <c r="G1258" s="156">
        <f>Tabla18[[#This Row],[Importe]]-Tabla18[[#This Row],[Pagado]]</f>
        <v>0</v>
      </c>
      <c r="H1258" s="75" t="s">
        <v>10</v>
      </c>
    </row>
    <row r="1259" spans="1:8" x14ac:dyDescent="0.25">
      <c r="A1259" s="148">
        <v>44754</v>
      </c>
      <c r="B1259" s="149" t="s">
        <v>22571</v>
      </c>
      <c r="C1259" s="153" t="s">
        <v>45</v>
      </c>
      <c r="D1259" s="154">
        <v>8726.1</v>
      </c>
      <c r="E1259" s="155">
        <v>44754</v>
      </c>
      <c r="F1259" s="154">
        <v>8726.1</v>
      </c>
      <c r="G1259" s="156">
        <f>Tabla18[[#This Row],[Importe]]-Tabla18[[#This Row],[Pagado]]</f>
        <v>0</v>
      </c>
      <c r="H1259" s="153" t="s">
        <v>10</v>
      </c>
    </row>
    <row r="1260" spans="1:8" x14ac:dyDescent="0.25">
      <c r="A1260" s="73">
        <v>44754</v>
      </c>
      <c r="B1260" s="74" t="s">
        <v>22572</v>
      </c>
      <c r="C1260" s="75" t="s">
        <v>196</v>
      </c>
      <c r="D1260" s="81">
        <v>29055.5</v>
      </c>
      <c r="E1260" s="151">
        <v>44757</v>
      </c>
      <c r="F1260" s="81">
        <v>29055.5</v>
      </c>
      <c r="G1260" s="156">
        <f>Tabla18[[#This Row],[Importe]]-Tabla18[[#This Row],[Pagado]]</f>
        <v>0</v>
      </c>
      <c r="H1260" s="75" t="s">
        <v>10</v>
      </c>
    </row>
    <row r="1261" spans="1:8" x14ac:dyDescent="0.25">
      <c r="A1261" s="148">
        <v>44754</v>
      </c>
      <c r="B1261" s="149" t="s">
        <v>22573</v>
      </c>
      <c r="C1261" s="153" t="s">
        <v>319</v>
      </c>
      <c r="D1261" s="154">
        <v>9755</v>
      </c>
      <c r="E1261" s="155">
        <v>44754</v>
      </c>
      <c r="F1261" s="154">
        <v>9755</v>
      </c>
      <c r="G1261" s="156">
        <f>Tabla18[[#This Row],[Importe]]-Tabla18[[#This Row],[Pagado]]</f>
        <v>0</v>
      </c>
      <c r="H1261" s="153" t="s">
        <v>10</v>
      </c>
    </row>
    <row r="1262" spans="1:8" x14ac:dyDescent="0.25">
      <c r="A1262" s="73">
        <v>44754</v>
      </c>
      <c r="B1262" s="74" t="s">
        <v>22574</v>
      </c>
      <c r="C1262" s="75" t="s">
        <v>520</v>
      </c>
      <c r="D1262" s="81">
        <v>21682.2</v>
      </c>
      <c r="E1262" s="151">
        <v>44754</v>
      </c>
      <c r="F1262" s="81">
        <v>21682.2</v>
      </c>
      <c r="G1262" s="156">
        <f>Tabla18[[#This Row],[Importe]]-Tabla18[[#This Row],[Pagado]]</f>
        <v>0</v>
      </c>
      <c r="H1262" s="75" t="s">
        <v>10</v>
      </c>
    </row>
    <row r="1263" spans="1:8" x14ac:dyDescent="0.25">
      <c r="A1263" s="148">
        <v>44754</v>
      </c>
      <c r="B1263" s="149" t="s">
        <v>22575</v>
      </c>
      <c r="C1263" s="153" t="s">
        <v>233</v>
      </c>
      <c r="D1263" s="154">
        <v>5426.4</v>
      </c>
      <c r="E1263" s="155">
        <v>44754</v>
      </c>
      <c r="F1263" s="154">
        <v>5426.4</v>
      </c>
      <c r="G1263" s="156">
        <f>Tabla18[[#This Row],[Importe]]-Tabla18[[#This Row],[Pagado]]</f>
        <v>0</v>
      </c>
      <c r="H1263" s="153" t="s">
        <v>10</v>
      </c>
    </row>
    <row r="1264" spans="1:8" x14ac:dyDescent="0.25">
      <c r="A1264" s="73">
        <v>44754</v>
      </c>
      <c r="B1264" s="74" t="s">
        <v>22576</v>
      </c>
      <c r="C1264" s="75" t="s">
        <v>157</v>
      </c>
      <c r="D1264" s="81">
        <v>8747.2000000000007</v>
      </c>
      <c r="E1264" s="151">
        <v>44754</v>
      </c>
      <c r="F1264" s="81">
        <v>8747.2000000000007</v>
      </c>
      <c r="G1264" s="156">
        <f>Tabla18[[#This Row],[Importe]]-Tabla18[[#This Row],[Pagado]]</f>
        <v>0</v>
      </c>
      <c r="H1264" s="75" t="s">
        <v>10</v>
      </c>
    </row>
    <row r="1265" spans="1:8" x14ac:dyDescent="0.25">
      <c r="A1265" s="148">
        <v>44754</v>
      </c>
      <c r="B1265" s="149" t="s">
        <v>22577</v>
      </c>
      <c r="C1265" s="153" t="s">
        <v>419</v>
      </c>
      <c r="D1265" s="154">
        <v>9626.9</v>
      </c>
      <c r="E1265" s="155">
        <v>44754</v>
      </c>
      <c r="F1265" s="154">
        <v>9626.9</v>
      </c>
      <c r="G1265" s="156">
        <f>Tabla18[[#This Row],[Importe]]-Tabla18[[#This Row],[Pagado]]</f>
        <v>0</v>
      </c>
      <c r="H1265" s="153" t="s">
        <v>10</v>
      </c>
    </row>
    <row r="1266" spans="1:8" x14ac:dyDescent="0.25">
      <c r="A1266" s="73">
        <v>44754</v>
      </c>
      <c r="B1266" s="74" t="s">
        <v>22578</v>
      </c>
      <c r="C1266" s="75" t="s">
        <v>562</v>
      </c>
      <c r="D1266" s="81">
        <v>4566</v>
      </c>
      <c r="E1266" s="151">
        <v>44754</v>
      </c>
      <c r="F1266" s="81">
        <v>4566</v>
      </c>
      <c r="G1266" s="156">
        <f>Tabla18[[#This Row],[Importe]]-Tabla18[[#This Row],[Pagado]]</f>
        <v>0</v>
      </c>
      <c r="H1266" s="75" t="s">
        <v>10</v>
      </c>
    </row>
    <row r="1267" spans="1:8" x14ac:dyDescent="0.25">
      <c r="A1267" s="148">
        <v>44754</v>
      </c>
      <c r="B1267" s="149" t="s">
        <v>22579</v>
      </c>
      <c r="C1267" s="153" t="s">
        <v>31</v>
      </c>
      <c r="D1267" s="154">
        <v>1575</v>
      </c>
      <c r="E1267" s="155">
        <v>44754</v>
      </c>
      <c r="F1267" s="154">
        <v>1575</v>
      </c>
      <c r="G1267" s="156">
        <f>Tabla18[[#This Row],[Importe]]-Tabla18[[#This Row],[Pagado]]</f>
        <v>0</v>
      </c>
      <c r="H1267" s="153" t="s">
        <v>10</v>
      </c>
    </row>
    <row r="1268" spans="1:8" x14ac:dyDescent="0.25">
      <c r="A1268" s="73">
        <v>44754</v>
      </c>
      <c r="B1268" s="74" t="s">
        <v>22580</v>
      </c>
      <c r="C1268" s="75" t="s">
        <v>58</v>
      </c>
      <c r="D1268" s="81">
        <v>3551.8</v>
      </c>
      <c r="E1268" s="151">
        <v>44754</v>
      </c>
      <c r="F1268" s="81">
        <v>3551.8</v>
      </c>
      <c r="G1268" s="156">
        <f>Tabla18[[#This Row],[Importe]]-Tabla18[[#This Row],[Pagado]]</f>
        <v>0</v>
      </c>
      <c r="H1268" s="75" t="s">
        <v>10</v>
      </c>
    </row>
    <row r="1269" spans="1:8" x14ac:dyDescent="0.25">
      <c r="A1269" s="148">
        <v>44754</v>
      </c>
      <c r="B1269" s="149" t="s">
        <v>22581</v>
      </c>
      <c r="C1269" s="153" t="s">
        <v>610</v>
      </c>
      <c r="D1269" s="154">
        <v>33299.800000000003</v>
      </c>
      <c r="E1269" s="155">
        <v>44760</v>
      </c>
      <c r="F1269" s="154">
        <v>33299.800000000003</v>
      </c>
      <c r="G1269" s="156">
        <f>Tabla18[[#This Row],[Importe]]-Tabla18[[#This Row],[Pagado]]</f>
        <v>0</v>
      </c>
      <c r="H1269" s="153" t="s">
        <v>10</v>
      </c>
    </row>
    <row r="1270" spans="1:8" x14ac:dyDescent="0.25">
      <c r="A1270" s="73">
        <v>44754</v>
      </c>
      <c r="B1270" s="74" t="s">
        <v>22582</v>
      </c>
      <c r="C1270" s="75" t="s">
        <v>612</v>
      </c>
      <c r="D1270" s="81">
        <v>600</v>
      </c>
      <c r="E1270" s="151">
        <v>44754</v>
      </c>
      <c r="F1270" s="81">
        <v>600</v>
      </c>
      <c r="G1270" s="156">
        <f>Tabla18[[#This Row],[Importe]]-Tabla18[[#This Row],[Pagado]]</f>
        <v>0</v>
      </c>
      <c r="H1270" s="75" t="s">
        <v>10</v>
      </c>
    </row>
    <row r="1271" spans="1:8" x14ac:dyDescent="0.25">
      <c r="A1271" s="148">
        <v>44754</v>
      </c>
      <c r="B1271" s="149" t="s">
        <v>22583</v>
      </c>
      <c r="C1271" s="153" t="s">
        <v>91</v>
      </c>
      <c r="D1271" s="154">
        <v>8140</v>
      </c>
      <c r="E1271" s="155">
        <v>44755</v>
      </c>
      <c r="F1271" s="154">
        <v>8140</v>
      </c>
      <c r="G1271" s="156">
        <f>Tabla18[[#This Row],[Importe]]-Tabla18[[#This Row],[Pagado]]</f>
        <v>0</v>
      </c>
      <c r="H1271" s="153" t="s">
        <v>10</v>
      </c>
    </row>
    <row r="1272" spans="1:8" x14ac:dyDescent="0.25">
      <c r="A1272" s="73">
        <v>44754</v>
      </c>
      <c r="B1272" s="74" t="s">
        <v>22584</v>
      </c>
      <c r="C1272" s="75" t="s">
        <v>843</v>
      </c>
      <c r="D1272" s="81">
        <v>24336</v>
      </c>
      <c r="E1272" s="151">
        <v>44754</v>
      </c>
      <c r="F1272" s="81">
        <v>24336</v>
      </c>
      <c r="G1272" s="156">
        <f>Tabla18[[#This Row],[Importe]]-Tabla18[[#This Row],[Pagado]]</f>
        <v>0</v>
      </c>
      <c r="H1272" s="75" t="s">
        <v>10</v>
      </c>
    </row>
    <row r="1273" spans="1:8" x14ac:dyDescent="0.25">
      <c r="A1273" s="148">
        <v>44754</v>
      </c>
      <c r="B1273" s="149" t="s">
        <v>22585</v>
      </c>
      <c r="C1273" s="153" t="s">
        <v>142</v>
      </c>
      <c r="D1273" s="154">
        <v>60297.8</v>
      </c>
      <c r="E1273" s="155">
        <v>44799</v>
      </c>
      <c r="F1273" s="154">
        <v>60297.8</v>
      </c>
      <c r="G1273" s="156">
        <f>Tabla18[[#This Row],[Importe]]-Tabla18[[#This Row],[Pagado]]</f>
        <v>0</v>
      </c>
      <c r="H1273" s="153" t="s">
        <v>10</v>
      </c>
    </row>
    <row r="1274" spans="1:8" x14ac:dyDescent="0.25">
      <c r="A1274" s="73">
        <v>44754</v>
      </c>
      <c r="B1274" s="74" t="s">
        <v>22586</v>
      </c>
      <c r="C1274" s="75" t="s">
        <v>440</v>
      </c>
      <c r="D1274" s="81">
        <v>10875.6</v>
      </c>
      <c r="E1274" s="151">
        <v>44768</v>
      </c>
      <c r="F1274" s="81">
        <v>10875.6</v>
      </c>
      <c r="G1274" s="156">
        <f>Tabla18[[#This Row],[Importe]]-Tabla18[[#This Row],[Pagado]]</f>
        <v>0</v>
      </c>
      <c r="H1274" s="75" t="s">
        <v>10</v>
      </c>
    </row>
    <row r="1275" spans="1:8" x14ac:dyDescent="0.25">
      <c r="A1275" s="148">
        <v>44754</v>
      </c>
      <c r="B1275" s="149" t="s">
        <v>22587</v>
      </c>
      <c r="C1275" s="153" t="s">
        <v>142</v>
      </c>
      <c r="D1275" s="154">
        <v>330</v>
      </c>
      <c r="E1275" s="155">
        <v>44754</v>
      </c>
      <c r="F1275" s="154">
        <v>330</v>
      </c>
      <c r="G1275" s="156">
        <f>Tabla18[[#This Row],[Importe]]-Tabla18[[#This Row],[Pagado]]</f>
        <v>0</v>
      </c>
      <c r="H1275" s="153" t="s">
        <v>10</v>
      </c>
    </row>
    <row r="1276" spans="1:8" x14ac:dyDescent="0.25">
      <c r="A1276" s="73">
        <v>44754</v>
      </c>
      <c r="B1276" s="74" t="s">
        <v>22588</v>
      </c>
      <c r="C1276" s="75" t="s">
        <v>31</v>
      </c>
      <c r="D1276" s="81">
        <v>160</v>
      </c>
      <c r="E1276" s="151">
        <v>44754</v>
      </c>
      <c r="F1276" s="81">
        <v>160</v>
      </c>
      <c r="G1276" s="156">
        <f>Tabla18[[#This Row],[Importe]]-Tabla18[[#This Row],[Pagado]]</f>
        <v>0</v>
      </c>
      <c r="H1276" s="75" t="s">
        <v>10</v>
      </c>
    </row>
    <row r="1277" spans="1:8" x14ac:dyDescent="0.25">
      <c r="A1277" s="148">
        <v>44754</v>
      </c>
      <c r="B1277" s="149" t="s">
        <v>22589</v>
      </c>
      <c r="C1277" s="153" t="s">
        <v>91</v>
      </c>
      <c r="D1277" s="154">
        <v>4440</v>
      </c>
      <c r="E1277" s="155">
        <v>44755</v>
      </c>
      <c r="F1277" s="154">
        <v>4440</v>
      </c>
      <c r="G1277" s="156">
        <f>Tabla18[[#This Row],[Importe]]-Tabla18[[#This Row],[Pagado]]</f>
        <v>0</v>
      </c>
      <c r="H1277" s="153" t="s">
        <v>10</v>
      </c>
    </row>
    <row r="1278" spans="1:8" x14ac:dyDescent="0.25">
      <c r="A1278" s="73">
        <v>44754</v>
      </c>
      <c r="B1278" s="74" t="s">
        <v>22590</v>
      </c>
      <c r="C1278" s="75" t="s">
        <v>10678</v>
      </c>
      <c r="D1278" s="81">
        <v>2488.8000000000002</v>
      </c>
      <c r="E1278" s="151">
        <v>44754</v>
      </c>
      <c r="F1278" s="81">
        <v>2488.8000000000002</v>
      </c>
      <c r="G1278" s="156">
        <f>Tabla18[[#This Row],[Importe]]-Tabla18[[#This Row],[Pagado]]</f>
        <v>0</v>
      </c>
      <c r="H1278" s="75" t="s">
        <v>10</v>
      </c>
    </row>
    <row r="1279" spans="1:8" x14ac:dyDescent="0.25">
      <c r="A1279" s="148">
        <v>44754</v>
      </c>
      <c r="B1279" s="149" t="s">
        <v>22591</v>
      </c>
      <c r="C1279" s="153" t="s">
        <v>10678</v>
      </c>
      <c r="D1279" s="154">
        <v>120</v>
      </c>
      <c r="E1279" s="155">
        <v>44754</v>
      </c>
      <c r="F1279" s="154">
        <v>120</v>
      </c>
      <c r="G1279" s="156">
        <f>Tabla18[[#This Row],[Importe]]-Tabla18[[#This Row],[Pagado]]</f>
        <v>0</v>
      </c>
      <c r="H1279" s="153" t="s">
        <v>10</v>
      </c>
    </row>
    <row r="1280" spans="1:8" x14ac:dyDescent="0.25">
      <c r="A1280" s="73">
        <v>44754</v>
      </c>
      <c r="B1280" s="74" t="s">
        <v>22592</v>
      </c>
      <c r="C1280" s="75" t="s">
        <v>249</v>
      </c>
      <c r="D1280" s="81">
        <v>7553.7</v>
      </c>
      <c r="E1280" s="151">
        <v>44754</v>
      </c>
      <c r="F1280" s="81">
        <v>7553.7</v>
      </c>
      <c r="G1280" s="156">
        <f>Tabla18[[#This Row],[Importe]]-Tabla18[[#This Row],[Pagado]]</f>
        <v>0</v>
      </c>
      <c r="H1280" s="75" t="s">
        <v>10</v>
      </c>
    </row>
    <row r="1281" spans="1:8" x14ac:dyDescent="0.25">
      <c r="A1281" s="148">
        <v>44754</v>
      </c>
      <c r="B1281" s="149" t="s">
        <v>22593</v>
      </c>
      <c r="C1281" s="153" t="s">
        <v>470</v>
      </c>
      <c r="D1281" s="154">
        <v>16264</v>
      </c>
      <c r="E1281" s="155">
        <v>44754</v>
      </c>
      <c r="F1281" s="154">
        <v>16264</v>
      </c>
      <c r="G1281" s="156">
        <f>Tabla18[[#This Row],[Importe]]-Tabla18[[#This Row],[Pagado]]</f>
        <v>0</v>
      </c>
      <c r="H1281" s="153" t="s">
        <v>10</v>
      </c>
    </row>
    <row r="1282" spans="1:8" x14ac:dyDescent="0.25">
      <c r="A1282" s="73">
        <v>44754</v>
      </c>
      <c r="B1282" s="74" t="s">
        <v>22594</v>
      </c>
      <c r="C1282" s="75" t="s">
        <v>275</v>
      </c>
      <c r="D1282" s="81">
        <v>83065.850000000006</v>
      </c>
      <c r="E1282" s="151">
        <v>44771</v>
      </c>
      <c r="F1282" s="81">
        <v>83065.850000000006</v>
      </c>
      <c r="G1282" s="156">
        <f>Tabla18[[#This Row],[Importe]]-Tabla18[[#This Row],[Pagado]]</f>
        <v>0</v>
      </c>
      <c r="H1282" s="75" t="s">
        <v>10</v>
      </c>
    </row>
    <row r="1283" spans="1:8" x14ac:dyDescent="0.25">
      <c r="A1283" s="148">
        <v>44754</v>
      </c>
      <c r="B1283" s="149" t="s">
        <v>22595</v>
      </c>
      <c r="C1283" s="153" t="s">
        <v>7444</v>
      </c>
      <c r="D1283" s="154">
        <v>1152</v>
      </c>
      <c r="E1283" s="155">
        <v>44754</v>
      </c>
      <c r="F1283" s="154">
        <v>1152</v>
      </c>
      <c r="G1283" s="156">
        <f>Tabla18[[#This Row],[Importe]]-Tabla18[[#This Row],[Pagado]]</f>
        <v>0</v>
      </c>
      <c r="H1283" s="153" t="s">
        <v>10</v>
      </c>
    </row>
    <row r="1284" spans="1:8" x14ac:dyDescent="0.25">
      <c r="A1284" s="73">
        <v>44754</v>
      </c>
      <c r="B1284" s="74" t="s">
        <v>22596</v>
      </c>
      <c r="C1284" s="75" t="s">
        <v>409</v>
      </c>
      <c r="D1284" s="81">
        <v>2078.4</v>
      </c>
      <c r="E1284" s="151">
        <v>44756</v>
      </c>
      <c r="F1284" s="81">
        <v>2078.4</v>
      </c>
      <c r="G1284" s="156">
        <f>Tabla18[[#This Row],[Importe]]-Tabla18[[#This Row],[Pagado]]</f>
        <v>0</v>
      </c>
      <c r="H1284" s="75" t="s">
        <v>10</v>
      </c>
    </row>
    <row r="1285" spans="1:8" x14ac:dyDescent="0.25">
      <c r="A1285" s="148">
        <v>44754</v>
      </c>
      <c r="B1285" s="149" t="s">
        <v>22597</v>
      </c>
      <c r="C1285" s="153" t="s">
        <v>433</v>
      </c>
      <c r="D1285" s="154">
        <v>37500</v>
      </c>
      <c r="E1285" s="155">
        <v>44754</v>
      </c>
      <c r="F1285" s="154">
        <v>37500</v>
      </c>
      <c r="G1285" s="156">
        <f>Tabla18[[#This Row],[Importe]]-Tabla18[[#This Row],[Pagado]]</f>
        <v>0</v>
      </c>
      <c r="H1285" s="153" t="s">
        <v>10</v>
      </c>
    </row>
    <row r="1286" spans="1:8" x14ac:dyDescent="0.25">
      <c r="A1286" s="73">
        <v>44754</v>
      </c>
      <c r="B1286" s="74" t="s">
        <v>22598</v>
      </c>
      <c r="C1286" s="75" t="s">
        <v>89</v>
      </c>
      <c r="D1286" s="81">
        <v>630.79999999999995</v>
      </c>
      <c r="E1286" s="151">
        <v>44754</v>
      </c>
      <c r="F1286" s="81">
        <v>630.79999999999995</v>
      </c>
      <c r="G1286" s="156">
        <f>Tabla18[[#This Row],[Importe]]-Tabla18[[#This Row],[Pagado]]</f>
        <v>0</v>
      </c>
      <c r="H1286" s="75" t="s">
        <v>10</v>
      </c>
    </row>
    <row r="1287" spans="1:8" x14ac:dyDescent="0.25">
      <c r="A1287" s="148">
        <v>44754</v>
      </c>
      <c r="B1287" s="149" t="s">
        <v>22599</v>
      </c>
      <c r="C1287" s="153" t="s">
        <v>21812</v>
      </c>
      <c r="D1287" s="154">
        <v>4461.3999999999996</v>
      </c>
      <c r="E1287" s="155">
        <v>44754</v>
      </c>
      <c r="F1287" s="154">
        <v>4461.3999999999996</v>
      </c>
      <c r="G1287" s="156">
        <f>Tabla18[[#This Row],[Importe]]-Tabla18[[#This Row],[Pagado]]</f>
        <v>0</v>
      </c>
      <c r="H1287" s="153" t="s">
        <v>10</v>
      </c>
    </row>
    <row r="1288" spans="1:8" x14ac:dyDescent="0.25">
      <c r="A1288" s="73">
        <v>44754</v>
      </c>
      <c r="B1288" s="74" t="s">
        <v>22600</v>
      </c>
      <c r="C1288" s="75" t="s">
        <v>31</v>
      </c>
      <c r="D1288" s="81">
        <v>506</v>
      </c>
      <c r="E1288" s="151">
        <v>44754</v>
      </c>
      <c r="F1288" s="81">
        <v>506</v>
      </c>
      <c r="G1288" s="156">
        <f>Tabla18[[#This Row],[Importe]]-Tabla18[[#This Row],[Pagado]]</f>
        <v>0</v>
      </c>
      <c r="H1288" s="75" t="s">
        <v>10</v>
      </c>
    </row>
    <row r="1289" spans="1:8" x14ac:dyDescent="0.25">
      <c r="A1289" s="148">
        <v>44754</v>
      </c>
      <c r="B1289" s="149" t="s">
        <v>22601</v>
      </c>
      <c r="C1289" s="153" t="s">
        <v>16</v>
      </c>
      <c r="D1289" s="154">
        <v>1356</v>
      </c>
      <c r="E1289" s="155">
        <v>44754</v>
      </c>
      <c r="F1289" s="154">
        <v>1356</v>
      </c>
      <c r="G1289" s="156">
        <f>Tabla18[[#This Row],[Importe]]-Tabla18[[#This Row],[Pagado]]</f>
        <v>0</v>
      </c>
      <c r="H1289" s="153" t="s">
        <v>10</v>
      </c>
    </row>
    <row r="1290" spans="1:8" x14ac:dyDescent="0.25">
      <c r="A1290" s="73">
        <v>44754</v>
      </c>
      <c r="B1290" s="74" t="s">
        <v>22602</v>
      </c>
      <c r="C1290" s="75" t="s">
        <v>450</v>
      </c>
      <c r="D1290" s="81">
        <v>475.2</v>
      </c>
      <c r="E1290" s="151">
        <v>44754</v>
      </c>
      <c r="F1290" s="81">
        <v>475.2</v>
      </c>
      <c r="G1290" s="156">
        <f>Tabla18[[#This Row],[Importe]]-Tabla18[[#This Row],[Pagado]]</f>
        <v>0</v>
      </c>
      <c r="H1290" s="75" t="s">
        <v>10</v>
      </c>
    </row>
    <row r="1291" spans="1:8" x14ac:dyDescent="0.25">
      <c r="A1291" s="148">
        <v>44754</v>
      </c>
      <c r="B1291" s="149" t="s">
        <v>22603</v>
      </c>
      <c r="C1291" s="153" t="s">
        <v>4136</v>
      </c>
      <c r="D1291" s="154">
        <v>1214.4000000000001</v>
      </c>
      <c r="E1291" s="155">
        <v>44754</v>
      </c>
      <c r="F1291" s="154">
        <v>1214.4000000000001</v>
      </c>
      <c r="G1291" s="156">
        <f>Tabla18[[#This Row],[Importe]]-Tabla18[[#This Row],[Pagado]]</f>
        <v>0</v>
      </c>
      <c r="H1291" s="153" t="s">
        <v>10</v>
      </c>
    </row>
    <row r="1292" spans="1:8" x14ac:dyDescent="0.25">
      <c r="A1292" s="73">
        <v>44754</v>
      </c>
      <c r="B1292" s="74" t="s">
        <v>22604</v>
      </c>
      <c r="C1292" s="75" t="s">
        <v>426</v>
      </c>
      <c r="D1292" s="81">
        <v>16207.6</v>
      </c>
      <c r="E1292" s="151">
        <v>44755</v>
      </c>
      <c r="F1292" s="81">
        <v>16207.6</v>
      </c>
      <c r="G1292" s="156">
        <f>Tabla18[[#This Row],[Importe]]-Tabla18[[#This Row],[Pagado]]</f>
        <v>0</v>
      </c>
      <c r="H1292" s="75" t="s">
        <v>10</v>
      </c>
    </row>
    <row r="1293" spans="1:8" x14ac:dyDescent="0.25">
      <c r="A1293" s="148">
        <v>44754</v>
      </c>
      <c r="B1293" s="149" t="s">
        <v>22605</v>
      </c>
      <c r="C1293" s="153" t="s">
        <v>296</v>
      </c>
      <c r="D1293" s="154">
        <v>2691.6</v>
      </c>
      <c r="E1293" s="155">
        <v>44754</v>
      </c>
      <c r="F1293" s="154">
        <v>2691.6</v>
      </c>
      <c r="G1293" s="156">
        <f>Tabla18[[#This Row],[Importe]]-Tabla18[[#This Row],[Pagado]]</f>
        <v>0</v>
      </c>
      <c r="H1293" s="153" t="s">
        <v>10</v>
      </c>
    </row>
    <row r="1294" spans="1:8" x14ac:dyDescent="0.25">
      <c r="A1294" s="73">
        <v>44754</v>
      </c>
      <c r="B1294" s="74" t="s">
        <v>22606</v>
      </c>
      <c r="C1294" s="75" t="s">
        <v>263</v>
      </c>
      <c r="D1294" s="81">
        <v>8043.2</v>
      </c>
      <c r="E1294" s="151">
        <v>44769</v>
      </c>
      <c r="F1294" s="81">
        <v>8043.2</v>
      </c>
      <c r="G1294" s="156">
        <f>Tabla18[[#This Row],[Importe]]-Tabla18[[#This Row],[Pagado]]</f>
        <v>0</v>
      </c>
      <c r="H1294" s="75" t="s">
        <v>10</v>
      </c>
    </row>
    <row r="1295" spans="1:8" x14ac:dyDescent="0.25">
      <c r="A1295" s="148">
        <v>44754</v>
      </c>
      <c r="B1295" s="149" t="s">
        <v>22607</v>
      </c>
      <c r="C1295" s="153" t="s">
        <v>181</v>
      </c>
      <c r="D1295" s="154">
        <v>14548.1</v>
      </c>
      <c r="E1295" s="155">
        <v>44755</v>
      </c>
      <c r="F1295" s="154">
        <v>14548.1</v>
      </c>
      <c r="G1295" s="156">
        <f>Tabla18[[#This Row],[Importe]]-Tabla18[[#This Row],[Pagado]]</f>
        <v>0</v>
      </c>
      <c r="H1295" s="153" t="s">
        <v>10</v>
      </c>
    </row>
    <row r="1296" spans="1:8" x14ac:dyDescent="0.25">
      <c r="A1296" s="73">
        <v>44754</v>
      </c>
      <c r="B1296" s="74" t="s">
        <v>22608</v>
      </c>
      <c r="C1296" s="75" t="s">
        <v>1481</v>
      </c>
      <c r="D1296" s="81">
        <v>2560</v>
      </c>
      <c r="E1296" s="151">
        <v>44755</v>
      </c>
      <c r="F1296" s="81">
        <v>2560</v>
      </c>
      <c r="G1296" s="156">
        <f>Tabla18[[#This Row],[Importe]]-Tabla18[[#This Row],[Pagado]]</f>
        <v>0</v>
      </c>
      <c r="H1296" s="75" t="s">
        <v>10</v>
      </c>
    </row>
    <row r="1297" spans="1:8" x14ac:dyDescent="0.25">
      <c r="A1297" s="148">
        <v>44754</v>
      </c>
      <c r="B1297" s="149" t="s">
        <v>22609</v>
      </c>
      <c r="C1297" s="153" t="s">
        <v>31</v>
      </c>
      <c r="D1297" s="154">
        <v>98.4</v>
      </c>
      <c r="E1297" s="155">
        <v>44754</v>
      </c>
      <c r="F1297" s="154">
        <v>98.4</v>
      </c>
      <c r="G1297" s="156">
        <f>Tabla18[[#This Row],[Importe]]-Tabla18[[#This Row],[Pagado]]</f>
        <v>0</v>
      </c>
      <c r="H1297" s="153" t="s">
        <v>10</v>
      </c>
    </row>
    <row r="1298" spans="1:8" x14ac:dyDescent="0.25">
      <c r="A1298" s="73">
        <v>44754</v>
      </c>
      <c r="B1298" s="74" t="s">
        <v>22610</v>
      </c>
      <c r="C1298" s="75" t="s">
        <v>284</v>
      </c>
      <c r="D1298" s="81">
        <v>9457.5</v>
      </c>
      <c r="E1298" s="151">
        <v>44755</v>
      </c>
      <c r="F1298" s="81">
        <v>9457.5</v>
      </c>
      <c r="G1298" s="156">
        <f>Tabla18[[#This Row],[Importe]]-Tabla18[[#This Row],[Pagado]]</f>
        <v>0</v>
      </c>
      <c r="H1298" s="75" t="s">
        <v>10</v>
      </c>
    </row>
    <row r="1299" spans="1:8" x14ac:dyDescent="0.25">
      <c r="A1299" s="148">
        <v>44754</v>
      </c>
      <c r="B1299" s="149" t="s">
        <v>22611</v>
      </c>
      <c r="C1299" s="153" t="s">
        <v>263</v>
      </c>
      <c r="D1299" s="154">
        <v>8800</v>
      </c>
      <c r="E1299" s="155">
        <v>44769</v>
      </c>
      <c r="F1299" s="154">
        <v>8800</v>
      </c>
      <c r="G1299" s="156">
        <f>Tabla18[[#This Row],[Importe]]-Tabla18[[#This Row],[Pagado]]</f>
        <v>0</v>
      </c>
      <c r="H1299" s="153" t="s">
        <v>10</v>
      </c>
    </row>
    <row r="1300" spans="1:8" x14ac:dyDescent="0.25">
      <c r="A1300" s="73">
        <v>44754</v>
      </c>
      <c r="B1300" s="74" t="s">
        <v>22612</v>
      </c>
      <c r="C1300" s="75" t="s">
        <v>53</v>
      </c>
      <c r="D1300" s="81">
        <v>1463.8</v>
      </c>
      <c r="E1300" s="151">
        <v>44754</v>
      </c>
      <c r="F1300" s="81">
        <v>1463.8</v>
      </c>
      <c r="G1300" s="156">
        <f>Tabla18[[#This Row],[Importe]]-Tabla18[[#This Row],[Pagado]]</f>
        <v>0</v>
      </c>
      <c r="H1300" s="75" t="s">
        <v>10</v>
      </c>
    </row>
    <row r="1301" spans="1:8" x14ac:dyDescent="0.25">
      <c r="A1301" s="148">
        <v>44754</v>
      </c>
      <c r="B1301" s="149" t="s">
        <v>22613</v>
      </c>
      <c r="C1301" s="153" t="s">
        <v>1008</v>
      </c>
      <c r="D1301" s="154">
        <v>3097.5</v>
      </c>
      <c r="E1301" s="155">
        <v>44754</v>
      </c>
      <c r="F1301" s="154">
        <v>3097.5</v>
      </c>
      <c r="G1301" s="156">
        <f>Tabla18[[#This Row],[Importe]]-Tabla18[[#This Row],[Pagado]]</f>
        <v>0</v>
      </c>
      <c r="H1301" s="153" t="s">
        <v>10</v>
      </c>
    </row>
    <row r="1302" spans="1:8" x14ac:dyDescent="0.25">
      <c r="A1302" s="73">
        <v>44754</v>
      </c>
      <c r="B1302" s="74" t="s">
        <v>22614</v>
      </c>
      <c r="C1302" s="75" t="s">
        <v>10819</v>
      </c>
      <c r="D1302" s="81">
        <v>682.5</v>
      </c>
      <c r="E1302" s="151">
        <v>44755</v>
      </c>
      <c r="F1302" s="81">
        <v>682.5</v>
      </c>
      <c r="G1302" s="156">
        <f>Tabla18[[#This Row],[Importe]]-Tabla18[[#This Row],[Pagado]]</f>
        <v>0</v>
      </c>
      <c r="H1302" s="75" t="s">
        <v>10</v>
      </c>
    </row>
    <row r="1303" spans="1:8" x14ac:dyDescent="0.25">
      <c r="A1303" s="148">
        <v>44754</v>
      </c>
      <c r="B1303" s="149" t="s">
        <v>22615</v>
      </c>
      <c r="C1303" s="153" t="s">
        <v>69</v>
      </c>
      <c r="D1303" s="154">
        <v>1477.5</v>
      </c>
      <c r="E1303" s="155">
        <v>44754</v>
      </c>
      <c r="F1303" s="154">
        <v>1477.5</v>
      </c>
      <c r="G1303" s="156">
        <f>Tabla18[[#This Row],[Importe]]-Tabla18[[#This Row],[Pagado]]</f>
        <v>0</v>
      </c>
      <c r="H1303" s="153" t="s">
        <v>10</v>
      </c>
    </row>
    <row r="1304" spans="1:8" x14ac:dyDescent="0.25">
      <c r="A1304" s="73">
        <v>44754</v>
      </c>
      <c r="B1304" s="74" t="s">
        <v>22616</v>
      </c>
      <c r="C1304" s="75" t="s">
        <v>10819</v>
      </c>
      <c r="D1304" s="81">
        <v>44</v>
      </c>
      <c r="E1304" s="151">
        <v>44755</v>
      </c>
      <c r="F1304" s="81">
        <v>44</v>
      </c>
      <c r="G1304" s="156">
        <f>Tabla18[[#This Row],[Importe]]-Tabla18[[#This Row],[Pagado]]</f>
        <v>0</v>
      </c>
      <c r="H1304" s="75" t="s">
        <v>10</v>
      </c>
    </row>
    <row r="1305" spans="1:8" x14ac:dyDescent="0.25">
      <c r="A1305" s="148">
        <v>44754</v>
      </c>
      <c r="B1305" s="149" t="s">
        <v>22617</v>
      </c>
      <c r="C1305" s="153" t="s">
        <v>312</v>
      </c>
      <c r="D1305" s="154">
        <v>1164.8</v>
      </c>
      <c r="E1305" s="155">
        <v>44755</v>
      </c>
      <c r="F1305" s="154">
        <v>1164.8</v>
      </c>
      <c r="G1305" s="156">
        <f>Tabla18[[#This Row],[Importe]]-Tabla18[[#This Row],[Pagado]]</f>
        <v>0</v>
      </c>
      <c r="H1305" s="153" t="s">
        <v>10</v>
      </c>
    </row>
    <row r="1306" spans="1:8" x14ac:dyDescent="0.25">
      <c r="A1306" s="73">
        <v>44754</v>
      </c>
      <c r="B1306" s="74" t="s">
        <v>22618</v>
      </c>
      <c r="C1306" s="75" t="s">
        <v>198</v>
      </c>
      <c r="D1306" s="81">
        <v>1080</v>
      </c>
      <c r="E1306" s="151">
        <v>44755</v>
      </c>
      <c r="F1306" s="81">
        <v>1080</v>
      </c>
      <c r="G1306" s="156">
        <f>Tabla18[[#This Row],[Importe]]-Tabla18[[#This Row],[Pagado]]</f>
        <v>0</v>
      </c>
      <c r="H1306" s="75" t="s">
        <v>10</v>
      </c>
    </row>
    <row r="1307" spans="1:8" x14ac:dyDescent="0.25">
      <c r="A1307" s="148">
        <v>44754</v>
      </c>
      <c r="B1307" s="149" t="s">
        <v>22619</v>
      </c>
      <c r="C1307" s="153" t="s">
        <v>282</v>
      </c>
      <c r="D1307" s="154">
        <v>1282.5</v>
      </c>
      <c r="E1307" s="155">
        <v>44755</v>
      </c>
      <c r="F1307" s="154">
        <v>1282.5</v>
      </c>
      <c r="G1307" s="156">
        <f>Tabla18[[#This Row],[Importe]]-Tabla18[[#This Row],[Pagado]]</f>
        <v>0</v>
      </c>
      <c r="H1307" s="153" t="s">
        <v>10</v>
      </c>
    </row>
    <row r="1308" spans="1:8" x14ac:dyDescent="0.25">
      <c r="A1308" s="73">
        <v>44754</v>
      </c>
      <c r="B1308" s="74" t="s">
        <v>22620</v>
      </c>
      <c r="C1308" s="75" t="s">
        <v>5345</v>
      </c>
      <c r="D1308" s="81">
        <v>3150</v>
      </c>
      <c r="E1308" s="151">
        <v>44755</v>
      </c>
      <c r="F1308" s="81">
        <v>3150</v>
      </c>
      <c r="G1308" s="156">
        <f>Tabla18[[#This Row],[Importe]]-Tabla18[[#This Row],[Pagado]]</f>
        <v>0</v>
      </c>
      <c r="H1308" s="75" t="s">
        <v>10</v>
      </c>
    </row>
    <row r="1309" spans="1:8" x14ac:dyDescent="0.25">
      <c r="A1309" s="148">
        <v>44754</v>
      </c>
      <c r="B1309" s="149" t="s">
        <v>22621</v>
      </c>
      <c r="C1309" s="153" t="s">
        <v>654</v>
      </c>
      <c r="D1309" s="154">
        <v>7560</v>
      </c>
      <c r="E1309" s="155">
        <v>44757</v>
      </c>
      <c r="F1309" s="154">
        <v>7560</v>
      </c>
      <c r="G1309" s="156">
        <f>Tabla18[[#This Row],[Importe]]-Tabla18[[#This Row],[Pagado]]</f>
        <v>0</v>
      </c>
      <c r="H1309" s="153" t="s">
        <v>10</v>
      </c>
    </row>
    <row r="1310" spans="1:8" x14ac:dyDescent="0.25">
      <c r="A1310" s="73">
        <v>44754</v>
      </c>
      <c r="B1310" s="74" t="s">
        <v>22622</v>
      </c>
      <c r="C1310" s="75" t="s">
        <v>612</v>
      </c>
      <c r="D1310" s="81">
        <v>900</v>
      </c>
      <c r="E1310" s="151">
        <v>44755</v>
      </c>
      <c r="F1310" s="81">
        <v>900</v>
      </c>
      <c r="G1310" s="156">
        <f>Tabla18[[#This Row],[Importe]]-Tabla18[[#This Row],[Pagado]]</f>
        <v>0</v>
      </c>
      <c r="H1310" s="75" t="s">
        <v>10</v>
      </c>
    </row>
    <row r="1311" spans="1:8" x14ac:dyDescent="0.25">
      <c r="A1311" s="148">
        <v>44754</v>
      </c>
      <c r="B1311" s="149" t="s">
        <v>22623</v>
      </c>
      <c r="C1311" s="153" t="s">
        <v>22</v>
      </c>
      <c r="D1311" s="154">
        <v>5505.6</v>
      </c>
      <c r="E1311" s="155">
        <v>44755</v>
      </c>
      <c r="F1311" s="154">
        <v>5505.6</v>
      </c>
      <c r="G1311" s="156">
        <f>Tabla18[[#This Row],[Importe]]-Tabla18[[#This Row],[Pagado]]</f>
        <v>0</v>
      </c>
      <c r="H1311" s="153" t="s">
        <v>10</v>
      </c>
    </row>
    <row r="1312" spans="1:8" x14ac:dyDescent="0.25">
      <c r="A1312" s="73">
        <v>44754</v>
      </c>
      <c r="B1312" s="74" t="s">
        <v>22624</v>
      </c>
      <c r="C1312" s="75" t="s">
        <v>53</v>
      </c>
      <c r="D1312" s="81">
        <v>1288</v>
      </c>
      <c r="E1312" s="151">
        <v>44755</v>
      </c>
      <c r="F1312" s="81">
        <v>1288</v>
      </c>
      <c r="G1312" s="156">
        <f>Tabla18[[#This Row],[Importe]]-Tabla18[[#This Row],[Pagado]]</f>
        <v>0</v>
      </c>
      <c r="H1312" s="75" t="s">
        <v>10</v>
      </c>
    </row>
    <row r="1313" spans="1:8" x14ac:dyDescent="0.25">
      <c r="A1313" s="148">
        <v>44754</v>
      </c>
      <c r="B1313" s="149" t="s">
        <v>22625</v>
      </c>
      <c r="C1313" s="153" t="s">
        <v>31</v>
      </c>
      <c r="D1313" s="154">
        <v>1156</v>
      </c>
      <c r="E1313" s="155">
        <v>44755</v>
      </c>
      <c r="F1313" s="154">
        <v>1156</v>
      </c>
      <c r="G1313" s="156">
        <f>Tabla18[[#This Row],[Importe]]-Tabla18[[#This Row],[Pagado]]</f>
        <v>0</v>
      </c>
      <c r="H1313" s="153" t="s">
        <v>10</v>
      </c>
    </row>
    <row r="1314" spans="1:8" x14ac:dyDescent="0.25">
      <c r="A1314" s="73">
        <v>44754</v>
      </c>
      <c r="B1314" s="74" t="s">
        <v>22626</v>
      </c>
      <c r="C1314" s="75" t="s">
        <v>402</v>
      </c>
      <c r="D1314" s="81">
        <v>16365.35</v>
      </c>
      <c r="E1314" s="151">
        <v>44762</v>
      </c>
      <c r="F1314" s="81">
        <v>16365.35</v>
      </c>
      <c r="G1314" s="156">
        <f>Tabla18[[#This Row],[Importe]]-Tabla18[[#This Row],[Pagado]]</f>
        <v>0</v>
      </c>
      <c r="H1314" s="75" t="s">
        <v>10</v>
      </c>
    </row>
    <row r="1315" spans="1:8" x14ac:dyDescent="0.25">
      <c r="A1315" s="148">
        <v>44754</v>
      </c>
      <c r="B1315" s="149" t="s">
        <v>22627</v>
      </c>
      <c r="C1315" s="153" t="s">
        <v>1339</v>
      </c>
      <c r="D1315" s="154">
        <v>3512</v>
      </c>
      <c r="E1315" s="155">
        <v>44755</v>
      </c>
      <c r="F1315" s="154">
        <v>3512</v>
      </c>
      <c r="G1315" s="156">
        <f>Tabla18[[#This Row],[Importe]]-Tabla18[[#This Row],[Pagado]]</f>
        <v>0</v>
      </c>
      <c r="H1315" s="153" t="s">
        <v>10</v>
      </c>
    </row>
    <row r="1316" spans="1:8" x14ac:dyDescent="0.25">
      <c r="A1316" s="73">
        <v>44755</v>
      </c>
      <c r="B1316" s="74" t="s">
        <v>22628</v>
      </c>
      <c r="C1316" s="75" t="s">
        <v>887</v>
      </c>
      <c r="D1316" s="81">
        <v>8800</v>
      </c>
      <c r="E1316" s="151">
        <v>44755</v>
      </c>
      <c r="F1316" s="81">
        <v>8800</v>
      </c>
      <c r="G1316" s="156">
        <f>Tabla18[[#This Row],[Importe]]-Tabla18[[#This Row],[Pagado]]</f>
        <v>0</v>
      </c>
      <c r="H1316" s="75" t="s">
        <v>10</v>
      </c>
    </row>
    <row r="1317" spans="1:8" x14ac:dyDescent="0.25">
      <c r="A1317" s="148">
        <v>44755</v>
      </c>
      <c r="B1317" s="149" t="s">
        <v>22629</v>
      </c>
      <c r="C1317" s="153" t="s">
        <v>475</v>
      </c>
      <c r="D1317" s="154">
        <v>67040</v>
      </c>
      <c r="E1317" s="155">
        <v>44756</v>
      </c>
      <c r="F1317" s="154">
        <v>67040</v>
      </c>
      <c r="G1317" s="156">
        <f>Tabla18[[#This Row],[Importe]]-Tabla18[[#This Row],[Pagado]]</f>
        <v>0</v>
      </c>
      <c r="H1317" s="153" t="s">
        <v>10</v>
      </c>
    </row>
    <row r="1318" spans="1:8" x14ac:dyDescent="0.25">
      <c r="A1318" s="73">
        <v>44755</v>
      </c>
      <c r="B1318" s="74" t="s">
        <v>22630</v>
      </c>
      <c r="C1318" s="75" t="s">
        <v>473</v>
      </c>
      <c r="D1318" s="81">
        <v>5557</v>
      </c>
      <c r="E1318" s="151">
        <v>44755</v>
      </c>
      <c r="F1318" s="81">
        <v>5557</v>
      </c>
      <c r="G1318" s="156">
        <f>Tabla18[[#This Row],[Importe]]-Tabla18[[#This Row],[Pagado]]</f>
        <v>0</v>
      </c>
      <c r="H1318" s="75" t="s">
        <v>10</v>
      </c>
    </row>
    <row r="1319" spans="1:8" x14ac:dyDescent="0.25">
      <c r="A1319" s="148">
        <v>44755</v>
      </c>
      <c r="B1319" s="149" t="s">
        <v>22631</v>
      </c>
      <c r="C1319" s="153" t="s">
        <v>85</v>
      </c>
      <c r="D1319" s="154">
        <v>1634.7</v>
      </c>
      <c r="E1319" s="155">
        <v>44755</v>
      </c>
      <c r="F1319" s="154">
        <v>1634.7</v>
      </c>
      <c r="G1319" s="156">
        <f>Tabla18[[#This Row],[Importe]]-Tabla18[[#This Row],[Pagado]]</f>
        <v>0</v>
      </c>
      <c r="H1319" s="153" t="s">
        <v>10</v>
      </c>
    </row>
    <row r="1320" spans="1:8" x14ac:dyDescent="0.25">
      <c r="A1320" s="73">
        <v>44755</v>
      </c>
      <c r="B1320" s="74" t="s">
        <v>22632</v>
      </c>
      <c r="C1320" s="75" t="s">
        <v>75</v>
      </c>
      <c r="D1320" s="81">
        <v>3873.1</v>
      </c>
      <c r="E1320" s="151">
        <v>44755</v>
      </c>
      <c r="F1320" s="81">
        <v>3873.1</v>
      </c>
      <c r="G1320" s="156">
        <f>Tabla18[[#This Row],[Importe]]-Tabla18[[#This Row],[Pagado]]</f>
        <v>0</v>
      </c>
      <c r="H1320" s="75" t="s">
        <v>10</v>
      </c>
    </row>
    <row r="1321" spans="1:8" x14ac:dyDescent="0.25">
      <c r="A1321" s="148">
        <v>44755</v>
      </c>
      <c r="B1321" s="149" t="s">
        <v>22633</v>
      </c>
      <c r="C1321" s="153" t="s">
        <v>83</v>
      </c>
      <c r="D1321" s="154">
        <v>6342.5</v>
      </c>
      <c r="E1321" s="155">
        <v>44755</v>
      </c>
      <c r="F1321" s="154">
        <v>6342.5</v>
      </c>
      <c r="G1321" s="156">
        <f>Tabla18[[#This Row],[Importe]]-Tabla18[[#This Row],[Pagado]]</f>
        <v>0</v>
      </c>
      <c r="H1321" s="153" t="s">
        <v>10</v>
      </c>
    </row>
    <row r="1322" spans="1:8" x14ac:dyDescent="0.25">
      <c r="A1322" s="73">
        <v>44755</v>
      </c>
      <c r="B1322" s="74" t="s">
        <v>22634</v>
      </c>
      <c r="C1322" s="75" t="s">
        <v>9993</v>
      </c>
      <c r="D1322" s="81">
        <v>6254</v>
      </c>
      <c r="E1322" s="151">
        <v>44755</v>
      </c>
      <c r="F1322" s="81">
        <v>6254</v>
      </c>
      <c r="G1322" s="156">
        <f>Tabla18[[#This Row],[Importe]]-Tabla18[[#This Row],[Pagado]]</f>
        <v>0</v>
      </c>
      <c r="H1322" s="75" t="s">
        <v>10</v>
      </c>
    </row>
    <row r="1323" spans="1:8" x14ac:dyDescent="0.25">
      <c r="A1323" s="148">
        <v>44755</v>
      </c>
      <c r="B1323" s="149" t="s">
        <v>22635</v>
      </c>
      <c r="C1323" s="153" t="s">
        <v>87</v>
      </c>
      <c r="D1323" s="154">
        <v>3169.7</v>
      </c>
      <c r="E1323" s="155">
        <v>44755</v>
      </c>
      <c r="F1323" s="154">
        <v>3169.7</v>
      </c>
      <c r="G1323" s="156">
        <f>Tabla18[[#This Row],[Importe]]-Tabla18[[#This Row],[Pagado]]</f>
        <v>0</v>
      </c>
      <c r="H1323" s="153" t="s">
        <v>10</v>
      </c>
    </row>
    <row r="1324" spans="1:8" x14ac:dyDescent="0.25">
      <c r="A1324" s="73">
        <v>44755</v>
      </c>
      <c r="B1324" s="74" t="s">
        <v>22636</v>
      </c>
      <c r="C1324" s="75" t="s">
        <v>481</v>
      </c>
      <c r="D1324" s="81">
        <v>193.6</v>
      </c>
      <c r="E1324" s="151">
        <v>44755</v>
      </c>
      <c r="F1324" s="81">
        <v>193.6</v>
      </c>
      <c r="G1324" s="156">
        <f>Tabla18[[#This Row],[Importe]]-Tabla18[[#This Row],[Pagado]]</f>
        <v>0</v>
      </c>
      <c r="H1324" s="75" t="s">
        <v>10</v>
      </c>
    </row>
    <row r="1325" spans="1:8" x14ac:dyDescent="0.25">
      <c r="A1325" s="148">
        <v>44755</v>
      </c>
      <c r="B1325" s="149" t="s">
        <v>22637</v>
      </c>
      <c r="C1325" s="153" t="s">
        <v>22638</v>
      </c>
      <c r="D1325" s="154">
        <v>0</v>
      </c>
      <c r="E1325" s="158" t="s">
        <v>189</v>
      </c>
      <c r="F1325" s="154">
        <v>0</v>
      </c>
      <c r="G1325" s="156">
        <f>Tabla18[[#This Row],[Importe]]-Tabla18[[#This Row],[Pagado]]</f>
        <v>0</v>
      </c>
      <c r="H1325" s="159" t="s">
        <v>22639</v>
      </c>
    </row>
    <row r="1326" spans="1:8" x14ac:dyDescent="0.25">
      <c r="A1326" s="73">
        <v>44755</v>
      </c>
      <c r="B1326" s="74" t="s">
        <v>22640</v>
      </c>
      <c r="C1326" s="75" t="s">
        <v>2563</v>
      </c>
      <c r="D1326" s="81">
        <v>4819.2</v>
      </c>
      <c r="E1326" s="151">
        <v>44756</v>
      </c>
      <c r="F1326" s="81">
        <v>4819.2</v>
      </c>
      <c r="G1326" s="156">
        <f>Tabla18[[#This Row],[Importe]]-Tabla18[[#This Row],[Pagado]]</f>
        <v>0</v>
      </c>
      <c r="H1326" s="75" t="s">
        <v>10</v>
      </c>
    </row>
    <row r="1327" spans="1:8" x14ac:dyDescent="0.25">
      <c r="A1327" s="148">
        <v>44755</v>
      </c>
      <c r="B1327" s="149" t="s">
        <v>22641</v>
      </c>
      <c r="C1327" s="153" t="s">
        <v>97</v>
      </c>
      <c r="D1327" s="154">
        <v>5420.8</v>
      </c>
      <c r="E1327" s="155">
        <v>44756</v>
      </c>
      <c r="F1327" s="154">
        <v>5420.8</v>
      </c>
      <c r="G1327" s="156">
        <f>Tabla18[[#This Row],[Importe]]-Tabla18[[#This Row],[Pagado]]</f>
        <v>0</v>
      </c>
      <c r="H1327" s="153" t="s">
        <v>10</v>
      </c>
    </row>
    <row r="1328" spans="1:8" x14ac:dyDescent="0.25">
      <c r="A1328" s="73">
        <v>44755</v>
      </c>
      <c r="B1328" s="74" t="s">
        <v>22642</v>
      </c>
      <c r="C1328" s="75" t="s">
        <v>64</v>
      </c>
      <c r="D1328" s="81">
        <v>4563.2</v>
      </c>
      <c r="E1328" s="151">
        <v>44757</v>
      </c>
      <c r="F1328" s="81">
        <v>4563.2</v>
      </c>
      <c r="G1328" s="156">
        <f>Tabla18[[#This Row],[Importe]]-Tabla18[[#This Row],[Pagado]]</f>
        <v>0</v>
      </c>
      <c r="H1328" s="75" t="s">
        <v>10</v>
      </c>
    </row>
    <row r="1329" spans="1:8" x14ac:dyDescent="0.25">
      <c r="A1329" s="148">
        <v>44755</v>
      </c>
      <c r="B1329" s="149" t="s">
        <v>22643</v>
      </c>
      <c r="C1329" s="153" t="s">
        <v>5043</v>
      </c>
      <c r="D1329" s="154">
        <v>5363.2</v>
      </c>
      <c r="E1329" s="155">
        <v>44757</v>
      </c>
      <c r="F1329" s="154">
        <v>5363.2</v>
      </c>
      <c r="G1329" s="156">
        <f>Tabla18[[#This Row],[Importe]]-Tabla18[[#This Row],[Pagado]]</f>
        <v>0</v>
      </c>
      <c r="H1329" s="153" t="s">
        <v>10</v>
      </c>
    </row>
    <row r="1330" spans="1:8" x14ac:dyDescent="0.25">
      <c r="A1330" s="73">
        <v>44755</v>
      </c>
      <c r="B1330" s="74" t="s">
        <v>22644</v>
      </c>
      <c r="C1330" s="75" t="s">
        <v>99</v>
      </c>
      <c r="D1330" s="81">
        <v>5003.3999999999996</v>
      </c>
      <c r="E1330" s="151">
        <v>44757</v>
      </c>
      <c r="F1330" s="81">
        <v>5003.3999999999996</v>
      </c>
      <c r="G1330" s="156">
        <f>Tabla18[[#This Row],[Importe]]-Tabla18[[#This Row],[Pagado]]</f>
        <v>0</v>
      </c>
      <c r="H1330" s="75" t="s">
        <v>10</v>
      </c>
    </row>
    <row r="1331" spans="1:8" x14ac:dyDescent="0.25">
      <c r="A1331" s="148">
        <v>44755</v>
      </c>
      <c r="B1331" s="149" t="s">
        <v>22645</v>
      </c>
      <c r="C1331" s="153" t="s">
        <v>89</v>
      </c>
      <c r="D1331" s="154">
        <v>11422.4</v>
      </c>
      <c r="E1331" s="155">
        <v>44756</v>
      </c>
      <c r="F1331" s="154">
        <v>11422.4</v>
      </c>
      <c r="G1331" s="156">
        <f>Tabla18[[#This Row],[Importe]]-Tabla18[[#This Row],[Pagado]]</f>
        <v>0</v>
      </c>
      <c r="H1331" s="153" t="s">
        <v>10</v>
      </c>
    </row>
    <row r="1332" spans="1:8" x14ac:dyDescent="0.25">
      <c r="A1332" s="73">
        <v>44755</v>
      </c>
      <c r="B1332" s="74" t="s">
        <v>22646</v>
      </c>
      <c r="C1332" s="75" t="s">
        <v>2151</v>
      </c>
      <c r="D1332" s="81">
        <v>18688.400000000001</v>
      </c>
      <c r="E1332" s="151">
        <v>44755</v>
      </c>
      <c r="F1332" s="81">
        <v>18688.400000000001</v>
      </c>
      <c r="G1332" s="156">
        <f>Tabla18[[#This Row],[Importe]]-Tabla18[[#This Row],[Pagado]]</f>
        <v>0</v>
      </c>
      <c r="H1332" s="75" t="s">
        <v>10</v>
      </c>
    </row>
    <row r="1333" spans="1:8" x14ac:dyDescent="0.25">
      <c r="A1333" s="148">
        <v>44755</v>
      </c>
      <c r="B1333" s="149" t="s">
        <v>22647</v>
      </c>
      <c r="C1333" s="153" t="s">
        <v>93</v>
      </c>
      <c r="D1333" s="154">
        <v>9262.7000000000007</v>
      </c>
      <c r="E1333" s="155">
        <v>44758</v>
      </c>
      <c r="F1333" s="154">
        <v>9262.7000000000007</v>
      </c>
      <c r="G1333" s="156">
        <f>Tabla18[[#This Row],[Importe]]-Tabla18[[#This Row],[Pagado]]</f>
        <v>0</v>
      </c>
      <c r="H1333" s="153" t="s">
        <v>10</v>
      </c>
    </row>
    <row r="1334" spans="1:8" x14ac:dyDescent="0.25">
      <c r="A1334" s="73">
        <v>44755</v>
      </c>
      <c r="B1334" s="74" t="s">
        <v>22648</v>
      </c>
      <c r="C1334" s="75" t="s">
        <v>109</v>
      </c>
      <c r="D1334" s="81">
        <v>5572.6</v>
      </c>
      <c r="E1334" s="151">
        <v>44756</v>
      </c>
      <c r="F1334" s="81">
        <v>5572.6</v>
      </c>
      <c r="G1334" s="156">
        <f>Tabla18[[#This Row],[Importe]]-Tabla18[[#This Row],[Pagado]]</f>
        <v>0</v>
      </c>
      <c r="H1334" s="75" t="s">
        <v>10</v>
      </c>
    </row>
    <row r="1335" spans="1:8" x14ac:dyDescent="0.25">
      <c r="A1335" s="148">
        <v>44755</v>
      </c>
      <c r="B1335" s="149" t="s">
        <v>22649</v>
      </c>
      <c r="C1335" s="153" t="s">
        <v>20</v>
      </c>
      <c r="D1335" s="154">
        <v>2720.1</v>
      </c>
      <c r="E1335" s="155">
        <v>44755</v>
      </c>
      <c r="F1335" s="154">
        <v>2720.1</v>
      </c>
      <c r="G1335" s="156">
        <f>Tabla18[[#This Row],[Importe]]-Tabla18[[#This Row],[Pagado]]</f>
        <v>0</v>
      </c>
      <c r="H1335" s="153" t="s">
        <v>10</v>
      </c>
    </row>
    <row r="1336" spans="1:8" x14ac:dyDescent="0.25">
      <c r="A1336" s="73">
        <v>44755</v>
      </c>
      <c r="B1336" s="74" t="s">
        <v>22650</v>
      </c>
      <c r="C1336" s="75" t="s">
        <v>105</v>
      </c>
      <c r="D1336" s="81">
        <v>7784.2</v>
      </c>
      <c r="E1336" s="151">
        <v>44756</v>
      </c>
      <c r="F1336" s="81">
        <v>7784.2</v>
      </c>
      <c r="G1336" s="156">
        <f>Tabla18[[#This Row],[Importe]]-Tabla18[[#This Row],[Pagado]]</f>
        <v>0</v>
      </c>
      <c r="H1336" s="75" t="s">
        <v>10</v>
      </c>
    </row>
    <row r="1337" spans="1:8" x14ac:dyDescent="0.25">
      <c r="A1337" s="148">
        <v>44755</v>
      </c>
      <c r="B1337" s="149" t="s">
        <v>22651</v>
      </c>
      <c r="C1337" s="153" t="s">
        <v>114</v>
      </c>
      <c r="D1337" s="154">
        <v>11326.6</v>
      </c>
      <c r="E1337" s="155">
        <v>44757</v>
      </c>
      <c r="F1337" s="154">
        <v>11326.6</v>
      </c>
      <c r="G1337" s="156">
        <f>Tabla18[[#This Row],[Importe]]-Tabla18[[#This Row],[Pagado]]</f>
        <v>0</v>
      </c>
      <c r="H1337" s="153" t="s">
        <v>10</v>
      </c>
    </row>
    <row r="1338" spans="1:8" x14ac:dyDescent="0.25">
      <c r="A1338" s="73">
        <v>44755</v>
      </c>
      <c r="B1338" s="74" t="s">
        <v>22652</v>
      </c>
      <c r="C1338" s="75" t="s">
        <v>326</v>
      </c>
      <c r="D1338" s="81">
        <v>6965.9</v>
      </c>
      <c r="E1338" s="151">
        <v>44757</v>
      </c>
      <c r="F1338" s="81">
        <v>6965.9</v>
      </c>
      <c r="G1338" s="156">
        <f>Tabla18[[#This Row],[Importe]]-Tabla18[[#This Row],[Pagado]]</f>
        <v>0</v>
      </c>
      <c r="H1338" s="75" t="s">
        <v>10</v>
      </c>
    </row>
    <row r="1339" spans="1:8" x14ac:dyDescent="0.25">
      <c r="A1339" s="148">
        <v>44755</v>
      </c>
      <c r="B1339" s="149" t="s">
        <v>22653</v>
      </c>
      <c r="C1339" s="153" t="s">
        <v>348</v>
      </c>
      <c r="D1339" s="154">
        <v>4914.7</v>
      </c>
      <c r="E1339" s="155">
        <v>44755</v>
      </c>
      <c r="F1339" s="154">
        <v>4914.7</v>
      </c>
      <c r="G1339" s="156">
        <f>Tabla18[[#This Row],[Importe]]-Tabla18[[#This Row],[Pagado]]</f>
        <v>0</v>
      </c>
      <c r="H1339" s="153" t="s">
        <v>10</v>
      </c>
    </row>
    <row r="1340" spans="1:8" x14ac:dyDescent="0.25">
      <c r="A1340" s="73">
        <v>44755</v>
      </c>
      <c r="B1340" s="74" t="s">
        <v>22654</v>
      </c>
      <c r="C1340" s="75" t="s">
        <v>450</v>
      </c>
      <c r="D1340" s="81">
        <v>4237.5</v>
      </c>
      <c r="E1340" s="151">
        <v>44755</v>
      </c>
      <c r="F1340" s="81">
        <v>4237.5</v>
      </c>
      <c r="G1340" s="156">
        <f>Tabla18[[#This Row],[Importe]]-Tabla18[[#This Row],[Pagado]]</f>
        <v>0</v>
      </c>
      <c r="H1340" s="75" t="s">
        <v>10</v>
      </c>
    </row>
    <row r="1341" spans="1:8" x14ac:dyDescent="0.25">
      <c r="A1341" s="148">
        <v>44755</v>
      </c>
      <c r="B1341" s="149" t="s">
        <v>22655</v>
      </c>
      <c r="C1341" s="153" t="s">
        <v>9</v>
      </c>
      <c r="D1341" s="154">
        <v>6868.2</v>
      </c>
      <c r="E1341" s="155">
        <v>44755</v>
      </c>
      <c r="F1341" s="154">
        <v>6868.2</v>
      </c>
      <c r="G1341" s="156">
        <f>Tabla18[[#This Row],[Importe]]-Tabla18[[#This Row],[Pagado]]</f>
        <v>0</v>
      </c>
      <c r="H1341" s="153" t="s">
        <v>10</v>
      </c>
    </row>
    <row r="1342" spans="1:8" x14ac:dyDescent="0.25">
      <c r="A1342" s="73">
        <v>44755</v>
      </c>
      <c r="B1342" s="74" t="s">
        <v>22656</v>
      </c>
      <c r="C1342" s="75" t="s">
        <v>1187</v>
      </c>
      <c r="D1342" s="81">
        <v>2418</v>
      </c>
      <c r="E1342" s="151">
        <v>44755</v>
      </c>
      <c r="F1342" s="81">
        <v>2418</v>
      </c>
      <c r="G1342" s="156">
        <f>Tabla18[[#This Row],[Importe]]-Tabla18[[#This Row],[Pagado]]</f>
        <v>0</v>
      </c>
      <c r="H1342" s="75" t="s">
        <v>10</v>
      </c>
    </row>
    <row r="1343" spans="1:8" x14ac:dyDescent="0.25">
      <c r="A1343" s="148">
        <v>44755</v>
      </c>
      <c r="B1343" s="149" t="s">
        <v>22657</v>
      </c>
      <c r="C1343" s="153" t="s">
        <v>56</v>
      </c>
      <c r="D1343" s="154">
        <v>9471.7999999999993</v>
      </c>
      <c r="E1343" s="155">
        <v>44755</v>
      </c>
      <c r="F1343" s="154">
        <v>9471.7999999999993</v>
      </c>
      <c r="G1343" s="156">
        <f>Tabla18[[#This Row],[Importe]]-Tabla18[[#This Row],[Pagado]]</f>
        <v>0</v>
      </c>
      <c r="H1343" s="153" t="s">
        <v>10</v>
      </c>
    </row>
    <row r="1344" spans="1:8" x14ac:dyDescent="0.25">
      <c r="A1344" s="73">
        <v>44755</v>
      </c>
      <c r="B1344" s="74" t="s">
        <v>22658</v>
      </c>
      <c r="C1344" s="75" t="s">
        <v>924</v>
      </c>
      <c r="D1344" s="81">
        <v>13620</v>
      </c>
      <c r="E1344" s="151">
        <v>44755</v>
      </c>
      <c r="F1344" s="81">
        <v>13620</v>
      </c>
      <c r="G1344" s="156">
        <f>Tabla18[[#This Row],[Importe]]-Tabla18[[#This Row],[Pagado]]</f>
        <v>0</v>
      </c>
      <c r="H1344" s="75" t="s">
        <v>10</v>
      </c>
    </row>
    <row r="1345" spans="1:8" x14ac:dyDescent="0.25">
      <c r="A1345" s="148">
        <v>44755</v>
      </c>
      <c r="B1345" s="149" t="s">
        <v>22659</v>
      </c>
      <c r="C1345" s="153" t="s">
        <v>16</v>
      </c>
      <c r="D1345" s="154">
        <v>5754</v>
      </c>
      <c r="E1345" s="155">
        <v>44755</v>
      </c>
      <c r="F1345" s="154">
        <v>5754</v>
      </c>
      <c r="G1345" s="156">
        <f>Tabla18[[#This Row],[Importe]]-Tabla18[[#This Row],[Pagado]]</f>
        <v>0</v>
      </c>
      <c r="H1345" s="153" t="s">
        <v>10</v>
      </c>
    </row>
    <row r="1346" spans="1:8" x14ac:dyDescent="0.25">
      <c r="A1346" s="73">
        <v>44755</v>
      </c>
      <c r="B1346" s="74" t="s">
        <v>22660</v>
      </c>
      <c r="C1346" s="75" t="s">
        <v>22</v>
      </c>
      <c r="D1346" s="81">
        <v>55993.1</v>
      </c>
      <c r="E1346" s="151">
        <v>44756</v>
      </c>
      <c r="F1346" s="81">
        <f>36000+19993.1</f>
        <v>55993.1</v>
      </c>
      <c r="G1346" s="156">
        <f>Tabla18[[#This Row],[Importe]]-Tabla18[[#This Row],[Pagado]]</f>
        <v>0</v>
      </c>
      <c r="H1346" s="75" t="s">
        <v>10</v>
      </c>
    </row>
    <row r="1347" spans="1:8" x14ac:dyDescent="0.25">
      <c r="A1347" s="148">
        <v>44755</v>
      </c>
      <c r="B1347" s="149" t="s">
        <v>22661</v>
      </c>
      <c r="C1347" s="153" t="s">
        <v>22</v>
      </c>
      <c r="D1347" s="154">
        <v>1014</v>
      </c>
      <c r="E1347" s="155">
        <v>44757</v>
      </c>
      <c r="F1347" s="154">
        <v>1014</v>
      </c>
      <c r="G1347" s="156">
        <f>Tabla18[[#This Row],[Importe]]-Tabla18[[#This Row],[Pagado]]</f>
        <v>0</v>
      </c>
      <c r="H1347" s="153" t="s">
        <v>10</v>
      </c>
    </row>
    <row r="1348" spans="1:8" x14ac:dyDescent="0.25">
      <c r="A1348" s="73">
        <v>44755</v>
      </c>
      <c r="B1348" s="74" t="s">
        <v>22662</v>
      </c>
      <c r="C1348" s="75" t="s">
        <v>11033</v>
      </c>
      <c r="D1348" s="81">
        <v>1824.9</v>
      </c>
      <c r="E1348" s="151">
        <v>44755</v>
      </c>
      <c r="F1348" s="81">
        <v>1824.9</v>
      </c>
      <c r="G1348" s="156">
        <f>Tabla18[[#This Row],[Importe]]-Tabla18[[#This Row],[Pagado]]</f>
        <v>0</v>
      </c>
      <c r="H1348" s="75" t="s">
        <v>10</v>
      </c>
    </row>
    <row r="1349" spans="1:8" x14ac:dyDescent="0.25">
      <c r="A1349" s="148">
        <v>44755</v>
      </c>
      <c r="B1349" s="149" t="s">
        <v>22663</v>
      </c>
      <c r="C1349" s="153" t="s">
        <v>31</v>
      </c>
      <c r="D1349" s="154">
        <v>39557.699999999997</v>
      </c>
      <c r="E1349" s="155">
        <v>44755</v>
      </c>
      <c r="F1349" s="154">
        <v>39557.699999999997</v>
      </c>
      <c r="G1349" s="156">
        <f>Tabla18[[#This Row],[Importe]]-Tabla18[[#This Row],[Pagado]]</f>
        <v>0</v>
      </c>
      <c r="H1349" s="153" t="s">
        <v>10</v>
      </c>
    </row>
    <row r="1350" spans="1:8" x14ac:dyDescent="0.25">
      <c r="A1350" s="73">
        <v>44755</v>
      </c>
      <c r="B1350" s="74" t="s">
        <v>22664</v>
      </c>
      <c r="C1350" s="75" t="s">
        <v>27</v>
      </c>
      <c r="D1350" s="81">
        <v>726.8</v>
      </c>
      <c r="E1350" s="151">
        <v>44755</v>
      </c>
      <c r="F1350" s="81">
        <v>726.8</v>
      </c>
      <c r="G1350" s="156">
        <f>Tabla18[[#This Row],[Importe]]-Tabla18[[#This Row],[Pagado]]</f>
        <v>0</v>
      </c>
      <c r="H1350" s="75" t="s">
        <v>10</v>
      </c>
    </row>
    <row r="1351" spans="1:8" x14ac:dyDescent="0.25">
      <c r="A1351" s="148">
        <v>44755</v>
      </c>
      <c r="B1351" s="149" t="s">
        <v>22665</v>
      </c>
      <c r="C1351" s="153" t="s">
        <v>196</v>
      </c>
      <c r="D1351" s="154">
        <v>87559.6</v>
      </c>
      <c r="E1351" s="155">
        <v>44757</v>
      </c>
      <c r="F1351" s="154">
        <v>87559.6</v>
      </c>
      <c r="G1351" s="156">
        <f>Tabla18[[#This Row],[Importe]]-Tabla18[[#This Row],[Pagado]]</f>
        <v>0</v>
      </c>
      <c r="H1351" s="153" t="s">
        <v>10</v>
      </c>
    </row>
    <row r="1352" spans="1:8" x14ac:dyDescent="0.25">
      <c r="A1352" s="73">
        <v>44755</v>
      </c>
      <c r="B1352" s="74" t="s">
        <v>22666</v>
      </c>
      <c r="C1352" s="75" t="s">
        <v>161</v>
      </c>
      <c r="D1352" s="81">
        <v>3981.2</v>
      </c>
      <c r="E1352" s="151">
        <v>44755</v>
      </c>
      <c r="F1352" s="81">
        <v>3981.2</v>
      </c>
      <c r="G1352" s="156">
        <f>Tabla18[[#This Row],[Importe]]-Tabla18[[#This Row],[Pagado]]</f>
        <v>0</v>
      </c>
      <c r="H1352" s="75" t="s">
        <v>10</v>
      </c>
    </row>
    <row r="1353" spans="1:8" x14ac:dyDescent="0.25">
      <c r="A1353" s="148">
        <v>44755</v>
      </c>
      <c r="B1353" s="149" t="s">
        <v>22667</v>
      </c>
      <c r="C1353" s="153" t="s">
        <v>107</v>
      </c>
      <c r="D1353" s="154">
        <v>15324.8</v>
      </c>
      <c r="E1353" s="155">
        <v>44756</v>
      </c>
      <c r="F1353" s="154">
        <v>15324.8</v>
      </c>
      <c r="G1353" s="156">
        <f>Tabla18[[#This Row],[Importe]]-Tabla18[[#This Row],[Pagado]]</f>
        <v>0</v>
      </c>
      <c r="H1353" s="153" t="s">
        <v>10</v>
      </c>
    </row>
    <row r="1354" spans="1:8" x14ac:dyDescent="0.25">
      <c r="A1354" s="73">
        <v>44755</v>
      </c>
      <c r="B1354" s="74" t="s">
        <v>22668</v>
      </c>
      <c r="C1354" s="75" t="s">
        <v>45</v>
      </c>
      <c r="D1354" s="81">
        <v>10438.6</v>
      </c>
      <c r="E1354" s="151">
        <v>44755</v>
      </c>
      <c r="F1354" s="81">
        <v>10438.6</v>
      </c>
      <c r="G1354" s="156">
        <f>Tabla18[[#This Row],[Importe]]-Tabla18[[#This Row],[Pagado]]</f>
        <v>0</v>
      </c>
      <c r="H1354" s="75" t="s">
        <v>10</v>
      </c>
    </row>
    <row r="1355" spans="1:8" x14ac:dyDescent="0.25">
      <c r="A1355" s="148">
        <v>44755</v>
      </c>
      <c r="B1355" s="149" t="s">
        <v>22669</v>
      </c>
      <c r="C1355" s="153" t="s">
        <v>19979</v>
      </c>
      <c r="D1355" s="154">
        <v>0</v>
      </c>
      <c r="E1355" s="158" t="s">
        <v>189</v>
      </c>
      <c r="F1355" s="154">
        <v>0</v>
      </c>
      <c r="G1355" s="156">
        <f>Tabla18[[#This Row],[Importe]]-Tabla18[[#This Row],[Pagado]]</f>
        <v>0</v>
      </c>
      <c r="H1355" s="159" t="s">
        <v>22670</v>
      </c>
    </row>
    <row r="1356" spans="1:8" x14ac:dyDescent="0.25">
      <c r="A1356" s="73">
        <v>44755</v>
      </c>
      <c r="B1356" s="74" t="s">
        <v>22671</v>
      </c>
      <c r="C1356" s="75" t="s">
        <v>127</v>
      </c>
      <c r="D1356" s="81">
        <v>1960</v>
      </c>
      <c r="E1356" s="151">
        <v>44755</v>
      </c>
      <c r="F1356" s="81">
        <v>1960</v>
      </c>
      <c r="G1356" s="156">
        <f>Tabla18[[#This Row],[Importe]]-Tabla18[[#This Row],[Pagado]]</f>
        <v>0</v>
      </c>
      <c r="H1356" s="75" t="s">
        <v>10</v>
      </c>
    </row>
    <row r="1357" spans="1:8" x14ac:dyDescent="0.25">
      <c r="A1357" s="148">
        <v>44755</v>
      </c>
      <c r="B1357" s="149" t="s">
        <v>22672</v>
      </c>
      <c r="C1357" s="153" t="s">
        <v>339</v>
      </c>
      <c r="D1357" s="154">
        <v>728</v>
      </c>
      <c r="E1357" s="155">
        <v>44755</v>
      </c>
      <c r="F1357" s="154">
        <v>728</v>
      </c>
      <c r="G1357" s="156">
        <f>Tabla18[[#This Row],[Importe]]-Tabla18[[#This Row],[Pagado]]</f>
        <v>0</v>
      </c>
      <c r="H1357" s="153" t="s">
        <v>10</v>
      </c>
    </row>
    <row r="1358" spans="1:8" x14ac:dyDescent="0.25">
      <c r="A1358" s="73">
        <v>44755</v>
      </c>
      <c r="B1358" s="74" t="s">
        <v>22673</v>
      </c>
      <c r="C1358" s="75" t="s">
        <v>140</v>
      </c>
      <c r="D1358" s="81">
        <v>4462.5</v>
      </c>
      <c r="E1358" s="151">
        <v>44755</v>
      </c>
      <c r="F1358" s="81">
        <v>4462.5</v>
      </c>
      <c r="G1358" s="156">
        <f>Tabla18[[#This Row],[Importe]]-Tabla18[[#This Row],[Pagado]]</f>
        <v>0</v>
      </c>
      <c r="H1358" s="75" t="s">
        <v>10</v>
      </c>
    </row>
    <row r="1359" spans="1:8" x14ac:dyDescent="0.25">
      <c r="A1359" s="148">
        <v>44755</v>
      </c>
      <c r="B1359" s="149" t="s">
        <v>22674</v>
      </c>
      <c r="C1359" s="153" t="s">
        <v>129</v>
      </c>
      <c r="D1359" s="154">
        <v>4650</v>
      </c>
      <c r="E1359" s="155">
        <v>44755</v>
      </c>
      <c r="F1359" s="154">
        <v>4650</v>
      </c>
      <c r="G1359" s="156">
        <f>Tabla18[[#This Row],[Importe]]-Tabla18[[#This Row],[Pagado]]</f>
        <v>0</v>
      </c>
      <c r="H1359" s="153" t="s">
        <v>10</v>
      </c>
    </row>
    <row r="1360" spans="1:8" x14ac:dyDescent="0.25">
      <c r="A1360" s="73">
        <v>44755</v>
      </c>
      <c r="B1360" s="74" t="s">
        <v>22675</v>
      </c>
      <c r="C1360" s="75" t="s">
        <v>214</v>
      </c>
      <c r="D1360" s="81">
        <v>9976</v>
      </c>
      <c r="E1360" s="151">
        <v>44755</v>
      </c>
      <c r="F1360" s="81">
        <v>9976</v>
      </c>
      <c r="G1360" s="156">
        <f>Tabla18[[#This Row],[Importe]]-Tabla18[[#This Row],[Pagado]]</f>
        <v>0</v>
      </c>
      <c r="H1360" s="75" t="s">
        <v>10</v>
      </c>
    </row>
    <row r="1361" spans="1:8" x14ac:dyDescent="0.25">
      <c r="A1361" s="148">
        <v>44755</v>
      </c>
      <c r="B1361" s="149" t="s">
        <v>22676</v>
      </c>
      <c r="C1361" s="153" t="s">
        <v>31</v>
      </c>
      <c r="D1361" s="154">
        <v>7700</v>
      </c>
      <c r="E1361" s="155">
        <v>44755</v>
      </c>
      <c r="F1361" s="154">
        <v>7700</v>
      </c>
      <c r="G1361" s="156">
        <f>Tabla18[[#This Row],[Importe]]-Tabla18[[#This Row],[Pagado]]</f>
        <v>0</v>
      </c>
      <c r="H1361" s="153" t="s">
        <v>10</v>
      </c>
    </row>
    <row r="1362" spans="1:8" x14ac:dyDescent="0.25">
      <c r="A1362" s="73">
        <v>44755</v>
      </c>
      <c r="B1362" s="74" t="s">
        <v>22677</v>
      </c>
      <c r="C1362" s="75" t="s">
        <v>414</v>
      </c>
      <c r="D1362" s="81">
        <v>36.94</v>
      </c>
      <c r="E1362" s="151">
        <v>44756</v>
      </c>
      <c r="F1362" s="81">
        <v>36.94</v>
      </c>
      <c r="G1362" s="156">
        <f>Tabla18[[#This Row],[Importe]]-Tabla18[[#This Row],[Pagado]]</f>
        <v>0</v>
      </c>
      <c r="H1362" s="75" t="s">
        <v>10</v>
      </c>
    </row>
    <row r="1363" spans="1:8" x14ac:dyDescent="0.25">
      <c r="A1363" s="148">
        <v>44755</v>
      </c>
      <c r="B1363" s="149" t="s">
        <v>22678</v>
      </c>
      <c r="C1363" s="153" t="s">
        <v>348</v>
      </c>
      <c r="D1363" s="154">
        <v>2151.6999999999998</v>
      </c>
      <c r="E1363" s="155">
        <v>44755</v>
      </c>
      <c r="F1363" s="154">
        <v>2151.6999999999998</v>
      </c>
      <c r="G1363" s="156">
        <f>Tabla18[[#This Row],[Importe]]-Tabla18[[#This Row],[Pagado]]</f>
        <v>0</v>
      </c>
      <c r="H1363" s="153" t="s">
        <v>10</v>
      </c>
    </row>
    <row r="1364" spans="1:8" x14ac:dyDescent="0.25">
      <c r="A1364" s="73">
        <v>44755</v>
      </c>
      <c r="B1364" s="74" t="s">
        <v>22679</v>
      </c>
      <c r="C1364" s="75" t="s">
        <v>1362</v>
      </c>
      <c r="D1364" s="81">
        <v>3007.2</v>
      </c>
      <c r="E1364" s="151">
        <v>44755</v>
      </c>
      <c r="F1364" s="81">
        <v>3007.2</v>
      </c>
      <c r="G1364" s="156">
        <f>Tabla18[[#This Row],[Importe]]-Tabla18[[#This Row],[Pagado]]</f>
        <v>0</v>
      </c>
      <c r="H1364" s="75" t="s">
        <v>10</v>
      </c>
    </row>
    <row r="1365" spans="1:8" x14ac:dyDescent="0.25">
      <c r="A1365" s="148">
        <v>44755</v>
      </c>
      <c r="B1365" s="149" t="s">
        <v>22680</v>
      </c>
      <c r="C1365" s="153" t="s">
        <v>24</v>
      </c>
      <c r="D1365" s="154">
        <v>3629.2</v>
      </c>
      <c r="E1365" s="155">
        <v>44755</v>
      </c>
      <c r="F1365" s="154">
        <v>3629.2</v>
      </c>
      <c r="G1365" s="156">
        <f>Tabla18[[#This Row],[Importe]]-Tabla18[[#This Row],[Pagado]]</f>
        <v>0</v>
      </c>
      <c r="H1365" s="153" t="s">
        <v>10</v>
      </c>
    </row>
    <row r="1366" spans="1:8" x14ac:dyDescent="0.25">
      <c r="A1366" s="73">
        <v>44755</v>
      </c>
      <c r="B1366" s="74" t="s">
        <v>22681</v>
      </c>
      <c r="C1366" s="75" t="s">
        <v>49</v>
      </c>
      <c r="D1366" s="81">
        <v>954</v>
      </c>
      <c r="E1366" s="151">
        <v>44755</v>
      </c>
      <c r="F1366" s="81">
        <v>954</v>
      </c>
      <c r="G1366" s="156">
        <f>Tabla18[[#This Row],[Importe]]-Tabla18[[#This Row],[Pagado]]</f>
        <v>0</v>
      </c>
      <c r="H1366" s="75" t="s">
        <v>10</v>
      </c>
    </row>
    <row r="1367" spans="1:8" x14ac:dyDescent="0.25">
      <c r="A1367" s="148">
        <v>44755</v>
      </c>
      <c r="B1367" s="149" t="s">
        <v>22682</v>
      </c>
      <c r="C1367" s="153" t="s">
        <v>33</v>
      </c>
      <c r="D1367" s="154">
        <v>2323.1</v>
      </c>
      <c r="E1367" s="155">
        <v>44755</v>
      </c>
      <c r="F1367" s="154">
        <v>2323.1</v>
      </c>
      <c r="G1367" s="156">
        <f>Tabla18[[#This Row],[Importe]]-Tabla18[[#This Row],[Pagado]]</f>
        <v>0</v>
      </c>
      <c r="H1367" s="153" t="s">
        <v>10</v>
      </c>
    </row>
    <row r="1368" spans="1:8" x14ac:dyDescent="0.25">
      <c r="A1368" s="73">
        <v>44755</v>
      </c>
      <c r="B1368" s="74" t="s">
        <v>22683</v>
      </c>
      <c r="C1368" s="75" t="s">
        <v>216</v>
      </c>
      <c r="D1368" s="81">
        <v>2256.1</v>
      </c>
      <c r="E1368" s="151">
        <v>44755</v>
      </c>
      <c r="F1368" s="81">
        <v>2256.1</v>
      </c>
      <c r="G1368" s="156">
        <f>Tabla18[[#This Row],[Importe]]-Tabla18[[#This Row],[Pagado]]</f>
        <v>0</v>
      </c>
      <c r="H1368" s="75" t="s">
        <v>10</v>
      </c>
    </row>
    <row r="1369" spans="1:8" x14ac:dyDescent="0.25">
      <c r="A1369" s="148">
        <v>44755</v>
      </c>
      <c r="B1369" s="149" t="s">
        <v>22684</v>
      </c>
      <c r="C1369" s="153" t="s">
        <v>1378</v>
      </c>
      <c r="D1369" s="154">
        <v>85515.6</v>
      </c>
      <c r="E1369" s="155">
        <v>44756</v>
      </c>
      <c r="F1369" s="154">
        <v>85515.6</v>
      </c>
      <c r="G1369" s="156">
        <f>Tabla18[[#This Row],[Importe]]-Tabla18[[#This Row],[Pagado]]</f>
        <v>0</v>
      </c>
      <c r="H1369" s="153" t="s">
        <v>10</v>
      </c>
    </row>
    <row r="1370" spans="1:8" x14ac:dyDescent="0.25">
      <c r="A1370" s="73">
        <v>44755</v>
      </c>
      <c r="B1370" s="74" t="s">
        <v>22685</v>
      </c>
      <c r="C1370" s="75" t="s">
        <v>133</v>
      </c>
      <c r="D1370" s="81">
        <v>13453.7</v>
      </c>
      <c r="E1370" s="151">
        <v>44756</v>
      </c>
      <c r="F1370" s="81">
        <v>13453.7</v>
      </c>
      <c r="G1370" s="156">
        <f>Tabla18[[#This Row],[Importe]]-Tabla18[[#This Row],[Pagado]]</f>
        <v>0</v>
      </c>
      <c r="H1370" s="75" t="s">
        <v>10</v>
      </c>
    </row>
    <row r="1371" spans="1:8" x14ac:dyDescent="0.25">
      <c r="A1371" s="148">
        <v>44755</v>
      </c>
      <c r="B1371" s="149" t="s">
        <v>22686</v>
      </c>
      <c r="C1371" s="153" t="s">
        <v>31</v>
      </c>
      <c r="D1371" s="154">
        <v>1480</v>
      </c>
      <c r="E1371" s="155">
        <v>44755</v>
      </c>
      <c r="F1371" s="154">
        <v>1480</v>
      </c>
      <c r="G1371" s="156">
        <f>Tabla18[[#This Row],[Importe]]-Tabla18[[#This Row],[Pagado]]</f>
        <v>0</v>
      </c>
      <c r="H1371" s="153" t="s">
        <v>10</v>
      </c>
    </row>
    <row r="1372" spans="1:8" x14ac:dyDescent="0.25">
      <c r="A1372" s="73">
        <v>44755</v>
      </c>
      <c r="B1372" s="74" t="s">
        <v>22687</v>
      </c>
      <c r="C1372" s="75" t="s">
        <v>31</v>
      </c>
      <c r="D1372" s="81">
        <v>825.8</v>
      </c>
      <c r="E1372" s="151">
        <v>44755</v>
      </c>
      <c r="F1372" s="81">
        <v>825.8</v>
      </c>
      <c r="G1372" s="156">
        <f>Tabla18[[#This Row],[Importe]]-Tabla18[[#This Row],[Pagado]]</f>
        <v>0</v>
      </c>
      <c r="H1372" s="75" t="s">
        <v>10</v>
      </c>
    </row>
    <row r="1373" spans="1:8" x14ac:dyDescent="0.25">
      <c r="A1373" s="148">
        <v>44755</v>
      </c>
      <c r="B1373" s="149" t="s">
        <v>22688</v>
      </c>
      <c r="C1373" s="153" t="s">
        <v>179</v>
      </c>
      <c r="D1373" s="154">
        <v>1201.2</v>
      </c>
      <c r="E1373" s="155">
        <v>44755</v>
      </c>
      <c r="F1373" s="154">
        <v>1201.2</v>
      </c>
      <c r="G1373" s="156">
        <f>Tabla18[[#This Row],[Importe]]-Tabla18[[#This Row],[Pagado]]</f>
        <v>0</v>
      </c>
      <c r="H1373" s="153" t="s">
        <v>10</v>
      </c>
    </row>
    <row r="1374" spans="1:8" x14ac:dyDescent="0.25">
      <c r="A1374" s="73">
        <v>44755</v>
      </c>
      <c r="B1374" s="74" t="s">
        <v>22689</v>
      </c>
      <c r="C1374" s="75" t="s">
        <v>31</v>
      </c>
      <c r="D1374" s="81">
        <v>1432.2</v>
      </c>
      <c r="E1374" s="151">
        <v>44755</v>
      </c>
      <c r="F1374" s="81">
        <v>1432.2</v>
      </c>
      <c r="G1374" s="156">
        <f>Tabla18[[#This Row],[Importe]]-Tabla18[[#This Row],[Pagado]]</f>
        <v>0</v>
      </c>
      <c r="H1374" s="75" t="s">
        <v>10</v>
      </c>
    </row>
    <row r="1375" spans="1:8" x14ac:dyDescent="0.25">
      <c r="A1375" s="148">
        <v>44755</v>
      </c>
      <c r="B1375" s="149" t="s">
        <v>22690</v>
      </c>
      <c r="C1375" s="153" t="s">
        <v>212</v>
      </c>
      <c r="D1375" s="154">
        <v>37651.800000000003</v>
      </c>
      <c r="E1375" s="155">
        <v>44757</v>
      </c>
      <c r="F1375" s="154">
        <v>37651.800000000003</v>
      </c>
      <c r="G1375" s="156">
        <f>Tabla18[[#This Row],[Importe]]-Tabla18[[#This Row],[Pagado]]</f>
        <v>0</v>
      </c>
      <c r="H1375" s="153" t="s">
        <v>10</v>
      </c>
    </row>
    <row r="1376" spans="1:8" x14ac:dyDescent="0.25">
      <c r="A1376" s="73">
        <v>44755</v>
      </c>
      <c r="B1376" s="74" t="s">
        <v>22691</v>
      </c>
      <c r="C1376" s="75" t="s">
        <v>142</v>
      </c>
      <c r="D1376" s="81">
        <v>105453.7</v>
      </c>
      <c r="E1376" s="151">
        <v>44799</v>
      </c>
      <c r="F1376" s="81">
        <v>105453.7</v>
      </c>
      <c r="G1376" s="156">
        <f>Tabla18[[#This Row],[Importe]]-Tabla18[[#This Row],[Pagado]]</f>
        <v>0</v>
      </c>
      <c r="H1376" s="75" t="s">
        <v>10</v>
      </c>
    </row>
    <row r="1377" spans="1:8" x14ac:dyDescent="0.25">
      <c r="A1377" s="148">
        <v>44755</v>
      </c>
      <c r="B1377" s="149" t="s">
        <v>22692</v>
      </c>
      <c r="C1377" s="153" t="s">
        <v>206</v>
      </c>
      <c r="D1377" s="154">
        <v>12158.2</v>
      </c>
      <c r="E1377" s="155">
        <v>44758</v>
      </c>
      <c r="F1377" s="154">
        <v>12158.2</v>
      </c>
      <c r="G1377" s="156">
        <f>Tabla18[[#This Row],[Importe]]-Tabla18[[#This Row],[Pagado]]</f>
        <v>0</v>
      </c>
      <c r="H1377" s="153" t="s">
        <v>10</v>
      </c>
    </row>
    <row r="1378" spans="1:8" x14ac:dyDescent="0.25">
      <c r="A1378" s="73">
        <v>44755</v>
      </c>
      <c r="B1378" s="74" t="s">
        <v>22693</v>
      </c>
      <c r="C1378" s="75" t="s">
        <v>154</v>
      </c>
      <c r="D1378" s="81">
        <v>35558</v>
      </c>
      <c r="E1378" s="151">
        <v>44758</v>
      </c>
      <c r="F1378" s="81">
        <v>35558</v>
      </c>
      <c r="G1378" s="156">
        <f>Tabla18[[#This Row],[Importe]]-Tabla18[[#This Row],[Pagado]]</f>
        <v>0</v>
      </c>
      <c r="H1378" s="75" t="s">
        <v>10</v>
      </c>
    </row>
    <row r="1379" spans="1:8" x14ac:dyDescent="0.25">
      <c r="A1379" s="148">
        <v>44755</v>
      </c>
      <c r="B1379" s="149" t="s">
        <v>22694</v>
      </c>
      <c r="C1379" s="153" t="s">
        <v>218</v>
      </c>
      <c r="D1379" s="154">
        <v>14916.2</v>
      </c>
      <c r="E1379" s="155">
        <v>44758</v>
      </c>
      <c r="F1379" s="154">
        <v>14916.2</v>
      </c>
      <c r="G1379" s="156">
        <f>Tabla18[[#This Row],[Importe]]-Tabla18[[#This Row],[Pagado]]</f>
        <v>0</v>
      </c>
      <c r="H1379" s="153" t="s">
        <v>10</v>
      </c>
    </row>
    <row r="1380" spans="1:8" x14ac:dyDescent="0.25">
      <c r="A1380" s="73">
        <v>44755</v>
      </c>
      <c r="B1380" s="74" t="s">
        <v>22695</v>
      </c>
      <c r="C1380" s="75" t="s">
        <v>312</v>
      </c>
      <c r="D1380" s="81">
        <v>4575</v>
      </c>
      <c r="E1380" s="151">
        <v>44755</v>
      </c>
      <c r="F1380" s="81">
        <v>4575</v>
      </c>
      <c r="G1380" s="156">
        <f>Tabla18[[#This Row],[Importe]]-Tabla18[[#This Row],[Pagado]]</f>
        <v>0</v>
      </c>
      <c r="H1380" s="75" t="s">
        <v>10</v>
      </c>
    </row>
    <row r="1381" spans="1:8" ht="31.5" x14ac:dyDescent="0.25">
      <c r="A1381" s="148">
        <v>44755</v>
      </c>
      <c r="B1381" s="149" t="s">
        <v>22696</v>
      </c>
      <c r="C1381" s="153" t="s">
        <v>670</v>
      </c>
      <c r="D1381" s="154">
        <v>5135.6000000000004</v>
      </c>
      <c r="E1381" s="150" t="s">
        <v>22697</v>
      </c>
      <c r="F1381" s="154">
        <f>3000+2135.6</f>
        <v>5135.6000000000004</v>
      </c>
      <c r="G1381" s="156">
        <f>Tabla18[[#This Row],[Importe]]-Tabla18[[#This Row],[Pagado]]</f>
        <v>0</v>
      </c>
      <c r="H1381" s="153" t="s">
        <v>10</v>
      </c>
    </row>
    <row r="1382" spans="1:8" x14ac:dyDescent="0.25">
      <c r="A1382" s="73">
        <v>44755</v>
      </c>
      <c r="B1382" s="74" t="s">
        <v>22698</v>
      </c>
      <c r="C1382" s="75" t="s">
        <v>198</v>
      </c>
      <c r="D1382" s="81">
        <v>1488</v>
      </c>
      <c r="E1382" s="151">
        <v>44755</v>
      </c>
      <c r="F1382" s="81">
        <v>1488</v>
      </c>
      <c r="G1382" s="156">
        <f>Tabla18[[#This Row],[Importe]]-Tabla18[[#This Row],[Pagado]]</f>
        <v>0</v>
      </c>
      <c r="H1382" s="75" t="s">
        <v>10</v>
      </c>
    </row>
    <row r="1383" spans="1:8" x14ac:dyDescent="0.25">
      <c r="A1383" s="148">
        <v>44755</v>
      </c>
      <c r="B1383" s="149" t="s">
        <v>22699</v>
      </c>
      <c r="C1383" s="153" t="s">
        <v>208</v>
      </c>
      <c r="D1383" s="154">
        <v>10565.2</v>
      </c>
      <c r="E1383" s="155">
        <v>44761</v>
      </c>
      <c r="F1383" s="154">
        <v>10565.2</v>
      </c>
      <c r="G1383" s="156">
        <f>Tabla18[[#This Row],[Importe]]-Tabla18[[#This Row],[Pagado]]</f>
        <v>0</v>
      </c>
      <c r="H1383" s="153" t="s">
        <v>10</v>
      </c>
    </row>
    <row r="1384" spans="1:8" x14ac:dyDescent="0.25">
      <c r="A1384" s="73">
        <v>44755</v>
      </c>
      <c r="B1384" s="74" t="s">
        <v>22700</v>
      </c>
      <c r="C1384" s="75" t="s">
        <v>840</v>
      </c>
      <c r="D1384" s="81">
        <v>8979.7999999999993</v>
      </c>
      <c r="E1384" s="151">
        <v>44755</v>
      </c>
      <c r="F1384" s="81">
        <v>8979.7999999999993</v>
      </c>
      <c r="G1384" s="156">
        <f>Tabla18[[#This Row],[Importe]]-Tabla18[[#This Row],[Pagado]]</f>
        <v>0</v>
      </c>
      <c r="H1384" s="75" t="s">
        <v>10</v>
      </c>
    </row>
    <row r="1385" spans="1:8" x14ac:dyDescent="0.25">
      <c r="A1385" s="148">
        <v>44755</v>
      </c>
      <c r="B1385" s="149" t="s">
        <v>22701</v>
      </c>
      <c r="C1385" s="153" t="s">
        <v>359</v>
      </c>
      <c r="D1385" s="154">
        <v>1243.5</v>
      </c>
      <c r="E1385" s="155">
        <v>44755</v>
      </c>
      <c r="F1385" s="154">
        <v>1243.5</v>
      </c>
      <c r="G1385" s="156">
        <f>Tabla18[[#This Row],[Importe]]-Tabla18[[#This Row],[Pagado]]</f>
        <v>0</v>
      </c>
      <c r="H1385" s="153" t="s">
        <v>10</v>
      </c>
    </row>
    <row r="1386" spans="1:8" x14ac:dyDescent="0.25">
      <c r="A1386" s="73">
        <v>44755</v>
      </c>
      <c r="B1386" s="74" t="s">
        <v>22702</v>
      </c>
      <c r="C1386" s="75" t="s">
        <v>173</v>
      </c>
      <c r="D1386" s="81">
        <v>19681.2</v>
      </c>
      <c r="E1386" s="151">
        <v>44756</v>
      </c>
      <c r="F1386" s="81">
        <v>19681.2</v>
      </c>
      <c r="G1386" s="156">
        <f>Tabla18[[#This Row],[Importe]]-Tabla18[[#This Row],[Pagado]]</f>
        <v>0</v>
      </c>
      <c r="H1386" s="75" t="s">
        <v>10</v>
      </c>
    </row>
    <row r="1387" spans="1:8" x14ac:dyDescent="0.25">
      <c r="A1387" s="148">
        <v>44755</v>
      </c>
      <c r="B1387" s="149" t="s">
        <v>22703</v>
      </c>
      <c r="C1387" s="153" t="s">
        <v>62</v>
      </c>
      <c r="D1387" s="154">
        <v>3675</v>
      </c>
      <c r="E1387" s="155">
        <v>44755</v>
      </c>
      <c r="F1387" s="154">
        <v>3675</v>
      </c>
      <c r="G1387" s="156">
        <f>Tabla18[[#This Row],[Importe]]-Tabla18[[#This Row],[Pagado]]</f>
        <v>0</v>
      </c>
      <c r="H1387" s="153" t="s">
        <v>10</v>
      </c>
    </row>
    <row r="1388" spans="1:8" x14ac:dyDescent="0.25">
      <c r="A1388" s="73">
        <v>44755</v>
      </c>
      <c r="B1388" s="74" t="s">
        <v>22704</v>
      </c>
      <c r="C1388" s="75" t="s">
        <v>426</v>
      </c>
      <c r="D1388" s="81">
        <v>4304</v>
      </c>
      <c r="E1388" s="151">
        <v>44755</v>
      </c>
      <c r="F1388" s="81">
        <v>4304</v>
      </c>
      <c r="G1388" s="156">
        <f>Tabla18[[#This Row],[Importe]]-Tabla18[[#This Row],[Pagado]]</f>
        <v>0</v>
      </c>
      <c r="H1388" s="75" t="s">
        <v>10</v>
      </c>
    </row>
    <row r="1389" spans="1:8" x14ac:dyDescent="0.25">
      <c r="A1389" s="148">
        <v>44755</v>
      </c>
      <c r="B1389" s="149" t="s">
        <v>22705</v>
      </c>
      <c r="C1389" s="153" t="s">
        <v>175</v>
      </c>
      <c r="D1389" s="154">
        <v>23108.6</v>
      </c>
      <c r="E1389" s="155">
        <v>44755</v>
      </c>
      <c r="F1389" s="154">
        <v>23108.6</v>
      </c>
      <c r="G1389" s="156">
        <f>Tabla18[[#This Row],[Importe]]-Tabla18[[#This Row],[Pagado]]</f>
        <v>0</v>
      </c>
      <c r="H1389" s="153" t="s">
        <v>10</v>
      </c>
    </row>
    <row r="1390" spans="1:8" x14ac:dyDescent="0.25">
      <c r="A1390" s="73">
        <v>44755</v>
      </c>
      <c r="B1390" s="74" t="s">
        <v>22706</v>
      </c>
      <c r="C1390" s="75" t="s">
        <v>204</v>
      </c>
      <c r="D1390" s="81">
        <v>4374.7</v>
      </c>
      <c r="E1390" s="151">
        <v>44755</v>
      </c>
      <c r="F1390" s="81">
        <v>4374.7</v>
      </c>
      <c r="G1390" s="156">
        <f>Tabla18[[#This Row],[Importe]]-Tabla18[[#This Row],[Pagado]]</f>
        <v>0</v>
      </c>
      <c r="H1390" s="75" t="s">
        <v>10</v>
      </c>
    </row>
    <row r="1391" spans="1:8" x14ac:dyDescent="0.25">
      <c r="A1391" s="148">
        <v>44755</v>
      </c>
      <c r="B1391" s="149" t="s">
        <v>22707</v>
      </c>
      <c r="C1391" s="153" t="s">
        <v>555</v>
      </c>
      <c r="D1391" s="154">
        <v>48947.519999999997</v>
      </c>
      <c r="E1391" s="155">
        <v>44755</v>
      </c>
      <c r="F1391" s="154">
        <v>48947.519999999997</v>
      </c>
      <c r="G1391" s="156">
        <f>Tabla18[[#This Row],[Importe]]-Tabla18[[#This Row],[Pagado]]</f>
        <v>0</v>
      </c>
      <c r="H1391" s="153" t="s">
        <v>10</v>
      </c>
    </row>
    <row r="1392" spans="1:8" x14ac:dyDescent="0.25">
      <c r="A1392" s="73">
        <v>44755</v>
      </c>
      <c r="B1392" s="74" t="s">
        <v>22708</v>
      </c>
      <c r="C1392" s="75" t="s">
        <v>5816</v>
      </c>
      <c r="D1392" s="81">
        <v>8316</v>
      </c>
      <c r="E1392" s="151">
        <v>44756</v>
      </c>
      <c r="F1392" s="81">
        <v>8316</v>
      </c>
      <c r="G1392" s="156">
        <f>Tabla18[[#This Row],[Importe]]-Tabla18[[#This Row],[Pagado]]</f>
        <v>0</v>
      </c>
      <c r="H1392" s="75" t="s">
        <v>10</v>
      </c>
    </row>
    <row r="1393" spans="1:8" x14ac:dyDescent="0.25">
      <c r="A1393" s="148">
        <v>44755</v>
      </c>
      <c r="B1393" s="149" t="s">
        <v>22709</v>
      </c>
      <c r="C1393" s="153" t="s">
        <v>1174</v>
      </c>
      <c r="D1393" s="154">
        <v>27120.799999999999</v>
      </c>
      <c r="E1393" s="155">
        <v>44755</v>
      </c>
      <c r="F1393" s="154">
        <v>27120.799999999999</v>
      </c>
      <c r="G1393" s="156">
        <f>Tabla18[[#This Row],[Importe]]-Tabla18[[#This Row],[Pagado]]</f>
        <v>0</v>
      </c>
      <c r="H1393" s="153" t="s">
        <v>10</v>
      </c>
    </row>
    <row r="1394" spans="1:8" x14ac:dyDescent="0.25">
      <c r="A1394" s="73">
        <v>44755</v>
      </c>
      <c r="B1394" s="74" t="s">
        <v>22710</v>
      </c>
      <c r="C1394" s="75" t="s">
        <v>175</v>
      </c>
      <c r="D1394" s="81">
        <v>378.4</v>
      </c>
      <c r="E1394" s="151">
        <v>44755</v>
      </c>
      <c r="F1394" s="81">
        <v>378.4</v>
      </c>
      <c r="G1394" s="156">
        <f>Tabla18[[#This Row],[Importe]]-Tabla18[[#This Row],[Pagado]]</f>
        <v>0</v>
      </c>
      <c r="H1394" s="75" t="s">
        <v>10</v>
      </c>
    </row>
    <row r="1395" spans="1:8" x14ac:dyDescent="0.25">
      <c r="A1395" s="148">
        <v>44755</v>
      </c>
      <c r="B1395" s="149" t="s">
        <v>22711</v>
      </c>
      <c r="C1395" s="153" t="s">
        <v>200</v>
      </c>
      <c r="D1395" s="154">
        <v>669.9</v>
      </c>
      <c r="E1395" s="155">
        <v>44755</v>
      </c>
      <c r="F1395" s="154">
        <v>669.9</v>
      </c>
      <c r="G1395" s="156">
        <f>Tabla18[[#This Row],[Importe]]-Tabla18[[#This Row],[Pagado]]</f>
        <v>0</v>
      </c>
      <c r="H1395" s="153" t="s">
        <v>10</v>
      </c>
    </row>
    <row r="1396" spans="1:8" x14ac:dyDescent="0.25">
      <c r="A1396" s="73">
        <v>44755</v>
      </c>
      <c r="B1396" s="74" t="s">
        <v>22712</v>
      </c>
      <c r="C1396" s="75" t="s">
        <v>9827</v>
      </c>
      <c r="D1396" s="81">
        <v>3611.3</v>
      </c>
      <c r="E1396" s="151">
        <v>44755</v>
      </c>
      <c r="F1396" s="81">
        <v>3611.3</v>
      </c>
      <c r="G1396" s="156">
        <f>Tabla18[[#This Row],[Importe]]-Tabla18[[#This Row],[Pagado]]</f>
        <v>0</v>
      </c>
      <c r="H1396" s="75" t="s">
        <v>10</v>
      </c>
    </row>
    <row r="1397" spans="1:8" x14ac:dyDescent="0.25">
      <c r="A1397" s="148">
        <v>44755</v>
      </c>
      <c r="B1397" s="149" t="s">
        <v>22713</v>
      </c>
      <c r="C1397" s="153" t="s">
        <v>58</v>
      </c>
      <c r="D1397" s="154">
        <v>3327.6</v>
      </c>
      <c r="E1397" s="155">
        <v>44755</v>
      </c>
      <c r="F1397" s="154">
        <v>3327.6</v>
      </c>
      <c r="G1397" s="156">
        <f>Tabla18[[#This Row],[Importe]]-Tabla18[[#This Row],[Pagado]]</f>
        <v>0</v>
      </c>
      <c r="H1397" s="153" t="s">
        <v>10</v>
      </c>
    </row>
    <row r="1398" spans="1:8" x14ac:dyDescent="0.25">
      <c r="A1398" s="73">
        <v>44755</v>
      </c>
      <c r="B1398" s="74" t="s">
        <v>22714</v>
      </c>
      <c r="C1398" s="75" t="s">
        <v>587</v>
      </c>
      <c r="D1398" s="81">
        <v>6887.58</v>
      </c>
      <c r="E1398" s="151">
        <v>44755</v>
      </c>
      <c r="F1398" s="81">
        <v>6887.58</v>
      </c>
      <c r="G1398" s="156">
        <f>Tabla18[[#This Row],[Importe]]-Tabla18[[#This Row],[Pagado]]</f>
        <v>0</v>
      </c>
      <c r="H1398" s="75" t="s">
        <v>10</v>
      </c>
    </row>
    <row r="1399" spans="1:8" x14ac:dyDescent="0.25">
      <c r="A1399" s="148">
        <v>44755</v>
      </c>
      <c r="B1399" s="149" t="s">
        <v>22715</v>
      </c>
      <c r="C1399" s="153" t="s">
        <v>698</v>
      </c>
      <c r="D1399" s="154">
        <v>7968.4</v>
      </c>
      <c r="E1399" s="155">
        <v>44755</v>
      </c>
      <c r="F1399" s="154">
        <v>7968.4</v>
      </c>
      <c r="G1399" s="156">
        <f>Tabla18[[#This Row],[Importe]]-Tabla18[[#This Row],[Pagado]]</f>
        <v>0</v>
      </c>
      <c r="H1399" s="153" t="s">
        <v>10</v>
      </c>
    </row>
    <row r="1400" spans="1:8" x14ac:dyDescent="0.25">
      <c r="A1400" s="73">
        <v>44755</v>
      </c>
      <c r="B1400" s="74" t="s">
        <v>22716</v>
      </c>
      <c r="C1400" s="75" t="s">
        <v>191</v>
      </c>
      <c r="D1400" s="81">
        <v>442.2</v>
      </c>
      <c r="E1400" s="151">
        <v>44755</v>
      </c>
      <c r="F1400" s="81">
        <v>442.2</v>
      </c>
      <c r="G1400" s="156">
        <f>Tabla18[[#This Row],[Importe]]-Tabla18[[#This Row],[Pagado]]</f>
        <v>0</v>
      </c>
      <c r="H1400" s="75" t="s">
        <v>10</v>
      </c>
    </row>
    <row r="1401" spans="1:8" x14ac:dyDescent="0.25">
      <c r="A1401" s="148">
        <v>44755</v>
      </c>
      <c r="B1401" s="149" t="s">
        <v>22717</v>
      </c>
      <c r="C1401" s="153" t="s">
        <v>275</v>
      </c>
      <c r="D1401" s="154">
        <v>82091.8</v>
      </c>
      <c r="E1401" s="155">
        <v>44771</v>
      </c>
      <c r="F1401" s="154">
        <v>82091.8</v>
      </c>
      <c r="G1401" s="156">
        <f>Tabla18[[#This Row],[Importe]]-Tabla18[[#This Row],[Pagado]]</f>
        <v>0</v>
      </c>
      <c r="H1401" s="153" t="s">
        <v>10</v>
      </c>
    </row>
    <row r="1402" spans="1:8" x14ac:dyDescent="0.25">
      <c r="A1402" s="73">
        <v>44755</v>
      </c>
      <c r="B1402" s="74" t="s">
        <v>22718</v>
      </c>
      <c r="C1402" s="75" t="s">
        <v>91</v>
      </c>
      <c r="D1402" s="81">
        <v>7700</v>
      </c>
      <c r="E1402" s="151">
        <v>44755</v>
      </c>
      <c r="F1402" s="81">
        <v>7700</v>
      </c>
      <c r="G1402" s="156">
        <f>Tabla18[[#This Row],[Importe]]-Tabla18[[#This Row],[Pagado]]</f>
        <v>0</v>
      </c>
      <c r="H1402" s="75" t="s">
        <v>10</v>
      </c>
    </row>
    <row r="1403" spans="1:8" ht="31.5" x14ac:dyDescent="0.25">
      <c r="A1403" s="148">
        <v>44755</v>
      </c>
      <c r="B1403" s="149" t="s">
        <v>22719</v>
      </c>
      <c r="C1403" s="153" t="s">
        <v>91</v>
      </c>
      <c r="D1403" s="154">
        <v>6267.8</v>
      </c>
      <c r="E1403" s="150" t="s">
        <v>22399</v>
      </c>
      <c r="F1403" s="154">
        <f>2080+4187.8</f>
        <v>6267.8</v>
      </c>
      <c r="G1403" s="156">
        <f>Tabla18[[#This Row],[Importe]]-Tabla18[[#This Row],[Pagado]]</f>
        <v>0</v>
      </c>
      <c r="H1403" s="153" t="s">
        <v>10</v>
      </c>
    </row>
    <row r="1404" spans="1:8" x14ac:dyDescent="0.25">
      <c r="A1404" s="73">
        <v>44755</v>
      </c>
      <c r="B1404" s="74" t="s">
        <v>22720</v>
      </c>
      <c r="C1404" s="75" t="s">
        <v>7818</v>
      </c>
      <c r="D1404" s="81">
        <v>760</v>
      </c>
      <c r="E1404" s="151">
        <v>44755</v>
      </c>
      <c r="F1404" s="81">
        <v>760</v>
      </c>
      <c r="G1404" s="156">
        <f>Tabla18[[#This Row],[Importe]]-Tabla18[[#This Row],[Pagado]]</f>
        <v>0</v>
      </c>
      <c r="H1404" s="75" t="s">
        <v>10</v>
      </c>
    </row>
    <row r="1405" spans="1:8" x14ac:dyDescent="0.25">
      <c r="A1405" s="148">
        <v>44755</v>
      </c>
      <c r="B1405" s="149" t="s">
        <v>22721</v>
      </c>
      <c r="C1405" s="153" t="s">
        <v>116</v>
      </c>
      <c r="D1405" s="154">
        <v>3132.9</v>
      </c>
      <c r="E1405" s="155">
        <v>44757</v>
      </c>
      <c r="F1405" s="154">
        <v>3132.9</v>
      </c>
      <c r="G1405" s="156">
        <f>Tabla18[[#This Row],[Importe]]-Tabla18[[#This Row],[Pagado]]</f>
        <v>0</v>
      </c>
      <c r="H1405" s="153" t="s">
        <v>10</v>
      </c>
    </row>
    <row r="1406" spans="1:8" x14ac:dyDescent="0.25">
      <c r="A1406" s="73">
        <v>44755</v>
      </c>
      <c r="B1406" s="74" t="s">
        <v>22722</v>
      </c>
      <c r="C1406" s="75" t="s">
        <v>296</v>
      </c>
      <c r="D1406" s="81">
        <v>3260.4</v>
      </c>
      <c r="E1406" s="151">
        <v>44755</v>
      </c>
      <c r="F1406" s="81">
        <v>3260.4</v>
      </c>
      <c r="G1406" s="156">
        <f>Tabla18[[#This Row],[Importe]]-Tabla18[[#This Row],[Pagado]]</f>
        <v>0</v>
      </c>
      <c r="H1406" s="75" t="s">
        <v>10</v>
      </c>
    </row>
    <row r="1407" spans="1:8" x14ac:dyDescent="0.25">
      <c r="A1407" s="148">
        <v>44755</v>
      </c>
      <c r="B1407" s="149" t="s">
        <v>22723</v>
      </c>
      <c r="C1407" s="153" t="s">
        <v>31</v>
      </c>
      <c r="D1407" s="154">
        <v>1692.6</v>
      </c>
      <c r="E1407" s="155">
        <v>44755</v>
      </c>
      <c r="F1407" s="154">
        <v>1692.6</v>
      </c>
      <c r="G1407" s="156">
        <f>Tabla18[[#This Row],[Importe]]-Tabla18[[#This Row],[Pagado]]</f>
        <v>0</v>
      </c>
      <c r="H1407" s="153" t="s">
        <v>10</v>
      </c>
    </row>
    <row r="1408" spans="1:8" x14ac:dyDescent="0.25">
      <c r="A1408" s="73">
        <v>44755</v>
      </c>
      <c r="B1408" s="74" t="s">
        <v>22724</v>
      </c>
      <c r="C1408" s="75" t="s">
        <v>2139</v>
      </c>
      <c r="D1408" s="81">
        <v>6354.6</v>
      </c>
      <c r="E1408" s="151">
        <v>44755</v>
      </c>
      <c r="F1408" s="81">
        <v>6354.6</v>
      </c>
      <c r="G1408" s="156">
        <f>Tabla18[[#This Row],[Importe]]-Tabla18[[#This Row],[Pagado]]</f>
        <v>0</v>
      </c>
      <c r="H1408" s="75" t="s">
        <v>10</v>
      </c>
    </row>
    <row r="1409" spans="1:8" x14ac:dyDescent="0.25">
      <c r="A1409" s="148">
        <v>44755</v>
      </c>
      <c r="B1409" s="149" t="s">
        <v>22725</v>
      </c>
      <c r="C1409" s="153" t="s">
        <v>11383</v>
      </c>
      <c r="D1409" s="154">
        <v>31316.2</v>
      </c>
      <c r="E1409" s="155">
        <v>44755</v>
      </c>
      <c r="F1409" s="154">
        <v>31316.2</v>
      </c>
      <c r="G1409" s="156">
        <f>Tabla18[[#This Row],[Importe]]-Tabla18[[#This Row],[Pagado]]</f>
        <v>0</v>
      </c>
      <c r="H1409" s="153" t="s">
        <v>10</v>
      </c>
    </row>
    <row r="1410" spans="1:8" x14ac:dyDescent="0.25">
      <c r="A1410" s="73">
        <v>44755</v>
      </c>
      <c r="B1410" s="74" t="s">
        <v>22726</v>
      </c>
      <c r="C1410" s="75" t="s">
        <v>445</v>
      </c>
      <c r="D1410" s="81">
        <v>3644.4</v>
      </c>
      <c r="E1410" s="151">
        <v>44755</v>
      </c>
      <c r="F1410" s="81">
        <v>3644.4</v>
      </c>
      <c r="G1410" s="156">
        <f>Tabla18[[#This Row],[Importe]]-Tabla18[[#This Row],[Pagado]]</f>
        <v>0</v>
      </c>
      <c r="H1410" s="75" t="s">
        <v>10</v>
      </c>
    </row>
    <row r="1411" spans="1:8" x14ac:dyDescent="0.25">
      <c r="A1411" s="148">
        <v>44755</v>
      </c>
      <c r="B1411" s="149" t="s">
        <v>22727</v>
      </c>
      <c r="C1411" s="153" t="s">
        <v>15306</v>
      </c>
      <c r="D1411" s="154">
        <v>6408.8</v>
      </c>
      <c r="E1411" s="155">
        <v>44755</v>
      </c>
      <c r="F1411" s="154">
        <v>6408.8</v>
      </c>
      <c r="G1411" s="156">
        <f>Tabla18[[#This Row],[Importe]]-Tabla18[[#This Row],[Pagado]]</f>
        <v>0</v>
      </c>
      <c r="H1411" s="153" t="s">
        <v>10</v>
      </c>
    </row>
    <row r="1412" spans="1:8" x14ac:dyDescent="0.25">
      <c r="A1412" s="73">
        <v>44755</v>
      </c>
      <c r="B1412" s="74" t="s">
        <v>22728</v>
      </c>
      <c r="C1412" s="75" t="s">
        <v>11383</v>
      </c>
      <c r="D1412" s="81">
        <v>506</v>
      </c>
      <c r="E1412" s="151">
        <v>44755</v>
      </c>
      <c r="F1412" s="81">
        <v>506</v>
      </c>
      <c r="G1412" s="156">
        <f>Tabla18[[#This Row],[Importe]]-Tabla18[[#This Row],[Pagado]]</f>
        <v>0</v>
      </c>
      <c r="H1412" s="75" t="s">
        <v>10</v>
      </c>
    </row>
    <row r="1413" spans="1:8" x14ac:dyDescent="0.25">
      <c r="A1413" s="148">
        <v>44755</v>
      </c>
      <c r="B1413" s="149" t="s">
        <v>22729</v>
      </c>
      <c r="C1413" s="153" t="s">
        <v>214</v>
      </c>
      <c r="D1413" s="154">
        <v>1447.6</v>
      </c>
      <c r="E1413" s="155">
        <v>44756</v>
      </c>
      <c r="F1413" s="154">
        <v>1447.6</v>
      </c>
      <c r="G1413" s="156">
        <f>Tabla18[[#This Row],[Importe]]-Tabla18[[#This Row],[Pagado]]</f>
        <v>0</v>
      </c>
      <c r="H1413" s="153" t="s">
        <v>10</v>
      </c>
    </row>
    <row r="1414" spans="1:8" x14ac:dyDescent="0.25">
      <c r="A1414" s="73">
        <v>44755</v>
      </c>
      <c r="B1414" s="74" t="s">
        <v>22730</v>
      </c>
      <c r="C1414" s="75" t="s">
        <v>53</v>
      </c>
      <c r="D1414" s="81">
        <v>2024</v>
      </c>
      <c r="E1414" s="151">
        <v>44755</v>
      </c>
      <c r="F1414" s="81">
        <v>2024</v>
      </c>
      <c r="G1414" s="156">
        <f>Tabla18[[#This Row],[Importe]]-Tabla18[[#This Row],[Pagado]]</f>
        <v>0</v>
      </c>
      <c r="H1414" s="75" t="s">
        <v>10</v>
      </c>
    </row>
    <row r="1415" spans="1:8" x14ac:dyDescent="0.25">
      <c r="A1415" s="148">
        <v>44755</v>
      </c>
      <c r="B1415" s="149" t="s">
        <v>22731</v>
      </c>
      <c r="C1415" s="153" t="s">
        <v>4136</v>
      </c>
      <c r="D1415" s="154">
        <v>2211.6</v>
      </c>
      <c r="E1415" s="155">
        <v>44755</v>
      </c>
      <c r="F1415" s="154">
        <v>2211.6</v>
      </c>
      <c r="G1415" s="156">
        <f>Tabla18[[#This Row],[Importe]]-Tabla18[[#This Row],[Pagado]]</f>
        <v>0</v>
      </c>
      <c r="H1415" s="153" t="s">
        <v>10</v>
      </c>
    </row>
    <row r="1416" spans="1:8" x14ac:dyDescent="0.25">
      <c r="A1416" s="73">
        <v>44755</v>
      </c>
      <c r="B1416" s="74" t="s">
        <v>22732</v>
      </c>
      <c r="C1416" s="75" t="s">
        <v>31</v>
      </c>
      <c r="D1416" s="81">
        <v>128</v>
      </c>
      <c r="E1416" s="151">
        <v>44755</v>
      </c>
      <c r="F1416" s="81">
        <v>128</v>
      </c>
      <c r="G1416" s="156">
        <f>Tabla18[[#This Row],[Importe]]-Tabla18[[#This Row],[Pagado]]</f>
        <v>0</v>
      </c>
      <c r="H1416" s="75" t="s">
        <v>10</v>
      </c>
    </row>
    <row r="1417" spans="1:8" x14ac:dyDescent="0.25">
      <c r="A1417" s="148">
        <v>44755</v>
      </c>
      <c r="B1417" s="149" t="s">
        <v>22733</v>
      </c>
      <c r="C1417" s="153" t="s">
        <v>1275</v>
      </c>
      <c r="D1417" s="154">
        <v>963.6</v>
      </c>
      <c r="E1417" s="155">
        <v>44755</v>
      </c>
      <c r="F1417" s="154">
        <v>963.6</v>
      </c>
      <c r="G1417" s="156">
        <f>Tabla18[[#This Row],[Importe]]-Tabla18[[#This Row],[Pagado]]</f>
        <v>0</v>
      </c>
      <c r="H1417" s="153" t="s">
        <v>10</v>
      </c>
    </row>
    <row r="1418" spans="1:8" x14ac:dyDescent="0.25">
      <c r="A1418" s="73">
        <v>44755</v>
      </c>
      <c r="B1418" s="74" t="s">
        <v>22734</v>
      </c>
      <c r="C1418" s="75" t="s">
        <v>71</v>
      </c>
      <c r="D1418" s="81">
        <v>1794</v>
      </c>
      <c r="E1418" s="151">
        <v>44755</v>
      </c>
      <c r="F1418" s="81">
        <v>1794</v>
      </c>
      <c r="G1418" s="156">
        <f>Tabla18[[#This Row],[Importe]]-Tabla18[[#This Row],[Pagado]]</f>
        <v>0</v>
      </c>
      <c r="H1418" s="75" t="s">
        <v>10</v>
      </c>
    </row>
    <row r="1419" spans="1:8" x14ac:dyDescent="0.25">
      <c r="A1419" s="148">
        <v>44755</v>
      </c>
      <c r="B1419" s="149" t="s">
        <v>22735</v>
      </c>
      <c r="C1419" s="153" t="s">
        <v>16</v>
      </c>
      <c r="D1419" s="154">
        <v>570</v>
      </c>
      <c r="E1419" s="155">
        <v>44755</v>
      </c>
      <c r="F1419" s="154">
        <v>570</v>
      </c>
      <c r="G1419" s="156">
        <f>Tabla18[[#This Row],[Importe]]-Tabla18[[#This Row],[Pagado]]</f>
        <v>0</v>
      </c>
      <c r="H1419" s="153" t="s">
        <v>10</v>
      </c>
    </row>
    <row r="1420" spans="1:8" x14ac:dyDescent="0.25">
      <c r="A1420" s="73">
        <v>44755</v>
      </c>
      <c r="B1420" s="74" t="s">
        <v>22736</v>
      </c>
      <c r="C1420" s="75" t="s">
        <v>296</v>
      </c>
      <c r="D1420" s="81">
        <v>4879.6000000000004</v>
      </c>
      <c r="E1420" s="151">
        <v>44755</v>
      </c>
      <c r="F1420" s="81">
        <v>4879.6000000000004</v>
      </c>
      <c r="G1420" s="156">
        <f>Tabla18[[#This Row],[Importe]]-Tabla18[[#This Row],[Pagado]]</f>
        <v>0</v>
      </c>
      <c r="H1420" s="75" t="s">
        <v>10</v>
      </c>
    </row>
    <row r="1421" spans="1:8" x14ac:dyDescent="0.25">
      <c r="A1421" s="148">
        <v>44755</v>
      </c>
      <c r="B1421" s="149" t="s">
        <v>22737</v>
      </c>
      <c r="C1421" s="153" t="s">
        <v>9577</v>
      </c>
      <c r="D1421" s="154">
        <v>30239.599999999999</v>
      </c>
      <c r="E1421" s="155">
        <v>44756</v>
      </c>
      <c r="F1421" s="154">
        <v>30239.599999999999</v>
      </c>
      <c r="G1421" s="156">
        <f>Tabla18[[#This Row],[Importe]]-Tabla18[[#This Row],[Pagado]]</f>
        <v>0</v>
      </c>
      <c r="H1421" s="153" t="s">
        <v>10</v>
      </c>
    </row>
    <row r="1422" spans="1:8" x14ac:dyDescent="0.25">
      <c r="A1422" s="73">
        <v>44755</v>
      </c>
      <c r="B1422" s="74" t="s">
        <v>22738</v>
      </c>
      <c r="C1422" s="75" t="s">
        <v>31</v>
      </c>
      <c r="D1422" s="81">
        <v>4537</v>
      </c>
      <c r="E1422" s="151">
        <v>44755</v>
      </c>
      <c r="F1422" s="81">
        <v>4537</v>
      </c>
      <c r="G1422" s="156">
        <f>Tabla18[[#This Row],[Importe]]-Tabla18[[#This Row],[Pagado]]</f>
        <v>0</v>
      </c>
      <c r="H1422" s="75" t="s">
        <v>10</v>
      </c>
    </row>
    <row r="1423" spans="1:8" x14ac:dyDescent="0.25">
      <c r="A1423" s="148">
        <v>44755</v>
      </c>
      <c r="B1423" s="149" t="s">
        <v>22739</v>
      </c>
      <c r="C1423" s="153" t="s">
        <v>284</v>
      </c>
      <c r="D1423" s="154">
        <v>9309.2999999999993</v>
      </c>
      <c r="E1423" s="155">
        <v>44756</v>
      </c>
      <c r="F1423" s="154">
        <v>9309.2999999999993</v>
      </c>
      <c r="G1423" s="156">
        <f>Tabla18[[#This Row],[Importe]]-Tabla18[[#This Row],[Pagado]]</f>
        <v>0</v>
      </c>
      <c r="H1423" s="153" t="s">
        <v>10</v>
      </c>
    </row>
    <row r="1424" spans="1:8" x14ac:dyDescent="0.25">
      <c r="A1424" s="73">
        <v>44755</v>
      </c>
      <c r="B1424" s="74" t="s">
        <v>22740</v>
      </c>
      <c r="C1424" s="75" t="s">
        <v>282</v>
      </c>
      <c r="D1424" s="81">
        <v>1593.9</v>
      </c>
      <c r="E1424" s="151">
        <v>44756</v>
      </c>
      <c r="F1424" s="81">
        <v>1593.9</v>
      </c>
      <c r="G1424" s="156">
        <f>Tabla18[[#This Row],[Importe]]-Tabla18[[#This Row],[Pagado]]</f>
        <v>0</v>
      </c>
      <c r="H1424" s="75" t="s">
        <v>10</v>
      </c>
    </row>
    <row r="1425" spans="1:8" x14ac:dyDescent="0.25">
      <c r="A1425" s="148">
        <v>44755</v>
      </c>
      <c r="B1425" s="149" t="s">
        <v>22741</v>
      </c>
      <c r="C1425" s="153" t="s">
        <v>5345</v>
      </c>
      <c r="D1425" s="154">
        <v>3118.5</v>
      </c>
      <c r="E1425" s="155">
        <v>44756</v>
      </c>
      <c r="F1425" s="154">
        <v>3118.5</v>
      </c>
      <c r="G1425" s="156">
        <f>Tabla18[[#This Row],[Importe]]-Tabla18[[#This Row],[Pagado]]</f>
        <v>0</v>
      </c>
      <c r="H1425" s="153" t="s">
        <v>10</v>
      </c>
    </row>
    <row r="1426" spans="1:8" x14ac:dyDescent="0.25">
      <c r="A1426" s="73">
        <v>44755</v>
      </c>
      <c r="B1426" s="74" t="s">
        <v>22742</v>
      </c>
      <c r="C1426" s="75" t="s">
        <v>10819</v>
      </c>
      <c r="D1426" s="81">
        <v>716.1</v>
      </c>
      <c r="E1426" s="151">
        <v>44756</v>
      </c>
      <c r="F1426" s="81">
        <v>716.1</v>
      </c>
      <c r="G1426" s="156">
        <f>Tabla18[[#This Row],[Importe]]-Tabla18[[#This Row],[Pagado]]</f>
        <v>0</v>
      </c>
      <c r="H1426" s="75" t="s">
        <v>10</v>
      </c>
    </row>
    <row r="1427" spans="1:8" x14ac:dyDescent="0.25">
      <c r="A1427" s="148">
        <v>44755</v>
      </c>
      <c r="B1427" s="149" t="s">
        <v>22743</v>
      </c>
      <c r="C1427" s="153" t="s">
        <v>365</v>
      </c>
      <c r="D1427" s="154">
        <v>909</v>
      </c>
      <c r="E1427" s="155">
        <v>44755</v>
      </c>
      <c r="F1427" s="154">
        <v>909</v>
      </c>
      <c r="G1427" s="156">
        <f>Tabla18[[#This Row],[Importe]]-Tabla18[[#This Row],[Pagado]]</f>
        <v>0</v>
      </c>
      <c r="H1427" s="153" t="s">
        <v>10</v>
      </c>
    </row>
    <row r="1428" spans="1:8" x14ac:dyDescent="0.25">
      <c r="A1428" s="73">
        <v>44755</v>
      </c>
      <c r="B1428" s="74" t="s">
        <v>22744</v>
      </c>
      <c r="C1428" s="75" t="s">
        <v>5694</v>
      </c>
      <c r="D1428" s="81">
        <v>4123.8</v>
      </c>
      <c r="E1428" s="151">
        <v>44755</v>
      </c>
      <c r="F1428" s="81">
        <v>4123.8</v>
      </c>
      <c r="G1428" s="156">
        <f>Tabla18[[#This Row],[Importe]]-Tabla18[[#This Row],[Pagado]]</f>
        <v>0</v>
      </c>
      <c r="H1428" s="75" t="s">
        <v>10</v>
      </c>
    </row>
    <row r="1429" spans="1:8" x14ac:dyDescent="0.25">
      <c r="A1429" s="148">
        <v>44755</v>
      </c>
      <c r="B1429" s="149" t="s">
        <v>22745</v>
      </c>
      <c r="C1429" s="153" t="s">
        <v>9175</v>
      </c>
      <c r="D1429" s="154">
        <v>3551.8</v>
      </c>
      <c r="E1429" s="155">
        <v>44755</v>
      </c>
      <c r="F1429" s="154">
        <v>3551.8</v>
      </c>
      <c r="G1429" s="156">
        <f>Tabla18[[#This Row],[Importe]]-Tabla18[[#This Row],[Pagado]]</f>
        <v>0</v>
      </c>
      <c r="H1429" s="153" t="s">
        <v>10</v>
      </c>
    </row>
    <row r="1430" spans="1:8" x14ac:dyDescent="0.25">
      <c r="A1430" s="73">
        <v>44755</v>
      </c>
      <c r="B1430" s="74" t="s">
        <v>22746</v>
      </c>
      <c r="C1430" s="75" t="s">
        <v>610</v>
      </c>
      <c r="D1430" s="81">
        <v>5449.2</v>
      </c>
      <c r="E1430" s="151">
        <v>44756</v>
      </c>
      <c r="F1430" s="81">
        <v>5449.2</v>
      </c>
      <c r="G1430" s="156">
        <f>Tabla18[[#This Row],[Importe]]-Tabla18[[#This Row],[Pagado]]</f>
        <v>0</v>
      </c>
      <c r="H1430" s="75" t="s">
        <v>10</v>
      </c>
    </row>
    <row r="1431" spans="1:8" x14ac:dyDescent="0.25">
      <c r="A1431" s="148">
        <v>44755</v>
      </c>
      <c r="B1431" s="149" t="s">
        <v>22747</v>
      </c>
      <c r="C1431" s="153" t="s">
        <v>53</v>
      </c>
      <c r="D1431" s="154">
        <v>2586.1999999999998</v>
      </c>
      <c r="E1431" s="155">
        <v>44756</v>
      </c>
      <c r="F1431" s="154">
        <v>2586.1999999999998</v>
      </c>
      <c r="G1431" s="156">
        <f>Tabla18[[#This Row],[Importe]]-Tabla18[[#This Row],[Pagado]]</f>
        <v>0</v>
      </c>
      <c r="H1431" s="153" t="s">
        <v>10</v>
      </c>
    </row>
    <row r="1432" spans="1:8" x14ac:dyDescent="0.25">
      <c r="A1432" s="73">
        <v>44755</v>
      </c>
      <c r="B1432" s="74" t="s">
        <v>22748</v>
      </c>
      <c r="C1432" s="75" t="s">
        <v>22749</v>
      </c>
      <c r="D1432" s="81">
        <v>920</v>
      </c>
      <c r="E1432" s="151">
        <v>44756</v>
      </c>
      <c r="F1432" s="81">
        <v>920</v>
      </c>
      <c r="G1432" s="156">
        <f>Tabla18[[#This Row],[Importe]]-Tabla18[[#This Row],[Pagado]]</f>
        <v>0</v>
      </c>
      <c r="H1432" s="75" t="s">
        <v>10</v>
      </c>
    </row>
    <row r="1433" spans="1:8" x14ac:dyDescent="0.25">
      <c r="A1433" s="148">
        <v>44756</v>
      </c>
      <c r="B1433" s="149" t="s">
        <v>22750</v>
      </c>
      <c r="C1433" s="153" t="s">
        <v>887</v>
      </c>
      <c r="D1433" s="154">
        <v>14575.2</v>
      </c>
      <c r="E1433" s="155">
        <v>44756</v>
      </c>
      <c r="F1433" s="154">
        <v>14575.2</v>
      </c>
      <c r="G1433" s="156">
        <f>Tabla18[[#This Row],[Importe]]-Tabla18[[#This Row],[Pagado]]</f>
        <v>0</v>
      </c>
      <c r="H1433" s="153" t="s">
        <v>10</v>
      </c>
    </row>
    <row r="1434" spans="1:8" x14ac:dyDescent="0.25">
      <c r="A1434" s="73">
        <v>44756</v>
      </c>
      <c r="B1434" s="74" t="s">
        <v>22751</v>
      </c>
      <c r="C1434" s="75" t="s">
        <v>475</v>
      </c>
      <c r="D1434" s="81">
        <v>56716.800000000003</v>
      </c>
      <c r="E1434" s="151">
        <v>44757</v>
      </c>
      <c r="F1434" s="81">
        <v>56716.800000000003</v>
      </c>
      <c r="G1434" s="156">
        <f>Tabla18[[#This Row],[Importe]]-Tabla18[[#This Row],[Pagado]]</f>
        <v>0</v>
      </c>
      <c r="H1434" s="75" t="s">
        <v>10</v>
      </c>
    </row>
    <row r="1435" spans="1:8" x14ac:dyDescent="0.25">
      <c r="A1435" s="148">
        <v>44756</v>
      </c>
      <c r="B1435" s="149" t="s">
        <v>22752</v>
      </c>
      <c r="C1435" s="153" t="s">
        <v>473</v>
      </c>
      <c r="D1435" s="154">
        <v>6047.8</v>
      </c>
      <c r="E1435" s="155">
        <v>44756</v>
      </c>
      <c r="F1435" s="154">
        <v>6047.8</v>
      </c>
      <c r="G1435" s="156">
        <f>Tabla18[[#This Row],[Importe]]-Tabla18[[#This Row],[Pagado]]</f>
        <v>0</v>
      </c>
      <c r="H1435" s="153" t="s">
        <v>10</v>
      </c>
    </row>
    <row r="1436" spans="1:8" x14ac:dyDescent="0.25">
      <c r="A1436" s="73">
        <v>44756</v>
      </c>
      <c r="B1436" s="74" t="s">
        <v>22753</v>
      </c>
      <c r="C1436" s="75" t="s">
        <v>618</v>
      </c>
      <c r="D1436" s="81">
        <v>8095.6</v>
      </c>
      <c r="E1436" s="151">
        <v>44756</v>
      </c>
      <c r="F1436" s="81">
        <v>8095.6</v>
      </c>
      <c r="G1436" s="156">
        <f>Tabla18[[#This Row],[Importe]]-Tabla18[[#This Row],[Pagado]]</f>
        <v>0</v>
      </c>
      <c r="H1436" s="75" t="s">
        <v>10</v>
      </c>
    </row>
    <row r="1437" spans="1:8" x14ac:dyDescent="0.25">
      <c r="A1437" s="148">
        <v>44756</v>
      </c>
      <c r="B1437" s="149" t="s">
        <v>22754</v>
      </c>
      <c r="C1437" s="153" t="s">
        <v>85</v>
      </c>
      <c r="D1437" s="154">
        <v>1478.4</v>
      </c>
      <c r="E1437" s="155">
        <v>44756</v>
      </c>
      <c r="F1437" s="154">
        <v>1478.4</v>
      </c>
      <c r="G1437" s="156">
        <f>Tabla18[[#This Row],[Importe]]-Tabla18[[#This Row],[Pagado]]</f>
        <v>0</v>
      </c>
      <c r="H1437" s="153" t="s">
        <v>10</v>
      </c>
    </row>
    <row r="1438" spans="1:8" x14ac:dyDescent="0.25">
      <c r="A1438" s="73">
        <v>44756</v>
      </c>
      <c r="B1438" s="74" t="s">
        <v>22755</v>
      </c>
      <c r="C1438" s="75" t="s">
        <v>75</v>
      </c>
      <c r="D1438" s="81">
        <v>6129.2</v>
      </c>
      <c r="E1438" s="151">
        <v>44756</v>
      </c>
      <c r="F1438" s="81">
        <v>6129.2</v>
      </c>
      <c r="G1438" s="156">
        <f>Tabla18[[#This Row],[Importe]]-Tabla18[[#This Row],[Pagado]]</f>
        <v>0</v>
      </c>
      <c r="H1438" s="75" t="s">
        <v>10</v>
      </c>
    </row>
    <row r="1439" spans="1:8" x14ac:dyDescent="0.25">
      <c r="A1439" s="148">
        <v>44756</v>
      </c>
      <c r="B1439" s="149" t="s">
        <v>22756</v>
      </c>
      <c r="C1439" s="153" t="s">
        <v>481</v>
      </c>
      <c r="D1439" s="154">
        <v>802.4</v>
      </c>
      <c r="E1439" s="155">
        <v>44756</v>
      </c>
      <c r="F1439" s="154">
        <v>802.4</v>
      </c>
      <c r="G1439" s="156">
        <f>Tabla18[[#This Row],[Importe]]-Tabla18[[#This Row],[Pagado]]</f>
        <v>0</v>
      </c>
      <c r="H1439" s="153" t="s">
        <v>10</v>
      </c>
    </row>
    <row r="1440" spans="1:8" x14ac:dyDescent="0.25">
      <c r="A1440" s="73">
        <v>44756</v>
      </c>
      <c r="B1440" s="74" t="s">
        <v>22757</v>
      </c>
      <c r="C1440" s="75" t="s">
        <v>135</v>
      </c>
      <c r="D1440" s="81">
        <v>1376</v>
      </c>
      <c r="E1440" s="151">
        <v>44756</v>
      </c>
      <c r="F1440" s="81">
        <v>1376</v>
      </c>
      <c r="G1440" s="156">
        <f>Tabla18[[#This Row],[Importe]]-Tabla18[[#This Row],[Pagado]]</f>
        <v>0</v>
      </c>
      <c r="H1440" s="75" t="s">
        <v>10</v>
      </c>
    </row>
    <row r="1441" spans="1:8" x14ac:dyDescent="0.25">
      <c r="A1441" s="148">
        <v>44756</v>
      </c>
      <c r="B1441" s="149" t="s">
        <v>22758</v>
      </c>
      <c r="C1441" s="153" t="s">
        <v>179</v>
      </c>
      <c r="D1441" s="154">
        <v>1532.3</v>
      </c>
      <c r="E1441" s="155">
        <v>44756</v>
      </c>
      <c r="F1441" s="154">
        <v>1532.3</v>
      </c>
      <c r="G1441" s="156">
        <f>Tabla18[[#This Row],[Importe]]-Tabla18[[#This Row],[Pagado]]</f>
        <v>0</v>
      </c>
      <c r="H1441" s="153" t="s">
        <v>10</v>
      </c>
    </row>
    <row r="1442" spans="1:8" x14ac:dyDescent="0.25">
      <c r="A1442" s="73">
        <v>44756</v>
      </c>
      <c r="B1442" s="74" t="s">
        <v>22759</v>
      </c>
      <c r="C1442" s="75" t="s">
        <v>87</v>
      </c>
      <c r="D1442" s="81">
        <v>2194.9</v>
      </c>
      <c r="E1442" s="151">
        <v>44756</v>
      </c>
      <c r="F1442" s="81">
        <v>2194.9</v>
      </c>
      <c r="G1442" s="156">
        <f>Tabla18[[#This Row],[Importe]]-Tabla18[[#This Row],[Pagado]]</f>
        <v>0</v>
      </c>
      <c r="H1442" s="75" t="s">
        <v>10</v>
      </c>
    </row>
    <row r="1443" spans="1:8" ht="31.5" x14ac:dyDescent="0.25">
      <c r="A1443" s="148">
        <v>44756</v>
      </c>
      <c r="B1443" s="149" t="s">
        <v>22760</v>
      </c>
      <c r="C1443" s="153" t="s">
        <v>99</v>
      </c>
      <c r="D1443" s="154">
        <v>7647.2</v>
      </c>
      <c r="E1443" s="150" t="s">
        <v>22761</v>
      </c>
      <c r="F1443" s="154">
        <f>4000+3647.2</f>
        <v>7647.2</v>
      </c>
      <c r="G1443" s="156">
        <f>Tabla18[[#This Row],[Importe]]-Tabla18[[#This Row],[Pagado]]</f>
        <v>0</v>
      </c>
      <c r="H1443" s="153" t="s">
        <v>10</v>
      </c>
    </row>
    <row r="1444" spans="1:8" x14ac:dyDescent="0.25">
      <c r="A1444" s="73">
        <v>44756</v>
      </c>
      <c r="B1444" s="74" t="s">
        <v>22762</v>
      </c>
      <c r="C1444" s="75" t="s">
        <v>89</v>
      </c>
      <c r="D1444" s="81">
        <v>9215.7999999999993</v>
      </c>
      <c r="E1444" s="151">
        <v>44757</v>
      </c>
      <c r="F1444" s="81">
        <v>9215.7999999999993</v>
      </c>
      <c r="G1444" s="156">
        <f>Tabla18[[#This Row],[Importe]]-Tabla18[[#This Row],[Pagado]]</f>
        <v>0</v>
      </c>
      <c r="H1444" s="75" t="s">
        <v>10</v>
      </c>
    </row>
    <row r="1445" spans="1:8" x14ac:dyDescent="0.25">
      <c r="A1445" s="148">
        <v>44756</v>
      </c>
      <c r="B1445" s="149" t="s">
        <v>22763</v>
      </c>
      <c r="C1445" s="153" t="s">
        <v>64</v>
      </c>
      <c r="D1445" s="154">
        <v>4582.3999999999996</v>
      </c>
      <c r="E1445" s="155">
        <v>44757</v>
      </c>
      <c r="F1445" s="154">
        <v>4582.3999999999996</v>
      </c>
      <c r="G1445" s="156">
        <f>Tabla18[[#This Row],[Importe]]-Tabla18[[#This Row],[Pagado]]</f>
        <v>0</v>
      </c>
      <c r="H1445" s="153" t="s">
        <v>10</v>
      </c>
    </row>
    <row r="1446" spans="1:8" x14ac:dyDescent="0.25">
      <c r="A1446" s="73">
        <v>44756</v>
      </c>
      <c r="B1446" s="74" t="s">
        <v>22764</v>
      </c>
      <c r="C1446" s="75" t="s">
        <v>111</v>
      </c>
      <c r="D1446" s="81">
        <v>5009.6000000000004</v>
      </c>
      <c r="E1446" s="151">
        <v>44757</v>
      </c>
      <c r="F1446" s="81">
        <v>5009.6000000000004</v>
      </c>
      <c r="G1446" s="156">
        <f>Tabla18[[#This Row],[Importe]]-Tabla18[[#This Row],[Pagado]]</f>
        <v>0</v>
      </c>
      <c r="H1446" s="75" t="s">
        <v>10</v>
      </c>
    </row>
    <row r="1447" spans="1:8" x14ac:dyDescent="0.25">
      <c r="A1447" s="148">
        <v>44756</v>
      </c>
      <c r="B1447" s="149" t="s">
        <v>22765</v>
      </c>
      <c r="C1447" s="153" t="s">
        <v>348</v>
      </c>
      <c r="D1447" s="154">
        <v>1244.9000000000001</v>
      </c>
      <c r="E1447" s="155">
        <v>44756</v>
      </c>
      <c r="F1447" s="154">
        <v>1244.9000000000001</v>
      </c>
      <c r="G1447" s="156">
        <f>Tabla18[[#This Row],[Importe]]-Tabla18[[#This Row],[Pagado]]</f>
        <v>0</v>
      </c>
      <c r="H1447" s="153" t="s">
        <v>10</v>
      </c>
    </row>
    <row r="1448" spans="1:8" x14ac:dyDescent="0.25">
      <c r="A1448" s="73">
        <v>44756</v>
      </c>
      <c r="B1448" s="74" t="s">
        <v>22766</v>
      </c>
      <c r="C1448" s="75" t="s">
        <v>105</v>
      </c>
      <c r="D1448" s="81">
        <v>4997.2</v>
      </c>
      <c r="E1448" s="151">
        <v>44757</v>
      </c>
      <c r="F1448" s="81">
        <v>4997.2</v>
      </c>
      <c r="G1448" s="156">
        <f>Tabla18[[#This Row],[Importe]]-Tabla18[[#This Row],[Pagado]]</f>
        <v>0</v>
      </c>
      <c r="H1448" s="75" t="s">
        <v>10</v>
      </c>
    </row>
    <row r="1449" spans="1:8" x14ac:dyDescent="0.25">
      <c r="A1449" s="148">
        <v>44756</v>
      </c>
      <c r="B1449" s="149" t="s">
        <v>22767</v>
      </c>
      <c r="C1449" s="153" t="s">
        <v>326</v>
      </c>
      <c r="D1449" s="154">
        <v>5395.2</v>
      </c>
      <c r="E1449" s="155">
        <v>44757</v>
      </c>
      <c r="F1449" s="154">
        <v>5395.2</v>
      </c>
      <c r="G1449" s="156">
        <f>Tabla18[[#This Row],[Importe]]-Tabla18[[#This Row],[Pagado]]</f>
        <v>0</v>
      </c>
      <c r="H1449" s="153" t="s">
        <v>10</v>
      </c>
    </row>
    <row r="1450" spans="1:8" x14ac:dyDescent="0.25">
      <c r="A1450" s="73">
        <v>44756</v>
      </c>
      <c r="B1450" s="74" t="s">
        <v>22768</v>
      </c>
      <c r="C1450" s="75" t="s">
        <v>60</v>
      </c>
      <c r="D1450" s="81">
        <v>5164.8</v>
      </c>
      <c r="E1450" s="151">
        <v>44760</v>
      </c>
      <c r="F1450" s="81">
        <v>5164.8</v>
      </c>
      <c r="G1450" s="156">
        <f>Tabla18[[#This Row],[Importe]]-Tabla18[[#This Row],[Pagado]]</f>
        <v>0</v>
      </c>
      <c r="H1450" s="75" t="s">
        <v>10</v>
      </c>
    </row>
    <row r="1451" spans="1:8" x14ac:dyDescent="0.25">
      <c r="A1451" s="148">
        <v>44756</v>
      </c>
      <c r="B1451" s="149" t="s">
        <v>22769</v>
      </c>
      <c r="C1451" s="153" t="s">
        <v>97</v>
      </c>
      <c r="D1451" s="154">
        <v>4569.6000000000004</v>
      </c>
      <c r="E1451" s="155">
        <v>44757</v>
      </c>
      <c r="F1451" s="154">
        <v>4569.6000000000004</v>
      </c>
      <c r="G1451" s="156">
        <f>Tabla18[[#This Row],[Importe]]-Tabla18[[#This Row],[Pagado]]</f>
        <v>0</v>
      </c>
      <c r="H1451" s="153" t="s">
        <v>10</v>
      </c>
    </row>
    <row r="1452" spans="1:8" x14ac:dyDescent="0.25">
      <c r="A1452" s="73">
        <v>44756</v>
      </c>
      <c r="B1452" s="74" t="s">
        <v>22770</v>
      </c>
      <c r="C1452" s="75" t="s">
        <v>2151</v>
      </c>
      <c r="D1452" s="81">
        <v>17287.599999999999</v>
      </c>
      <c r="E1452" s="151">
        <v>44756</v>
      </c>
      <c r="F1452" s="81">
        <v>17287.599999999999</v>
      </c>
      <c r="G1452" s="156">
        <f>Tabla18[[#This Row],[Importe]]-Tabla18[[#This Row],[Pagado]]</f>
        <v>0</v>
      </c>
      <c r="H1452" s="75" t="s">
        <v>10</v>
      </c>
    </row>
    <row r="1453" spans="1:8" x14ac:dyDescent="0.25">
      <c r="A1453" s="148">
        <v>44756</v>
      </c>
      <c r="B1453" s="149" t="s">
        <v>22771</v>
      </c>
      <c r="C1453" s="153" t="s">
        <v>93</v>
      </c>
      <c r="D1453" s="154">
        <v>5208</v>
      </c>
      <c r="E1453" s="155">
        <v>44757</v>
      </c>
      <c r="F1453" s="154">
        <v>5208</v>
      </c>
      <c r="G1453" s="156">
        <f>Tabla18[[#This Row],[Importe]]-Tabla18[[#This Row],[Pagado]]</f>
        <v>0</v>
      </c>
      <c r="H1453" s="153" t="s">
        <v>10</v>
      </c>
    </row>
    <row r="1454" spans="1:8" x14ac:dyDescent="0.25">
      <c r="A1454" s="73">
        <v>44756</v>
      </c>
      <c r="B1454" s="74" t="s">
        <v>22772</v>
      </c>
      <c r="C1454" s="75" t="s">
        <v>5043</v>
      </c>
      <c r="D1454" s="81">
        <v>4716.8</v>
      </c>
      <c r="E1454" s="151">
        <v>44758</v>
      </c>
      <c r="F1454" s="81">
        <v>4716.8</v>
      </c>
      <c r="G1454" s="156">
        <f>Tabla18[[#This Row],[Importe]]-Tabla18[[#This Row],[Pagado]]</f>
        <v>0</v>
      </c>
      <c r="H1454" s="75" t="s">
        <v>10</v>
      </c>
    </row>
    <row r="1455" spans="1:8" x14ac:dyDescent="0.25">
      <c r="A1455" s="148">
        <v>44756</v>
      </c>
      <c r="B1455" s="149" t="s">
        <v>22773</v>
      </c>
      <c r="C1455" s="153" t="s">
        <v>9</v>
      </c>
      <c r="D1455" s="154">
        <v>9951.2000000000007</v>
      </c>
      <c r="E1455" s="155">
        <v>44756</v>
      </c>
      <c r="F1455" s="154">
        <v>9951.2000000000007</v>
      </c>
      <c r="G1455" s="156">
        <f>Tabla18[[#This Row],[Importe]]-Tabla18[[#This Row],[Pagado]]</f>
        <v>0</v>
      </c>
      <c r="H1455" s="153" t="s">
        <v>10</v>
      </c>
    </row>
    <row r="1456" spans="1:8" x14ac:dyDescent="0.25">
      <c r="A1456" s="73">
        <v>44756</v>
      </c>
      <c r="B1456" s="74" t="s">
        <v>22774</v>
      </c>
      <c r="C1456" s="75" t="s">
        <v>1187</v>
      </c>
      <c r="D1456" s="81">
        <v>2652</v>
      </c>
      <c r="E1456" s="151">
        <v>44756</v>
      </c>
      <c r="F1456" s="81">
        <v>2652</v>
      </c>
      <c r="G1456" s="156">
        <f>Tabla18[[#This Row],[Importe]]-Tabla18[[#This Row],[Pagado]]</f>
        <v>0</v>
      </c>
      <c r="H1456" s="75" t="s">
        <v>10</v>
      </c>
    </row>
    <row r="1457" spans="1:8" x14ac:dyDescent="0.25">
      <c r="A1457" s="148">
        <v>44756</v>
      </c>
      <c r="B1457" s="149" t="s">
        <v>22775</v>
      </c>
      <c r="C1457" s="153" t="s">
        <v>95</v>
      </c>
      <c r="D1457" s="154">
        <v>29068.2</v>
      </c>
      <c r="E1457" s="155">
        <v>44756</v>
      </c>
      <c r="F1457" s="154">
        <v>29068.2</v>
      </c>
      <c r="G1457" s="156">
        <f>Tabla18[[#This Row],[Importe]]-Tabla18[[#This Row],[Pagado]]</f>
        <v>0</v>
      </c>
      <c r="H1457" s="153" t="s">
        <v>10</v>
      </c>
    </row>
    <row r="1458" spans="1:8" x14ac:dyDescent="0.25">
      <c r="A1458" s="73">
        <v>44756</v>
      </c>
      <c r="B1458" s="74" t="s">
        <v>22776</v>
      </c>
      <c r="C1458" s="75" t="s">
        <v>79</v>
      </c>
      <c r="D1458" s="81">
        <v>21202</v>
      </c>
      <c r="E1458" s="151">
        <v>44756</v>
      </c>
      <c r="F1458" s="81">
        <v>21202</v>
      </c>
      <c r="G1458" s="156">
        <f>Tabla18[[#This Row],[Importe]]-Tabla18[[#This Row],[Pagado]]</f>
        <v>0</v>
      </c>
      <c r="H1458" s="75" t="s">
        <v>10</v>
      </c>
    </row>
    <row r="1459" spans="1:8" x14ac:dyDescent="0.25">
      <c r="A1459" s="148">
        <v>44756</v>
      </c>
      <c r="B1459" s="149" t="s">
        <v>22777</v>
      </c>
      <c r="C1459" s="153" t="s">
        <v>31</v>
      </c>
      <c r="D1459" s="154">
        <v>630</v>
      </c>
      <c r="E1459" s="155">
        <v>44756</v>
      </c>
      <c r="F1459" s="154">
        <v>630</v>
      </c>
      <c r="G1459" s="156">
        <f>Tabla18[[#This Row],[Importe]]-Tabla18[[#This Row],[Pagado]]</f>
        <v>0</v>
      </c>
      <c r="H1459" s="153" t="s">
        <v>10</v>
      </c>
    </row>
    <row r="1460" spans="1:8" x14ac:dyDescent="0.25">
      <c r="A1460" s="73">
        <v>44756</v>
      </c>
      <c r="B1460" s="74" t="s">
        <v>22778</v>
      </c>
      <c r="C1460" s="75" t="s">
        <v>1239</v>
      </c>
      <c r="D1460" s="81">
        <v>13445.6</v>
      </c>
      <c r="E1460" s="151">
        <v>44756</v>
      </c>
      <c r="F1460" s="81">
        <v>13445.6</v>
      </c>
      <c r="G1460" s="156">
        <f>Tabla18[[#This Row],[Importe]]-Tabla18[[#This Row],[Pagado]]</f>
        <v>0</v>
      </c>
      <c r="H1460" s="75" t="s">
        <v>10</v>
      </c>
    </row>
    <row r="1461" spans="1:8" x14ac:dyDescent="0.25">
      <c r="A1461" s="148">
        <v>44756</v>
      </c>
      <c r="B1461" s="149" t="s">
        <v>22779</v>
      </c>
      <c r="C1461" s="153" t="s">
        <v>198</v>
      </c>
      <c r="D1461" s="154">
        <v>5312.5</v>
      </c>
      <c r="E1461" s="155">
        <v>44756</v>
      </c>
      <c r="F1461" s="154">
        <v>5312.5</v>
      </c>
      <c r="G1461" s="156">
        <f>Tabla18[[#This Row],[Importe]]-Tabla18[[#This Row],[Pagado]]</f>
        <v>0</v>
      </c>
      <c r="H1461" s="153" t="s">
        <v>10</v>
      </c>
    </row>
    <row r="1462" spans="1:8" x14ac:dyDescent="0.25">
      <c r="A1462" s="73">
        <v>44756</v>
      </c>
      <c r="B1462" s="74" t="s">
        <v>22780</v>
      </c>
      <c r="C1462" s="75" t="s">
        <v>11033</v>
      </c>
      <c r="D1462" s="81">
        <v>2271.5</v>
      </c>
      <c r="E1462" s="151">
        <v>44756</v>
      </c>
      <c r="F1462" s="81">
        <v>2271.5</v>
      </c>
      <c r="G1462" s="156">
        <f>Tabla18[[#This Row],[Importe]]-Tabla18[[#This Row],[Pagado]]</f>
        <v>0</v>
      </c>
      <c r="H1462" s="75" t="s">
        <v>10</v>
      </c>
    </row>
    <row r="1463" spans="1:8" ht="31.5" x14ac:dyDescent="0.25">
      <c r="A1463" s="148">
        <v>44756</v>
      </c>
      <c r="B1463" s="149" t="s">
        <v>22781</v>
      </c>
      <c r="C1463" s="153" t="s">
        <v>22</v>
      </c>
      <c r="D1463" s="154">
        <v>56794</v>
      </c>
      <c r="E1463" s="150" t="s">
        <v>22761</v>
      </c>
      <c r="F1463" s="154">
        <f>49000+7794</f>
        <v>56794</v>
      </c>
      <c r="G1463" s="156">
        <f>Tabla18[[#This Row],[Importe]]-Tabla18[[#This Row],[Pagado]]</f>
        <v>0</v>
      </c>
      <c r="H1463" s="153" t="s">
        <v>10</v>
      </c>
    </row>
    <row r="1464" spans="1:8" x14ac:dyDescent="0.25">
      <c r="A1464" s="73">
        <v>44756</v>
      </c>
      <c r="B1464" s="74" t="s">
        <v>22782</v>
      </c>
      <c r="C1464" s="75" t="s">
        <v>22783</v>
      </c>
      <c r="D1464" s="81">
        <v>2981</v>
      </c>
      <c r="E1464" s="151">
        <v>44756</v>
      </c>
      <c r="F1464" s="81">
        <v>2981</v>
      </c>
      <c r="G1464" s="156">
        <f>Tabla18[[#This Row],[Importe]]-Tabla18[[#This Row],[Pagado]]</f>
        <v>0</v>
      </c>
      <c r="H1464" s="75" t="s">
        <v>10</v>
      </c>
    </row>
    <row r="1465" spans="1:8" x14ac:dyDescent="0.25">
      <c r="A1465" s="148">
        <v>44756</v>
      </c>
      <c r="B1465" s="149" t="s">
        <v>22784</v>
      </c>
      <c r="C1465" s="153" t="s">
        <v>214</v>
      </c>
      <c r="D1465" s="154">
        <v>5304</v>
      </c>
      <c r="E1465" s="155">
        <v>44756</v>
      </c>
      <c r="F1465" s="154">
        <v>5304</v>
      </c>
      <c r="G1465" s="156">
        <f>Tabla18[[#This Row],[Importe]]-Tabla18[[#This Row],[Pagado]]</f>
        <v>0</v>
      </c>
      <c r="H1465" s="153" t="s">
        <v>10</v>
      </c>
    </row>
    <row r="1466" spans="1:8" x14ac:dyDescent="0.25">
      <c r="A1466" s="73">
        <v>44756</v>
      </c>
      <c r="B1466" s="74" t="s">
        <v>22785</v>
      </c>
      <c r="C1466" s="75" t="s">
        <v>22786</v>
      </c>
      <c r="D1466" s="81">
        <v>0</v>
      </c>
      <c r="E1466" s="157" t="s">
        <v>189</v>
      </c>
      <c r="F1466" s="81">
        <v>0</v>
      </c>
      <c r="G1466" s="156">
        <f>Tabla18[[#This Row],[Importe]]-Tabla18[[#This Row],[Pagado]]</f>
        <v>0</v>
      </c>
      <c r="H1466" s="161" t="s">
        <v>22787</v>
      </c>
    </row>
    <row r="1467" spans="1:8" x14ac:dyDescent="0.25">
      <c r="A1467" s="148">
        <v>44756</v>
      </c>
      <c r="B1467" s="149" t="s">
        <v>22788</v>
      </c>
      <c r="C1467" s="153" t="s">
        <v>142</v>
      </c>
      <c r="D1467" s="154">
        <v>65012.85</v>
      </c>
      <c r="E1467" s="155">
        <v>44799</v>
      </c>
      <c r="F1467" s="154">
        <v>65012.85</v>
      </c>
      <c r="G1467" s="156">
        <f>Tabla18[[#This Row],[Importe]]-Tabla18[[#This Row],[Pagado]]</f>
        <v>0</v>
      </c>
      <c r="H1467" s="153" t="s">
        <v>10</v>
      </c>
    </row>
    <row r="1468" spans="1:8" x14ac:dyDescent="0.25">
      <c r="A1468" s="73">
        <v>44756</v>
      </c>
      <c r="B1468" s="74" t="s">
        <v>22789</v>
      </c>
      <c r="C1468" s="75" t="s">
        <v>107</v>
      </c>
      <c r="D1468" s="81">
        <v>11257.6</v>
      </c>
      <c r="E1468" s="151">
        <v>44756</v>
      </c>
      <c r="F1468" s="81">
        <v>11257.6</v>
      </c>
      <c r="G1468" s="156">
        <f>Tabla18[[#This Row],[Importe]]-Tabla18[[#This Row],[Pagado]]</f>
        <v>0</v>
      </c>
      <c r="H1468" s="75" t="s">
        <v>10</v>
      </c>
    </row>
    <row r="1469" spans="1:8" x14ac:dyDescent="0.25">
      <c r="A1469" s="148">
        <v>44756</v>
      </c>
      <c r="B1469" s="149" t="s">
        <v>22790</v>
      </c>
      <c r="C1469" s="153" t="s">
        <v>339</v>
      </c>
      <c r="D1469" s="154">
        <v>640</v>
      </c>
      <c r="E1469" s="155">
        <v>44756</v>
      </c>
      <c r="F1469" s="154">
        <v>640</v>
      </c>
      <c r="G1469" s="156">
        <f>Tabla18[[#This Row],[Importe]]-Tabla18[[#This Row],[Pagado]]</f>
        <v>0</v>
      </c>
      <c r="H1469" s="153" t="s">
        <v>10</v>
      </c>
    </row>
    <row r="1470" spans="1:8" x14ac:dyDescent="0.25">
      <c r="A1470" s="73">
        <v>44756</v>
      </c>
      <c r="B1470" s="74" t="s">
        <v>22791</v>
      </c>
      <c r="C1470" s="75" t="s">
        <v>357</v>
      </c>
      <c r="D1470" s="81">
        <v>1320</v>
      </c>
      <c r="E1470" s="151">
        <v>44756</v>
      </c>
      <c r="F1470" s="81">
        <v>1320</v>
      </c>
      <c r="G1470" s="156">
        <f>Tabla18[[#This Row],[Importe]]-Tabla18[[#This Row],[Pagado]]</f>
        <v>0</v>
      </c>
      <c r="H1470" s="75" t="s">
        <v>10</v>
      </c>
    </row>
    <row r="1471" spans="1:8" x14ac:dyDescent="0.25">
      <c r="A1471" s="148">
        <v>44756</v>
      </c>
      <c r="B1471" s="149" t="s">
        <v>22792</v>
      </c>
      <c r="C1471" s="153" t="s">
        <v>140</v>
      </c>
      <c r="D1471" s="154">
        <v>1160</v>
      </c>
      <c r="E1471" s="155">
        <v>44756</v>
      </c>
      <c r="F1471" s="154">
        <v>1160</v>
      </c>
      <c r="G1471" s="156">
        <f>Tabla18[[#This Row],[Importe]]-Tabla18[[#This Row],[Pagado]]</f>
        <v>0</v>
      </c>
      <c r="H1471" s="153" t="s">
        <v>10</v>
      </c>
    </row>
    <row r="1472" spans="1:8" x14ac:dyDescent="0.25">
      <c r="A1472" s="73">
        <v>44756</v>
      </c>
      <c r="B1472" s="74" t="s">
        <v>22793</v>
      </c>
      <c r="C1472" s="75" t="s">
        <v>129</v>
      </c>
      <c r="D1472" s="81">
        <v>1471.8</v>
      </c>
      <c r="E1472" s="151">
        <v>44756</v>
      </c>
      <c r="F1472" s="81">
        <v>1471.8</v>
      </c>
      <c r="G1472" s="156">
        <f>Tabla18[[#This Row],[Importe]]-Tabla18[[#This Row],[Pagado]]</f>
        <v>0</v>
      </c>
      <c r="H1472" s="75" t="s">
        <v>10</v>
      </c>
    </row>
    <row r="1473" spans="1:8" x14ac:dyDescent="0.25">
      <c r="A1473" s="148">
        <v>44756</v>
      </c>
      <c r="B1473" s="149" t="s">
        <v>22794</v>
      </c>
      <c r="C1473" s="153" t="s">
        <v>127</v>
      </c>
      <c r="D1473" s="154">
        <v>4282.5</v>
      </c>
      <c r="E1473" s="155">
        <v>44756</v>
      </c>
      <c r="F1473" s="154">
        <v>4282.5</v>
      </c>
      <c r="G1473" s="156">
        <f>Tabla18[[#This Row],[Importe]]-Tabla18[[#This Row],[Pagado]]</f>
        <v>0</v>
      </c>
      <c r="H1473" s="153" t="s">
        <v>10</v>
      </c>
    </row>
    <row r="1474" spans="1:8" ht="47.25" x14ac:dyDescent="0.25">
      <c r="A1474" s="73">
        <v>44756</v>
      </c>
      <c r="B1474" s="74" t="s">
        <v>22795</v>
      </c>
      <c r="C1474" s="75" t="s">
        <v>91</v>
      </c>
      <c r="D1474" s="81">
        <v>5382.3</v>
      </c>
      <c r="E1474" s="147" t="s">
        <v>22796</v>
      </c>
      <c r="F1474" s="81">
        <f>1212.2+4060+110.1</f>
        <v>5382.3</v>
      </c>
      <c r="G1474" s="156">
        <f>Tabla18[[#This Row],[Importe]]-Tabla18[[#This Row],[Pagado]]</f>
        <v>0</v>
      </c>
      <c r="H1474" s="75" t="s">
        <v>10</v>
      </c>
    </row>
    <row r="1475" spans="1:8" x14ac:dyDescent="0.25">
      <c r="A1475" s="148">
        <v>44756</v>
      </c>
      <c r="B1475" s="149" t="s">
        <v>22797</v>
      </c>
      <c r="C1475" s="153" t="s">
        <v>56</v>
      </c>
      <c r="D1475" s="154">
        <v>6520.6</v>
      </c>
      <c r="E1475" s="155">
        <v>44756</v>
      </c>
      <c r="F1475" s="154">
        <v>6520.6</v>
      </c>
      <c r="G1475" s="156">
        <f>Tabla18[[#This Row],[Importe]]-Tabla18[[#This Row],[Pagado]]</f>
        <v>0</v>
      </c>
      <c r="H1475" s="153" t="s">
        <v>10</v>
      </c>
    </row>
    <row r="1476" spans="1:8" x14ac:dyDescent="0.25">
      <c r="A1476" s="73">
        <v>44756</v>
      </c>
      <c r="B1476" s="74" t="s">
        <v>22798</v>
      </c>
      <c r="C1476" s="75" t="s">
        <v>647</v>
      </c>
      <c r="D1476" s="81">
        <v>3824.8</v>
      </c>
      <c r="E1476" s="151">
        <v>44756</v>
      </c>
      <c r="F1476" s="81">
        <v>3824.8</v>
      </c>
      <c r="G1476" s="156">
        <f>Tabla18[[#This Row],[Importe]]-Tabla18[[#This Row],[Pagado]]</f>
        <v>0</v>
      </c>
      <c r="H1476" s="75" t="s">
        <v>10</v>
      </c>
    </row>
    <row r="1477" spans="1:8" x14ac:dyDescent="0.25">
      <c r="A1477" s="148">
        <v>44756</v>
      </c>
      <c r="B1477" s="149" t="s">
        <v>22799</v>
      </c>
      <c r="C1477" s="153" t="s">
        <v>45</v>
      </c>
      <c r="D1477" s="154">
        <v>17479.099999999999</v>
      </c>
      <c r="E1477" s="155">
        <v>44756</v>
      </c>
      <c r="F1477" s="154">
        <v>17479.099999999999</v>
      </c>
      <c r="G1477" s="156">
        <f>Tabla18[[#This Row],[Importe]]-Tabla18[[#This Row],[Pagado]]</f>
        <v>0</v>
      </c>
      <c r="H1477" s="153" t="s">
        <v>10</v>
      </c>
    </row>
    <row r="1478" spans="1:8" x14ac:dyDescent="0.25">
      <c r="A1478" s="73">
        <v>44756</v>
      </c>
      <c r="B1478" s="74" t="s">
        <v>22800</v>
      </c>
      <c r="C1478" s="75" t="s">
        <v>670</v>
      </c>
      <c r="D1478" s="81">
        <v>1599.2</v>
      </c>
      <c r="E1478" s="151">
        <v>44756</v>
      </c>
      <c r="F1478" s="81">
        <v>1599.2</v>
      </c>
      <c r="G1478" s="156">
        <f>Tabla18[[#This Row],[Importe]]-Tabla18[[#This Row],[Pagado]]</f>
        <v>0</v>
      </c>
      <c r="H1478" s="75" t="s">
        <v>10</v>
      </c>
    </row>
    <row r="1479" spans="1:8" x14ac:dyDescent="0.25">
      <c r="A1479" s="148">
        <v>44756</v>
      </c>
      <c r="B1479" s="149" t="s">
        <v>22801</v>
      </c>
      <c r="C1479" s="153" t="s">
        <v>53</v>
      </c>
      <c r="D1479" s="154">
        <v>2152</v>
      </c>
      <c r="E1479" s="155">
        <v>44756</v>
      </c>
      <c r="F1479" s="154">
        <v>2152</v>
      </c>
      <c r="G1479" s="156">
        <f>Tabla18[[#This Row],[Importe]]-Tabla18[[#This Row],[Pagado]]</f>
        <v>0</v>
      </c>
      <c r="H1479" s="153" t="s">
        <v>10</v>
      </c>
    </row>
    <row r="1480" spans="1:8" x14ac:dyDescent="0.25">
      <c r="A1480" s="73">
        <v>44756</v>
      </c>
      <c r="B1480" s="74" t="s">
        <v>22802</v>
      </c>
      <c r="C1480" s="75" t="s">
        <v>196</v>
      </c>
      <c r="D1480" s="81">
        <v>132564.79999999999</v>
      </c>
      <c r="E1480" s="151">
        <v>44757</v>
      </c>
      <c r="F1480" s="81">
        <v>132564.79999999999</v>
      </c>
      <c r="G1480" s="156">
        <f>Tabla18[[#This Row],[Importe]]-Tabla18[[#This Row],[Pagado]]</f>
        <v>0</v>
      </c>
      <c r="H1480" s="75" t="s">
        <v>10</v>
      </c>
    </row>
    <row r="1481" spans="1:8" x14ac:dyDescent="0.25">
      <c r="A1481" s="148">
        <v>44756</v>
      </c>
      <c r="B1481" s="149" t="s">
        <v>22803</v>
      </c>
      <c r="C1481" s="153" t="s">
        <v>49</v>
      </c>
      <c r="D1481" s="154">
        <v>4055</v>
      </c>
      <c r="E1481" s="155">
        <v>44756</v>
      </c>
      <c r="F1481" s="154">
        <v>4055</v>
      </c>
      <c r="G1481" s="156">
        <f>Tabla18[[#This Row],[Importe]]-Tabla18[[#This Row],[Pagado]]</f>
        <v>0</v>
      </c>
      <c r="H1481" s="153" t="s">
        <v>10</v>
      </c>
    </row>
    <row r="1482" spans="1:8" x14ac:dyDescent="0.25">
      <c r="A1482" s="73">
        <v>44756</v>
      </c>
      <c r="B1482" s="74" t="s">
        <v>22804</v>
      </c>
      <c r="C1482" s="75" t="s">
        <v>29</v>
      </c>
      <c r="D1482" s="81">
        <v>4273.5</v>
      </c>
      <c r="E1482" s="151">
        <v>44756</v>
      </c>
      <c r="F1482" s="81">
        <v>4273.5</v>
      </c>
      <c r="G1482" s="156">
        <f>Tabla18[[#This Row],[Importe]]-Tabla18[[#This Row],[Pagado]]</f>
        <v>0</v>
      </c>
      <c r="H1482" s="75" t="s">
        <v>10</v>
      </c>
    </row>
    <row r="1483" spans="1:8" x14ac:dyDescent="0.25">
      <c r="A1483" s="148">
        <v>44756</v>
      </c>
      <c r="B1483" s="149" t="s">
        <v>22805</v>
      </c>
      <c r="C1483" s="153" t="s">
        <v>24</v>
      </c>
      <c r="D1483" s="154">
        <v>4219.2</v>
      </c>
      <c r="E1483" s="155">
        <v>44756</v>
      </c>
      <c r="F1483" s="154">
        <v>4219.2</v>
      </c>
      <c r="G1483" s="156">
        <f>Tabla18[[#This Row],[Importe]]-Tabla18[[#This Row],[Pagado]]</f>
        <v>0</v>
      </c>
      <c r="H1483" s="153" t="s">
        <v>10</v>
      </c>
    </row>
    <row r="1484" spans="1:8" x14ac:dyDescent="0.25">
      <c r="A1484" s="73">
        <v>44756</v>
      </c>
      <c r="B1484" s="74" t="s">
        <v>22806</v>
      </c>
      <c r="C1484" s="75" t="s">
        <v>214</v>
      </c>
      <c r="D1484" s="81">
        <v>1332.1</v>
      </c>
      <c r="E1484" s="151">
        <v>44756</v>
      </c>
      <c r="F1484" s="81">
        <v>1332.1</v>
      </c>
      <c r="G1484" s="156">
        <f>Tabla18[[#This Row],[Importe]]-Tabla18[[#This Row],[Pagado]]</f>
        <v>0</v>
      </c>
      <c r="H1484" s="75" t="s">
        <v>10</v>
      </c>
    </row>
    <row r="1485" spans="1:8" x14ac:dyDescent="0.25">
      <c r="A1485" s="148">
        <v>44756</v>
      </c>
      <c r="B1485" s="149" t="s">
        <v>22807</v>
      </c>
      <c r="C1485" s="153" t="s">
        <v>222</v>
      </c>
      <c r="D1485" s="154">
        <v>13585.6</v>
      </c>
      <c r="E1485" s="155">
        <v>44756</v>
      </c>
      <c r="F1485" s="154">
        <v>13585.6</v>
      </c>
      <c r="G1485" s="156">
        <f>Tabla18[[#This Row],[Importe]]-Tabla18[[#This Row],[Pagado]]</f>
        <v>0</v>
      </c>
      <c r="H1485" s="153" t="s">
        <v>10</v>
      </c>
    </row>
    <row r="1486" spans="1:8" x14ac:dyDescent="0.25">
      <c r="A1486" s="73">
        <v>44756</v>
      </c>
      <c r="B1486" s="74" t="s">
        <v>22808</v>
      </c>
      <c r="C1486" s="75" t="s">
        <v>222</v>
      </c>
      <c r="D1486" s="81">
        <v>600</v>
      </c>
      <c r="E1486" s="151">
        <v>44756</v>
      </c>
      <c r="F1486" s="81">
        <v>600</v>
      </c>
      <c r="G1486" s="156">
        <f>Tabla18[[#This Row],[Importe]]-Tabla18[[#This Row],[Pagado]]</f>
        <v>0</v>
      </c>
      <c r="H1486" s="75" t="s">
        <v>10</v>
      </c>
    </row>
    <row r="1487" spans="1:8" x14ac:dyDescent="0.25">
      <c r="A1487" s="148">
        <v>44756</v>
      </c>
      <c r="B1487" s="149" t="s">
        <v>22809</v>
      </c>
      <c r="C1487" s="153" t="s">
        <v>31</v>
      </c>
      <c r="D1487" s="154">
        <v>9760</v>
      </c>
      <c r="E1487" s="155">
        <v>44756</v>
      </c>
      <c r="F1487" s="154">
        <v>9760</v>
      </c>
      <c r="G1487" s="156">
        <f>Tabla18[[#This Row],[Importe]]-Tabla18[[#This Row],[Pagado]]</f>
        <v>0</v>
      </c>
      <c r="H1487" s="153" t="s">
        <v>10</v>
      </c>
    </row>
    <row r="1488" spans="1:8" x14ac:dyDescent="0.25">
      <c r="A1488" s="73">
        <v>44756</v>
      </c>
      <c r="B1488" s="74" t="s">
        <v>22810</v>
      </c>
      <c r="C1488" s="75" t="s">
        <v>9827</v>
      </c>
      <c r="D1488" s="81">
        <v>2179.1</v>
      </c>
      <c r="E1488" s="151">
        <v>44756</v>
      </c>
      <c r="F1488" s="81">
        <v>2179.1</v>
      </c>
      <c r="G1488" s="156">
        <f>Tabla18[[#This Row],[Importe]]-Tabla18[[#This Row],[Pagado]]</f>
        <v>0</v>
      </c>
      <c r="H1488" s="75" t="s">
        <v>10</v>
      </c>
    </row>
    <row r="1489" spans="1:8" x14ac:dyDescent="0.25">
      <c r="A1489" s="148">
        <v>44756</v>
      </c>
      <c r="B1489" s="149" t="s">
        <v>22811</v>
      </c>
      <c r="C1489" s="153" t="s">
        <v>31</v>
      </c>
      <c r="D1489" s="154">
        <v>716.1</v>
      </c>
      <c r="E1489" s="155">
        <v>44756</v>
      </c>
      <c r="F1489" s="154">
        <v>716.1</v>
      </c>
      <c r="G1489" s="156">
        <f>Tabla18[[#This Row],[Importe]]-Tabla18[[#This Row],[Pagado]]</f>
        <v>0</v>
      </c>
      <c r="H1489" s="153" t="s">
        <v>10</v>
      </c>
    </row>
    <row r="1490" spans="1:8" x14ac:dyDescent="0.25">
      <c r="A1490" s="73">
        <v>44756</v>
      </c>
      <c r="B1490" s="74" t="s">
        <v>22812</v>
      </c>
      <c r="C1490" s="75" t="s">
        <v>31</v>
      </c>
      <c r="D1490" s="81">
        <v>2361</v>
      </c>
      <c r="E1490" s="151">
        <v>44756</v>
      </c>
      <c r="F1490" s="81">
        <v>2361</v>
      </c>
      <c r="G1490" s="156">
        <f>Tabla18[[#This Row],[Importe]]-Tabla18[[#This Row],[Pagado]]</f>
        <v>0</v>
      </c>
      <c r="H1490" s="75" t="s">
        <v>10</v>
      </c>
    </row>
    <row r="1491" spans="1:8" x14ac:dyDescent="0.25">
      <c r="A1491" s="148">
        <v>44756</v>
      </c>
      <c r="B1491" s="149" t="s">
        <v>22813</v>
      </c>
      <c r="C1491" s="153" t="s">
        <v>371</v>
      </c>
      <c r="D1491" s="154">
        <v>5139.8</v>
      </c>
      <c r="E1491" s="155">
        <v>44757</v>
      </c>
      <c r="F1491" s="154">
        <v>5139.8</v>
      </c>
      <c r="G1491" s="156">
        <f>Tabla18[[#This Row],[Importe]]-Tabla18[[#This Row],[Pagado]]</f>
        <v>0</v>
      </c>
      <c r="H1491" s="153" t="s">
        <v>10</v>
      </c>
    </row>
    <row r="1492" spans="1:8" x14ac:dyDescent="0.25">
      <c r="A1492" s="73">
        <v>44756</v>
      </c>
      <c r="B1492" s="74" t="s">
        <v>22814</v>
      </c>
      <c r="C1492" s="75" t="s">
        <v>1505</v>
      </c>
      <c r="D1492" s="81">
        <v>5219.6000000000004</v>
      </c>
      <c r="E1492" s="151">
        <v>44756</v>
      </c>
      <c r="F1492" s="81">
        <v>5219.6000000000004</v>
      </c>
      <c r="G1492" s="156">
        <f>Tabla18[[#This Row],[Importe]]-Tabla18[[#This Row],[Pagado]]</f>
        <v>0</v>
      </c>
      <c r="H1492" s="75" t="s">
        <v>10</v>
      </c>
    </row>
    <row r="1493" spans="1:8" x14ac:dyDescent="0.25">
      <c r="A1493" s="148">
        <v>44756</v>
      </c>
      <c r="B1493" s="149" t="s">
        <v>22815</v>
      </c>
      <c r="C1493" s="153" t="s">
        <v>319</v>
      </c>
      <c r="D1493" s="154">
        <v>10754.5</v>
      </c>
      <c r="E1493" s="155">
        <v>44757</v>
      </c>
      <c r="F1493" s="154">
        <v>10754.5</v>
      </c>
      <c r="G1493" s="156">
        <f>Tabla18[[#This Row],[Importe]]-Tabla18[[#This Row],[Pagado]]</f>
        <v>0</v>
      </c>
      <c r="H1493" s="153" t="s">
        <v>10</v>
      </c>
    </row>
    <row r="1494" spans="1:8" x14ac:dyDescent="0.25">
      <c r="A1494" s="73">
        <v>44756</v>
      </c>
      <c r="B1494" s="74" t="s">
        <v>22816</v>
      </c>
      <c r="C1494" s="75" t="s">
        <v>151</v>
      </c>
      <c r="D1494" s="81">
        <v>25440</v>
      </c>
      <c r="E1494" s="151">
        <v>44757</v>
      </c>
      <c r="F1494" s="81">
        <v>25440</v>
      </c>
      <c r="G1494" s="156">
        <f>Tabla18[[#This Row],[Importe]]-Tabla18[[#This Row],[Pagado]]</f>
        <v>0</v>
      </c>
      <c r="H1494" s="75" t="s">
        <v>10</v>
      </c>
    </row>
    <row r="1495" spans="1:8" x14ac:dyDescent="0.25">
      <c r="A1495" s="148">
        <v>44756</v>
      </c>
      <c r="B1495" s="149" t="s">
        <v>22817</v>
      </c>
      <c r="C1495" s="153" t="s">
        <v>520</v>
      </c>
      <c r="D1495" s="154">
        <v>7337.6</v>
      </c>
      <c r="E1495" s="155">
        <v>44757</v>
      </c>
      <c r="F1495" s="154">
        <v>7337.6</v>
      </c>
      <c r="G1495" s="156">
        <f>Tabla18[[#This Row],[Importe]]-Tabla18[[#This Row],[Pagado]]</f>
        <v>0</v>
      </c>
      <c r="H1495" s="153" t="s">
        <v>10</v>
      </c>
    </row>
    <row r="1496" spans="1:8" x14ac:dyDescent="0.25">
      <c r="A1496" s="73">
        <v>44756</v>
      </c>
      <c r="B1496" s="74" t="s">
        <v>22818</v>
      </c>
      <c r="C1496" s="75" t="s">
        <v>966</v>
      </c>
      <c r="D1496" s="81">
        <v>682</v>
      </c>
      <c r="E1496" s="151">
        <v>44757</v>
      </c>
      <c r="F1496" s="81">
        <v>682</v>
      </c>
      <c r="G1496" s="156">
        <f>Tabla18[[#This Row],[Importe]]-Tabla18[[#This Row],[Pagado]]</f>
        <v>0</v>
      </c>
      <c r="H1496" s="75" t="s">
        <v>10</v>
      </c>
    </row>
    <row r="1497" spans="1:8" x14ac:dyDescent="0.25">
      <c r="A1497" s="148">
        <v>44756</v>
      </c>
      <c r="B1497" s="149" t="s">
        <v>22819</v>
      </c>
      <c r="C1497" s="153" t="s">
        <v>159</v>
      </c>
      <c r="D1497" s="154">
        <v>4918.5</v>
      </c>
      <c r="E1497" s="155">
        <v>44757</v>
      </c>
      <c r="F1497" s="154">
        <v>4918.5</v>
      </c>
      <c r="G1497" s="156">
        <f>Tabla18[[#This Row],[Importe]]-Tabla18[[#This Row],[Pagado]]</f>
        <v>0</v>
      </c>
      <c r="H1497" s="153" t="s">
        <v>10</v>
      </c>
    </row>
    <row r="1498" spans="1:8" x14ac:dyDescent="0.25">
      <c r="A1498" s="73">
        <v>44756</v>
      </c>
      <c r="B1498" s="74" t="s">
        <v>22820</v>
      </c>
      <c r="C1498" s="75" t="s">
        <v>157</v>
      </c>
      <c r="D1498" s="81">
        <v>7839.4</v>
      </c>
      <c r="E1498" s="151">
        <v>44757</v>
      </c>
      <c r="F1498" s="81">
        <v>7839.4</v>
      </c>
      <c r="G1498" s="156">
        <f>Tabla18[[#This Row],[Importe]]-Tabla18[[#This Row],[Pagado]]</f>
        <v>0</v>
      </c>
      <c r="H1498" s="75" t="s">
        <v>10</v>
      </c>
    </row>
    <row r="1499" spans="1:8" x14ac:dyDescent="0.25">
      <c r="A1499" s="148">
        <v>44756</v>
      </c>
      <c r="B1499" s="149" t="s">
        <v>22821</v>
      </c>
      <c r="C1499" s="153" t="s">
        <v>414</v>
      </c>
      <c r="D1499" s="154">
        <v>23485</v>
      </c>
      <c r="E1499" s="155">
        <v>44763</v>
      </c>
      <c r="F1499" s="154">
        <v>23485</v>
      </c>
      <c r="G1499" s="156">
        <f>Tabla18[[#This Row],[Importe]]-Tabla18[[#This Row],[Pagado]]</f>
        <v>0</v>
      </c>
      <c r="H1499" s="153" t="s">
        <v>10</v>
      </c>
    </row>
    <row r="1500" spans="1:8" x14ac:dyDescent="0.25">
      <c r="A1500" s="73">
        <v>44756</v>
      </c>
      <c r="B1500" s="74" t="s">
        <v>22822</v>
      </c>
      <c r="C1500" s="75" t="s">
        <v>3402</v>
      </c>
      <c r="D1500" s="81">
        <v>2191.1999999999998</v>
      </c>
      <c r="E1500" s="151">
        <v>44756</v>
      </c>
      <c r="F1500" s="81">
        <v>2191.1999999999998</v>
      </c>
      <c r="G1500" s="156">
        <f>Tabla18[[#This Row],[Importe]]-Tabla18[[#This Row],[Pagado]]</f>
        <v>0</v>
      </c>
      <c r="H1500" s="75" t="s">
        <v>10</v>
      </c>
    </row>
    <row r="1501" spans="1:8" x14ac:dyDescent="0.25">
      <c r="A1501" s="148">
        <v>44756</v>
      </c>
      <c r="B1501" s="149" t="s">
        <v>22823</v>
      </c>
      <c r="C1501" s="153" t="s">
        <v>419</v>
      </c>
      <c r="D1501" s="154">
        <v>8135.2</v>
      </c>
      <c r="E1501" s="155">
        <v>44756</v>
      </c>
      <c r="F1501" s="154">
        <v>8135.2</v>
      </c>
      <c r="G1501" s="156">
        <f>Tabla18[[#This Row],[Importe]]-Tabla18[[#This Row],[Pagado]]</f>
        <v>0</v>
      </c>
      <c r="H1501" s="153" t="s">
        <v>10</v>
      </c>
    </row>
    <row r="1502" spans="1:8" x14ac:dyDescent="0.25">
      <c r="A1502" s="73">
        <v>44756</v>
      </c>
      <c r="B1502" s="74" t="s">
        <v>22824</v>
      </c>
      <c r="C1502" s="75" t="s">
        <v>698</v>
      </c>
      <c r="D1502" s="81">
        <v>4717.5</v>
      </c>
      <c r="E1502" s="151">
        <v>44756</v>
      </c>
      <c r="F1502" s="81">
        <v>4717.5</v>
      </c>
      <c r="G1502" s="156">
        <f>Tabla18[[#This Row],[Importe]]-Tabla18[[#This Row],[Pagado]]</f>
        <v>0</v>
      </c>
      <c r="H1502" s="75" t="s">
        <v>10</v>
      </c>
    </row>
    <row r="1503" spans="1:8" x14ac:dyDescent="0.25">
      <c r="A1503" s="148">
        <v>44756</v>
      </c>
      <c r="B1503" s="149" t="s">
        <v>22825</v>
      </c>
      <c r="C1503" s="153" t="s">
        <v>1003</v>
      </c>
      <c r="D1503" s="154">
        <v>7709.9</v>
      </c>
      <c r="E1503" s="155">
        <v>44757</v>
      </c>
      <c r="F1503" s="154">
        <v>7709.9</v>
      </c>
      <c r="G1503" s="156">
        <f>Tabla18[[#This Row],[Importe]]-Tabla18[[#This Row],[Pagado]]</f>
        <v>0</v>
      </c>
      <c r="H1503" s="153" t="s">
        <v>10</v>
      </c>
    </row>
    <row r="1504" spans="1:8" x14ac:dyDescent="0.25">
      <c r="A1504" s="73">
        <v>44756</v>
      </c>
      <c r="B1504" s="74" t="s">
        <v>22826</v>
      </c>
      <c r="C1504" s="75" t="s">
        <v>58</v>
      </c>
      <c r="D1504" s="81">
        <v>2731.7</v>
      </c>
      <c r="E1504" s="151">
        <v>44756</v>
      </c>
      <c r="F1504" s="81">
        <v>2731.7</v>
      </c>
      <c r="G1504" s="156">
        <f>Tabla18[[#This Row],[Importe]]-Tabla18[[#This Row],[Pagado]]</f>
        <v>0</v>
      </c>
      <c r="H1504" s="75" t="s">
        <v>10</v>
      </c>
    </row>
    <row r="1505" spans="1:8" x14ac:dyDescent="0.25">
      <c r="A1505" s="148">
        <v>44756</v>
      </c>
      <c r="B1505" s="149" t="s">
        <v>22827</v>
      </c>
      <c r="C1505" s="153" t="s">
        <v>275</v>
      </c>
      <c r="D1505" s="154">
        <v>66856.92</v>
      </c>
      <c r="E1505" s="155">
        <v>44771</v>
      </c>
      <c r="F1505" s="154">
        <v>66856.92</v>
      </c>
      <c r="G1505" s="156">
        <f>Tabla18[[#This Row],[Importe]]-Tabla18[[#This Row],[Pagado]]</f>
        <v>0</v>
      </c>
      <c r="H1505" s="153" t="s">
        <v>10</v>
      </c>
    </row>
    <row r="1506" spans="1:8" x14ac:dyDescent="0.25">
      <c r="A1506" s="73">
        <v>44756</v>
      </c>
      <c r="B1506" s="74" t="s">
        <v>22828</v>
      </c>
      <c r="C1506" s="75" t="s">
        <v>181</v>
      </c>
      <c r="D1506" s="81">
        <v>8086.4</v>
      </c>
      <c r="E1506" s="151">
        <v>44757</v>
      </c>
      <c r="F1506" s="81">
        <v>8086.4</v>
      </c>
      <c r="G1506" s="156">
        <f>Tabla18[[#This Row],[Importe]]-Tabla18[[#This Row],[Pagado]]</f>
        <v>0</v>
      </c>
      <c r="H1506" s="75" t="s">
        <v>10</v>
      </c>
    </row>
    <row r="1507" spans="1:8" x14ac:dyDescent="0.25">
      <c r="A1507" s="148">
        <v>44756</v>
      </c>
      <c r="B1507" s="149" t="s">
        <v>22829</v>
      </c>
      <c r="C1507" s="153" t="s">
        <v>396</v>
      </c>
      <c r="D1507" s="154">
        <v>16221.24</v>
      </c>
      <c r="E1507" s="155">
        <v>44762</v>
      </c>
      <c r="F1507" s="154">
        <v>16221.24</v>
      </c>
      <c r="G1507" s="156">
        <f>Tabla18[[#This Row],[Importe]]-Tabla18[[#This Row],[Pagado]]</f>
        <v>0</v>
      </c>
      <c r="H1507" s="153" t="s">
        <v>10</v>
      </c>
    </row>
    <row r="1508" spans="1:8" x14ac:dyDescent="0.25">
      <c r="A1508" s="73">
        <v>44756</v>
      </c>
      <c r="B1508" s="74" t="s">
        <v>22830</v>
      </c>
      <c r="C1508" s="75" t="s">
        <v>843</v>
      </c>
      <c r="D1508" s="81">
        <v>40354.400000000001</v>
      </c>
      <c r="E1508" s="151">
        <v>44756</v>
      </c>
      <c r="F1508" s="81">
        <v>40354.400000000001</v>
      </c>
      <c r="G1508" s="156">
        <f>Tabla18[[#This Row],[Importe]]-Tabla18[[#This Row],[Pagado]]</f>
        <v>0</v>
      </c>
      <c r="H1508" s="75" t="s">
        <v>10</v>
      </c>
    </row>
    <row r="1509" spans="1:8" x14ac:dyDescent="0.25">
      <c r="A1509" s="148">
        <v>44756</v>
      </c>
      <c r="B1509" s="149" t="s">
        <v>22831</v>
      </c>
      <c r="C1509" s="153" t="s">
        <v>131</v>
      </c>
      <c r="D1509" s="154">
        <v>1260</v>
      </c>
      <c r="E1509" s="155">
        <v>44756</v>
      </c>
      <c r="F1509" s="154">
        <v>1260</v>
      </c>
      <c r="G1509" s="156">
        <f>Tabla18[[#This Row],[Importe]]-Tabla18[[#This Row],[Pagado]]</f>
        <v>0</v>
      </c>
      <c r="H1509" s="153" t="s">
        <v>10</v>
      </c>
    </row>
    <row r="1510" spans="1:8" x14ac:dyDescent="0.25">
      <c r="A1510" s="73">
        <v>44756</v>
      </c>
      <c r="B1510" s="74" t="s">
        <v>22832</v>
      </c>
      <c r="C1510" s="75" t="s">
        <v>31</v>
      </c>
      <c r="D1510" s="81">
        <v>1481</v>
      </c>
      <c r="E1510" s="151">
        <v>44756</v>
      </c>
      <c r="F1510" s="81">
        <v>1481</v>
      </c>
      <c r="G1510" s="156">
        <f>Tabla18[[#This Row],[Importe]]-Tabla18[[#This Row],[Pagado]]</f>
        <v>0</v>
      </c>
      <c r="H1510" s="75" t="s">
        <v>10</v>
      </c>
    </row>
    <row r="1511" spans="1:8" x14ac:dyDescent="0.25">
      <c r="A1511" s="148">
        <v>44756</v>
      </c>
      <c r="B1511" s="149" t="s">
        <v>22833</v>
      </c>
      <c r="C1511" s="153" t="s">
        <v>282</v>
      </c>
      <c r="D1511" s="154">
        <v>1486.1</v>
      </c>
      <c r="E1511" s="155">
        <v>44757</v>
      </c>
      <c r="F1511" s="154">
        <v>1486.1</v>
      </c>
      <c r="G1511" s="156">
        <f>Tabla18[[#This Row],[Importe]]-Tabla18[[#This Row],[Pagado]]</f>
        <v>0</v>
      </c>
      <c r="H1511" s="153" t="s">
        <v>10</v>
      </c>
    </row>
    <row r="1512" spans="1:8" x14ac:dyDescent="0.25">
      <c r="A1512" s="73">
        <v>44756</v>
      </c>
      <c r="B1512" s="74" t="s">
        <v>22834</v>
      </c>
      <c r="C1512" s="75" t="s">
        <v>280</v>
      </c>
      <c r="D1512" s="81">
        <v>708.4</v>
      </c>
      <c r="E1512" s="151">
        <v>44757</v>
      </c>
      <c r="F1512" s="81">
        <v>708.4</v>
      </c>
      <c r="G1512" s="156">
        <f>Tabla18[[#This Row],[Importe]]-Tabla18[[#This Row],[Pagado]]</f>
        <v>0</v>
      </c>
      <c r="H1512" s="75" t="s">
        <v>10</v>
      </c>
    </row>
    <row r="1513" spans="1:8" x14ac:dyDescent="0.25">
      <c r="A1513" s="148">
        <v>44756</v>
      </c>
      <c r="B1513" s="149" t="s">
        <v>22835</v>
      </c>
      <c r="C1513" s="153" t="s">
        <v>396</v>
      </c>
      <c r="D1513" s="154">
        <v>1624</v>
      </c>
      <c r="E1513" s="155">
        <v>44762</v>
      </c>
      <c r="F1513" s="154">
        <v>1624</v>
      </c>
      <c r="G1513" s="156">
        <f>Tabla18[[#This Row],[Importe]]-Tabla18[[#This Row],[Pagado]]</f>
        <v>0</v>
      </c>
      <c r="H1513" s="153" t="s">
        <v>10</v>
      </c>
    </row>
    <row r="1514" spans="1:8" x14ac:dyDescent="0.25">
      <c r="A1514" s="73">
        <v>44756</v>
      </c>
      <c r="B1514" s="74" t="s">
        <v>22836</v>
      </c>
      <c r="C1514" s="75" t="s">
        <v>284</v>
      </c>
      <c r="D1514" s="81">
        <v>9709.7000000000007</v>
      </c>
      <c r="E1514" s="151">
        <v>44757</v>
      </c>
      <c r="F1514" s="81">
        <v>9709.7000000000007</v>
      </c>
      <c r="G1514" s="156">
        <f>Tabla18[[#This Row],[Importe]]-Tabla18[[#This Row],[Pagado]]</f>
        <v>0</v>
      </c>
      <c r="H1514" s="75" t="s">
        <v>10</v>
      </c>
    </row>
    <row r="1515" spans="1:8" x14ac:dyDescent="0.25">
      <c r="A1515" s="148">
        <v>44756</v>
      </c>
      <c r="B1515" s="149" t="s">
        <v>22837</v>
      </c>
      <c r="C1515" s="153" t="s">
        <v>19637</v>
      </c>
      <c r="D1515" s="154">
        <v>1845</v>
      </c>
      <c r="E1515" s="155">
        <v>44769</v>
      </c>
      <c r="F1515" s="154">
        <v>1845</v>
      </c>
      <c r="G1515" s="156">
        <f>Tabla18[[#This Row],[Importe]]-Tabla18[[#This Row],[Pagado]]</f>
        <v>0</v>
      </c>
      <c r="H1515" s="153" t="s">
        <v>10</v>
      </c>
    </row>
    <row r="1516" spans="1:8" x14ac:dyDescent="0.25">
      <c r="A1516" s="73">
        <v>44756</v>
      </c>
      <c r="B1516" s="74" t="s">
        <v>22838</v>
      </c>
      <c r="C1516" s="75" t="s">
        <v>400</v>
      </c>
      <c r="D1516" s="81">
        <v>8885.18</v>
      </c>
      <c r="E1516" s="151">
        <v>44762</v>
      </c>
      <c r="F1516" s="81">
        <v>8885.18</v>
      </c>
      <c r="G1516" s="156">
        <f>Tabla18[[#This Row],[Importe]]-Tabla18[[#This Row],[Pagado]]</f>
        <v>0</v>
      </c>
      <c r="H1516" s="75" t="s">
        <v>10</v>
      </c>
    </row>
    <row r="1517" spans="1:8" x14ac:dyDescent="0.25">
      <c r="A1517" s="148">
        <v>44756</v>
      </c>
      <c r="B1517" s="149" t="s">
        <v>22839</v>
      </c>
      <c r="C1517" s="153" t="s">
        <v>359</v>
      </c>
      <c r="D1517" s="154">
        <v>1038.9000000000001</v>
      </c>
      <c r="E1517" s="155">
        <v>44757</v>
      </c>
      <c r="F1517" s="154">
        <v>1038.9000000000001</v>
      </c>
      <c r="G1517" s="156">
        <f>Tabla18[[#This Row],[Importe]]-Tabla18[[#This Row],[Pagado]]</f>
        <v>0</v>
      </c>
      <c r="H1517" s="153" t="s">
        <v>10</v>
      </c>
    </row>
    <row r="1518" spans="1:8" x14ac:dyDescent="0.25">
      <c r="A1518" s="73">
        <v>44756</v>
      </c>
      <c r="B1518" s="74" t="s">
        <v>22840</v>
      </c>
      <c r="C1518" s="75" t="s">
        <v>857</v>
      </c>
      <c r="D1518" s="81">
        <v>404</v>
      </c>
      <c r="E1518" s="151">
        <v>44756</v>
      </c>
      <c r="F1518" s="81">
        <v>404</v>
      </c>
      <c r="G1518" s="156">
        <f>Tabla18[[#This Row],[Importe]]-Tabla18[[#This Row],[Pagado]]</f>
        <v>0</v>
      </c>
      <c r="H1518" s="75" t="s">
        <v>10</v>
      </c>
    </row>
    <row r="1519" spans="1:8" x14ac:dyDescent="0.25">
      <c r="A1519" s="148">
        <v>44756</v>
      </c>
      <c r="B1519" s="149" t="s">
        <v>22841</v>
      </c>
      <c r="C1519" s="153" t="s">
        <v>1265</v>
      </c>
      <c r="D1519" s="154">
        <v>1248</v>
      </c>
      <c r="E1519" s="155">
        <v>44756</v>
      </c>
      <c r="F1519" s="154">
        <v>1248</v>
      </c>
      <c r="G1519" s="156">
        <f>Tabla18[[#This Row],[Importe]]-Tabla18[[#This Row],[Pagado]]</f>
        <v>0</v>
      </c>
      <c r="H1519" s="153" t="s">
        <v>10</v>
      </c>
    </row>
    <row r="1520" spans="1:8" x14ac:dyDescent="0.25">
      <c r="A1520" s="73">
        <v>44756</v>
      </c>
      <c r="B1520" s="74" t="s">
        <v>22842</v>
      </c>
      <c r="C1520" s="75" t="s">
        <v>1676</v>
      </c>
      <c r="D1520" s="81">
        <v>2156</v>
      </c>
      <c r="E1520" s="151">
        <v>44756</v>
      </c>
      <c r="F1520" s="81">
        <v>2156</v>
      </c>
      <c r="G1520" s="156">
        <f>Tabla18[[#This Row],[Importe]]-Tabla18[[#This Row],[Pagado]]</f>
        <v>0</v>
      </c>
      <c r="H1520" s="75" t="s">
        <v>10</v>
      </c>
    </row>
    <row r="1521" spans="1:8" x14ac:dyDescent="0.25">
      <c r="A1521" s="148">
        <v>44756</v>
      </c>
      <c r="B1521" s="149" t="s">
        <v>22843</v>
      </c>
      <c r="C1521" s="153" t="s">
        <v>9827</v>
      </c>
      <c r="D1521" s="154">
        <v>3349.5</v>
      </c>
      <c r="E1521" s="155">
        <v>44756</v>
      </c>
      <c r="F1521" s="154">
        <v>3349.5</v>
      </c>
      <c r="G1521" s="156">
        <f>Tabla18[[#This Row],[Importe]]-Tabla18[[#This Row],[Pagado]]</f>
        <v>0</v>
      </c>
      <c r="H1521" s="153" t="s">
        <v>10</v>
      </c>
    </row>
    <row r="1522" spans="1:8" x14ac:dyDescent="0.25">
      <c r="A1522" s="73">
        <v>44756</v>
      </c>
      <c r="B1522" s="74" t="s">
        <v>22844</v>
      </c>
      <c r="C1522" s="75" t="s">
        <v>484</v>
      </c>
      <c r="D1522" s="81">
        <v>4134</v>
      </c>
      <c r="E1522" s="151">
        <v>44756</v>
      </c>
      <c r="F1522" s="81">
        <v>4134</v>
      </c>
      <c r="G1522" s="156">
        <f>Tabla18[[#This Row],[Importe]]-Tabla18[[#This Row],[Pagado]]</f>
        <v>0</v>
      </c>
      <c r="H1522" s="75" t="s">
        <v>10</v>
      </c>
    </row>
    <row r="1523" spans="1:8" x14ac:dyDescent="0.25">
      <c r="A1523" s="148">
        <v>44756</v>
      </c>
      <c r="B1523" s="149" t="s">
        <v>22845</v>
      </c>
      <c r="C1523" s="153" t="s">
        <v>67</v>
      </c>
      <c r="D1523" s="154">
        <v>5397</v>
      </c>
      <c r="E1523" s="155">
        <v>44756</v>
      </c>
      <c r="F1523" s="154">
        <v>5397</v>
      </c>
      <c r="G1523" s="156">
        <f>Tabla18[[#This Row],[Importe]]-Tabla18[[#This Row],[Pagado]]</f>
        <v>0</v>
      </c>
      <c r="H1523" s="153" t="s">
        <v>10</v>
      </c>
    </row>
    <row r="1524" spans="1:8" x14ac:dyDescent="0.25">
      <c r="A1524" s="73">
        <v>44756</v>
      </c>
      <c r="B1524" s="74" t="s">
        <v>22846</v>
      </c>
      <c r="C1524" s="75" t="s">
        <v>407</v>
      </c>
      <c r="D1524" s="81">
        <v>10000</v>
      </c>
      <c r="E1524" s="151">
        <v>44778</v>
      </c>
      <c r="F1524" s="81">
        <v>10000</v>
      </c>
      <c r="G1524" s="156">
        <f>Tabla18[[#This Row],[Importe]]-Tabla18[[#This Row],[Pagado]]</f>
        <v>0</v>
      </c>
      <c r="H1524" s="75" t="s">
        <v>10</v>
      </c>
    </row>
    <row r="1525" spans="1:8" x14ac:dyDescent="0.25">
      <c r="A1525" s="148">
        <v>44756</v>
      </c>
      <c r="B1525" s="149" t="s">
        <v>22847</v>
      </c>
      <c r="C1525" s="153" t="s">
        <v>31</v>
      </c>
      <c r="D1525" s="154">
        <v>1218</v>
      </c>
      <c r="E1525" s="155">
        <v>44756</v>
      </c>
      <c r="F1525" s="154">
        <v>1218</v>
      </c>
      <c r="G1525" s="156">
        <f>Tabla18[[#This Row],[Importe]]-Tabla18[[#This Row],[Pagado]]</f>
        <v>0</v>
      </c>
      <c r="H1525" s="153" t="s">
        <v>10</v>
      </c>
    </row>
    <row r="1526" spans="1:8" x14ac:dyDescent="0.25">
      <c r="A1526" s="73">
        <v>44756</v>
      </c>
      <c r="B1526" s="74" t="s">
        <v>22848</v>
      </c>
      <c r="C1526" s="75" t="s">
        <v>263</v>
      </c>
      <c r="D1526" s="81">
        <v>184139.5</v>
      </c>
      <c r="E1526" s="151">
        <v>44757</v>
      </c>
      <c r="F1526" s="81">
        <v>184139.5</v>
      </c>
      <c r="G1526" s="156">
        <f>Tabla18[[#This Row],[Importe]]-Tabla18[[#This Row],[Pagado]]</f>
        <v>0</v>
      </c>
      <c r="H1526" s="75" t="s">
        <v>10</v>
      </c>
    </row>
    <row r="1527" spans="1:8" x14ac:dyDescent="0.25">
      <c r="A1527" s="148">
        <v>44756</v>
      </c>
      <c r="B1527" s="149" t="s">
        <v>22849</v>
      </c>
      <c r="C1527" s="153" t="s">
        <v>69</v>
      </c>
      <c r="D1527" s="154">
        <v>2240.6999999999998</v>
      </c>
      <c r="E1527" s="155">
        <v>44756</v>
      </c>
      <c r="F1527" s="154">
        <v>2240.6999999999998</v>
      </c>
      <c r="G1527" s="156">
        <f>Tabla18[[#This Row],[Importe]]-Tabla18[[#This Row],[Pagado]]</f>
        <v>0</v>
      </c>
      <c r="H1527" s="153" t="s">
        <v>10</v>
      </c>
    </row>
    <row r="1528" spans="1:8" x14ac:dyDescent="0.25">
      <c r="A1528" s="73">
        <v>44756</v>
      </c>
      <c r="B1528" s="74" t="s">
        <v>22850</v>
      </c>
      <c r="C1528" s="75" t="s">
        <v>296</v>
      </c>
      <c r="D1528" s="81">
        <v>6576</v>
      </c>
      <c r="E1528" s="151">
        <v>44756</v>
      </c>
      <c r="F1528" s="81">
        <v>6576</v>
      </c>
      <c r="G1528" s="156">
        <f>Tabla18[[#This Row],[Importe]]-Tabla18[[#This Row],[Pagado]]</f>
        <v>0</v>
      </c>
      <c r="H1528" s="75" t="s">
        <v>10</v>
      </c>
    </row>
    <row r="1529" spans="1:8" x14ac:dyDescent="0.25">
      <c r="A1529" s="148">
        <v>44756</v>
      </c>
      <c r="B1529" s="149" t="s">
        <v>22851</v>
      </c>
      <c r="C1529" s="153" t="s">
        <v>31</v>
      </c>
      <c r="D1529" s="154">
        <v>165</v>
      </c>
      <c r="E1529" s="155">
        <v>44756</v>
      </c>
      <c r="F1529" s="154">
        <v>165</v>
      </c>
      <c r="G1529" s="156">
        <f>Tabla18[[#This Row],[Importe]]-Tabla18[[#This Row],[Pagado]]</f>
        <v>0</v>
      </c>
      <c r="H1529" s="153" t="s">
        <v>10</v>
      </c>
    </row>
    <row r="1530" spans="1:8" x14ac:dyDescent="0.25">
      <c r="A1530" s="73">
        <v>44756</v>
      </c>
      <c r="B1530" s="74" t="s">
        <v>22852</v>
      </c>
      <c r="C1530" s="75" t="s">
        <v>7818</v>
      </c>
      <c r="D1530" s="81">
        <v>600</v>
      </c>
      <c r="E1530" s="151">
        <v>44756</v>
      </c>
      <c r="F1530" s="81">
        <v>600</v>
      </c>
      <c r="G1530" s="156">
        <f>Tabla18[[#This Row],[Importe]]-Tabla18[[#This Row],[Pagado]]</f>
        <v>0</v>
      </c>
      <c r="H1530" s="75" t="s">
        <v>10</v>
      </c>
    </row>
    <row r="1531" spans="1:8" x14ac:dyDescent="0.25">
      <c r="A1531" s="148">
        <v>44756</v>
      </c>
      <c r="B1531" s="149" t="s">
        <v>22853</v>
      </c>
      <c r="C1531" s="153" t="s">
        <v>16</v>
      </c>
      <c r="D1531" s="154">
        <v>2667</v>
      </c>
      <c r="E1531" s="155">
        <v>44756</v>
      </c>
      <c r="F1531" s="154">
        <v>2667</v>
      </c>
      <c r="G1531" s="156">
        <f>Tabla18[[#This Row],[Importe]]-Tabla18[[#This Row],[Pagado]]</f>
        <v>0</v>
      </c>
      <c r="H1531" s="153" t="s">
        <v>10</v>
      </c>
    </row>
    <row r="1532" spans="1:8" x14ac:dyDescent="0.25">
      <c r="A1532" s="73">
        <v>44756</v>
      </c>
      <c r="B1532" s="74" t="s">
        <v>22854</v>
      </c>
      <c r="C1532" s="75" t="s">
        <v>22</v>
      </c>
      <c r="D1532" s="81">
        <v>3085.7</v>
      </c>
      <c r="E1532" s="151">
        <v>44756</v>
      </c>
      <c r="F1532" s="81">
        <v>3085.7</v>
      </c>
      <c r="G1532" s="156">
        <f>Tabla18[[#This Row],[Importe]]-Tabla18[[#This Row],[Pagado]]</f>
        <v>0</v>
      </c>
      <c r="H1532" s="75" t="s">
        <v>10</v>
      </c>
    </row>
    <row r="1533" spans="1:8" x14ac:dyDescent="0.25">
      <c r="A1533" s="148">
        <v>44756</v>
      </c>
      <c r="B1533" s="149" t="s">
        <v>22855</v>
      </c>
      <c r="C1533" s="153" t="s">
        <v>53</v>
      </c>
      <c r="D1533" s="154">
        <v>1416.2</v>
      </c>
      <c r="E1533" s="155">
        <v>44756</v>
      </c>
      <c r="F1533" s="154">
        <v>1416.2</v>
      </c>
      <c r="G1533" s="156">
        <f>Tabla18[[#This Row],[Importe]]-Tabla18[[#This Row],[Pagado]]</f>
        <v>0</v>
      </c>
      <c r="H1533" s="153" t="s">
        <v>10</v>
      </c>
    </row>
    <row r="1534" spans="1:8" x14ac:dyDescent="0.25">
      <c r="A1534" s="73">
        <v>44756</v>
      </c>
      <c r="B1534" s="74" t="s">
        <v>22856</v>
      </c>
      <c r="C1534" s="75" t="s">
        <v>681</v>
      </c>
      <c r="D1534" s="81">
        <v>13.64</v>
      </c>
      <c r="E1534" s="151">
        <v>44767</v>
      </c>
      <c r="F1534" s="81">
        <v>13.64</v>
      </c>
      <c r="G1534" s="156">
        <f>Tabla18[[#This Row],[Importe]]-Tabla18[[#This Row],[Pagado]]</f>
        <v>0</v>
      </c>
      <c r="H1534" s="75" t="s">
        <v>10</v>
      </c>
    </row>
    <row r="1535" spans="1:8" x14ac:dyDescent="0.25">
      <c r="A1535" s="148">
        <v>44756</v>
      </c>
      <c r="B1535" s="149" t="s">
        <v>22857</v>
      </c>
      <c r="C1535" s="153" t="s">
        <v>409</v>
      </c>
      <c r="D1535" s="154">
        <v>7357.2</v>
      </c>
      <c r="E1535" s="155">
        <v>44762</v>
      </c>
      <c r="F1535" s="154">
        <v>7357.2</v>
      </c>
      <c r="G1535" s="156">
        <f>Tabla18[[#This Row],[Importe]]-Tabla18[[#This Row],[Pagado]]</f>
        <v>0</v>
      </c>
      <c r="H1535" s="153" t="s">
        <v>10</v>
      </c>
    </row>
    <row r="1536" spans="1:8" x14ac:dyDescent="0.25">
      <c r="A1536" s="73">
        <v>44756</v>
      </c>
      <c r="B1536" s="74" t="s">
        <v>22858</v>
      </c>
      <c r="C1536" s="75" t="s">
        <v>31</v>
      </c>
      <c r="D1536" s="81">
        <v>478.5</v>
      </c>
      <c r="E1536" s="151">
        <v>44756</v>
      </c>
      <c r="F1536" s="81">
        <v>478.5</v>
      </c>
      <c r="G1536" s="156">
        <f>Tabla18[[#This Row],[Importe]]-Tabla18[[#This Row],[Pagado]]</f>
        <v>0</v>
      </c>
      <c r="H1536" s="75" t="s">
        <v>10</v>
      </c>
    </row>
    <row r="1537" spans="1:8" x14ac:dyDescent="0.25">
      <c r="A1537" s="148">
        <v>44756</v>
      </c>
      <c r="B1537" s="149" t="s">
        <v>22859</v>
      </c>
      <c r="C1537" s="153" t="s">
        <v>31</v>
      </c>
      <c r="D1537" s="154">
        <v>1352</v>
      </c>
      <c r="E1537" s="155">
        <v>44756</v>
      </c>
      <c r="F1537" s="154">
        <v>1352</v>
      </c>
      <c r="G1537" s="156">
        <f>Tabla18[[#This Row],[Importe]]-Tabla18[[#This Row],[Pagado]]</f>
        <v>0</v>
      </c>
      <c r="H1537" s="153" t="s">
        <v>10</v>
      </c>
    </row>
    <row r="1538" spans="1:8" x14ac:dyDescent="0.25">
      <c r="A1538" s="73">
        <v>44757</v>
      </c>
      <c r="B1538" s="74" t="s">
        <v>22860</v>
      </c>
      <c r="C1538" s="75" t="s">
        <v>887</v>
      </c>
      <c r="D1538" s="81">
        <v>13888</v>
      </c>
      <c r="E1538" s="151">
        <v>44757</v>
      </c>
      <c r="F1538" s="81">
        <v>13888</v>
      </c>
      <c r="G1538" s="156">
        <f>Tabla18[[#This Row],[Importe]]-Tabla18[[#This Row],[Pagado]]</f>
        <v>0</v>
      </c>
      <c r="H1538" s="75" t="s">
        <v>10</v>
      </c>
    </row>
    <row r="1539" spans="1:8" x14ac:dyDescent="0.25">
      <c r="A1539" s="148">
        <v>44757</v>
      </c>
      <c r="B1539" s="149" t="s">
        <v>22861</v>
      </c>
      <c r="C1539" s="153" t="s">
        <v>473</v>
      </c>
      <c r="D1539" s="154">
        <v>4908</v>
      </c>
      <c r="E1539" s="155">
        <v>44757</v>
      </c>
      <c r="F1539" s="154">
        <v>4908</v>
      </c>
      <c r="G1539" s="156">
        <f>Tabla18[[#This Row],[Importe]]-Tabla18[[#This Row],[Pagado]]</f>
        <v>0</v>
      </c>
      <c r="H1539" s="153" t="s">
        <v>10</v>
      </c>
    </row>
    <row r="1540" spans="1:8" x14ac:dyDescent="0.25">
      <c r="A1540" s="73">
        <v>44757</v>
      </c>
      <c r="B1540" s="74" t="s">
        <v>22862</v>
      </c>
      <c r="C1540" s="75" t="s">
        <v>85</v>
      </c>
      <c r="D1540" s="81">
        <v>2335</v>
      </c>
      <c r="E1540" s="151">
        <v>44757</v>
      </c>
      <c r="F1540" s="81">
        <v>2335</v>
      </c>
      <c r="G1540" s="156">
        <f>Tabla18[[#This Row],[Importe]]-Tabla18[[#This Row],[Pagado]]</f>
        <v>0</v>
      </c>
      <c r="H1540" s="75" t="s">
        <v>10</v>
      </c>
    </row>
    <row r="1541" spans="1:8" x14ac:dyDescent="0.25">
      <c r="A1541" s="148">
        <v>44757</v>
      </c>
      <c r="B1541" s="149" t="s">
        <v>22863</v>
      </c>
      <c r="C1541" s="153" t="s">
        <v>31</v>
      </c>
      <c r="D1541" s="154">
        <v>7730.8</v>
      </c>
      <c r="E1541" s="155">
        <v>44757</v>
      </c>
      <c r="F1541" s="154">
        <v>7730.8</v>
      </c>
      <c r="G1541" s="156">
        <f>Tabla18[[#This Row],[Importe]]-Tabla18[[#This Row],[Pagado]]</f>
        <v>0</v>
      </c>
      <c r="H1541" s="153" t="s">
        <v>10</v>
      </c>
    </row>
    <row r="1542" spans="1:8" x14ac:dyDescent="0.25">
      <c r="A1542" s="73">
        <v>44757</v>
      </c>
      <c r="B1542" s="74" t="s">
        <v>22864</v>
      </c>
      <c r="C1542" s="75" t="s">
        <v>179</v>
      </c>
      <c r="D1542" s="81">
        <v>1416.8</v>
      </c>
      <c r="E1542" s="151">
        <v>44757</v>
      </c>
      <c r="F1542" s="81">
        <v>1416.8</v>
      </c>
      <c r="G1542" s="156">
        <f>Tabla18[[#This Row],[Importe]]-Tabla18[[#This Row],[Pagado]]</f>
        <v>0</v>
      </c>
      <c r="H1542" s="75" t="s">
        <v>10</v>
      </c>
    </row>
    <row r="1543" spans="1:8" ht="31.5" x14ac:dyDescent="0.25">
      <c r="A1543" s="148">
        <v>44757</v>
      </c>
      <c r="B1543" s="149" t="s">
        <v>22865</v>
      </c>
      <c r="C1543" s="153" t="s">
        <v>475</v>
      </c>
      <c r="D1543" s="154">
        <v>106342.39999999999</v>
      </c>
      <c r="E1543" s="150" t="s">
        <v>22866</v>
      </c>
      <c r="F1543" s="154">
        <f>100000+6342.4</f>
        <v>106342.39999999999</v>
      </c>
      <c r="G1543" s="156">
        <f>Tabla18[[#This Row],[Importe]]-Tabla18[[#This Row],[Pagado]]</f>
        <v>0</v>
      </c>
      <c r="H1543" s="153" t="s">
        <v>10</v>
      </c>
    </row>
    <row r="1544" spans="1:8" x14ac:dyDescent="0.25">
      <c r="A1544" s="73">
        <v>44757</v>
      </c>
      <c r="B1544" s="74" t="s">
        <v>22867</v>
      </c>
      <c r="C1544" s="75" t="s">
        <v>296</v>
      </c>
      <c r="D1544" s="81">
        <v>2503</v>
      </c>
      <c r="E1544" s="151">
        <v>44757</v>
      </c>
      <c r="F1544" s="81">
        <v>2503</v>
      </c>
      <c r="G1544" s="156">
        <f>Tabla18[[#This Row],[Importe]]-Tabla18[[#This Row],[Pagado]]</f>
        <v>0</v>
      </c>
      <c r="H1544" s="75" t="s">
        <v>10</v>
      </c>
    </row>
    <row r="1545" spans="1:8" x14ac:dyDescent="0.25">
      <c r="A1545" s="148">
        <v>44757</v>
      </c>
      <c r="B1545" s="149" t="s">
        <v>22868</v>
      </c>
      <c r="C1545" s="153" t="s">
        <v>31</v>
      </c>
      <c r="D1545" s="154">
        <v>3919.3</v>
      </c>
      <c r="E1545" s="155">
        <v>44757</v>
      </c>
      <c r="F1545" s="154">
        <v>3919.3</v>
      </c>
      <c r="G1545" s="156">
        <f>Tabla18[[#This Row],[Importe]]-Tabla18[[#This Row],[Pagado]]</f>
        <v>0</v>
      </c>
      <c r="H1545" s="153" t="s">
        <v>10</v>
      </c>
    </row>
    <row r="1546" spans="1:8" x14ac:dyDescent="0.25">
      <c r="A1546" s="73">
        <v>44757</v>
      </c>
      <c r="B1546" s="74" t="s">
        <v>22869</v>
      </c>
      <c r="C1546" s="75" t="s">
        <v>314</v>
      </c>
      <c r="D1546" s="81">
        <v>3226.3</v>
      </c>
      <c r="E1546" s="151">
        <v>44757</v>
      </c>
      <c r="F1546" s="81">
        <v>3226.3</v>
      </c>
      <c r="G1546" s="156">
        <f>Tabla18[[#This Row],[Importe]]-Tabla18[[#This Row],[Pagado]]</f>
        <v>0</v>
      </c>
      <c r="H1546" s="75" t="s">
        <v>10</v>
      </c>
    </row>
    <row r="1547" spans="1:8" x14ac:dyDescent="0.25">
      <c r="A1547" s="148">
        <v>44757</v>
      </c>
      <c r="B1547" s="149" t="s">
        <v>22870</v>
      </c>
      <c r="C1547" s="153" t="s">
        <v>87</v>
      </c>
      <c r="D1547" s="154">
        <v>200</v>
      </c>
      <c r="E1547" s="155">
        <v>44757</v>
      </c>
      <c r="F1547" s="154">
        <v>200</v>
      </c>
      <c r="G1547" s="156">
        <f>Tabla18[[#This Row],[Importe]]-Tabla18[[#This Row],[Pagado]]</f>
        <v>0</v>
      </c>
      <c r="H1547" s="153" t="s">
        <v>10</v>
      </c>
    </row>
    <row r="1548" spans="1:8" x14ac:dyDescent="0.25">
      <c r="A1548" s="73">
        <v>44757</v>
      </c>
      <c r="B1548" s="74" t="s">
        <v>22871</v>
      </c>
      <c r="C1548" s="75" t="s">
        <v>83</v>
      </c>
      <c r="D1548" s="81">
        <v>6134.5</v>
      </c>
      <c r="E1548" s="151">
        <v>44757</v>
      </c>
      <c r="F1548" s="81">
        <v>6134.5</v>
      </c>
      <c r="G1548" s="156">
        <f>Tabla18[[#This Row],[Importe]]-Tabla18[[#This Row],[Pagado]]</f>
        <v>0</v>
      </c>
      <c r="H1548" s="75" t="s">
        <v>10</v>
      </c>
    </row>
    <row r="1549" spans="1:8" x14ac:dyDescent="0.25">
      <c r="A1549" s="148">
        <v>44757</v>
      </c>
      <c r="B1549" s="149" t="s">
        <v>22872</v>
      </c>
      <c r="C1549" s="153" t="s">
        <v>135</v>
      </c>
      <c r="D1549" s="154">
        <v>2608</v>
      </c>
      <c r="E1549" s="155">
        <v>44757</v>
      </c>
      <c r="F1549" s="154">
        <v>2608</v>
      </c>
      <c r="G1549" s="156">
        <f>Tabla18[[#This Row],[Importe]]-Tabla18[[#This Row],[Pagado]]</f>
        <v>0</v>
      </c>
      <c r="H1549" s="153" t="s">
        <v>10</v>
      </c>
    </row>
    <row r="1550" spans="1:8" x14ac:dyDescent="0.25">
      <c r="A1550" s="73">
        <v>44757</v>
      </c>
      <c r="B1550" s="74" t="s">
        <v>22873</v>
      </c>
      <c r="C1550" s="75" t="s">
        <v>109</v>
      </c>
      <c r="D1550" s="81">
        <v>5208</v>
      </c>
      <c r="E1550" s="151">
        <v>44758</v>
      </c>
      <c r="F1550" s="81">
        <v>5208</v>
      </c>
      <c r="G1550" s="156">
        <f>Tabla18[[#This Row],[Importe]]-Tabla18[[#This Row],[Pagado]]</f>
        <v>0</v>
      </c>
      <c r="H1550" s="75" t="s">
        <v>10</v>
      </c>
    </row>
    <row r="1551" spans="1:8" x14ac:dyDescent="0.25">
      <c r="A1551" s="148">
        <v>44757</v>
      </c>
      <c r="B1551" s="149" t="s">
        <v>22874</v>
      </c>
      <c r="C1551" s="153" t="s">
        <v>345</v>
      </c>
      <c r="D1551" s="154">
        <v>5088</v>
      </c>
      <c r="E1551" s="155">
        <v>44757</v>
      </c>
      <c r="F1551" s="154">
        <v>5088</v>
      </c>
      <c r="G1551" s="156">
        <f>Tabla18[[#This Row],[Importe]]-Tabla18[[#This Row],[Pagado]]</f>
        <v>0</v>
      </c>
      <c r="H1551" s="153" t="s">
        <v>10</v>
      </c>
    </row>
    <row r="1552" spans="1:8" x14ac:dyDescent="0.25">
      <c r="A1552" s="73">
        <v>44757</v>
      </c>
      <c r="B1552" s="74" t="s">
        <v>22875</v>
      </c>
      <c r="C1552" s="75" t="s">
        <v>97</v>
      </c>
      <c r="D1552" s="81">
        <v>9836.7999999999993</v>
      </c>
      <c r="E1552" s="151">
        <v>44758</v>
      </c>
      <c r="F1552" s="81">
        <v>9836.7999999999993</v>
      </c>
      <c r="G1552" s="156">
        <f>Tabla18[[#This Row],[Importe]]-Tabla18[[#This Row],[Pagado]]</f>
        <v>0</v>
      </c>
      <c r="H1552" s="75" t="s">
        <v>10</v>
      </c>
    </row>
    <row r="1553" spans="1:8" x14ac:dyDescent="0.25">
      <c r="A1553" s="148">
        <v>44757</v>
      </c>
      <c r="B1553" s="149" t="s">
        <v>22876</v>
      </c>
      <c r="C1553" s="153" t="s">
        <v>31</v>
      </c>
      <c r="D1553" s="154">
        <v>5332</v>
      </c>
      <c r="E1553" s="155">
        <v>44758</v>
      </c>
      <c r="F1553" s="154">
        <v>5332</v>
      </c>
      <c r="G1553" s="156">
        <f>Tabla18[[#This Row],[Importe]]-Tabla18[[#This Row],[Pagado]]</f>
        <v>0</v>
      </c>
      <c r="H1553" s="153" t="s">
        <v>10</v>
      </c>
    </row>
    <row r="1554" spans="1:8" x14ac:dyDescent="0.25">
      <c r="A1554" s="73">
        <v>44757</v>
      </c>
      <c r="B1554" s="74" t="s">
        <v>22877</v>
      </c>
      <c r="C1554" s="75" t="s">
        <v>114</v>
      </c>
      <c r="D1554" s="81">
        <v>12605.7</v>
      </c>
      <c r="E1554" s="151">
        <v>44758</v>
      </c>
      <c r="F1554" s="81">
        <v>12605.7</v>
      </c>
      <c r="G1554" s="156">
        <f>Tabla18[[#This Row],[Importe]]-Tabla18[[#This Row],[Pagado]]</f>
        <v>0</v>
      </c>
      <c r="H1554" s="75" t="s">
        <v>10</v>
      </c>
    </row>
    <row r="1555" spans="1:8" x14ac:dyDescent="0.25">
      <c r="A1555" s="148">
        <v>44757</v>
      </c>
      <c r="B1555" s="149" t="s">
        <v>22878</v>
      </c>
      <c r="C1555" s="153" t="s">
        <v>64</v>
      </c>
      <c r="D1555" s="154">
        <v>10972.8</v>
      </c>
      <c r="E1555" s="155">
        <v>44758</v>
      </c>
      <c r="F1555" s="154">
        <v>10972.8</v>
      </c>
      <c r="G1555" s="156">
        <f>Tabla18[[#This Row],[Importe]]-Tabla18[[#This Row],[Pagado]]</f>
        <v>0</v>
      </c>
      <c r="H1555" s="153" t="s">
        <v>10</v>
      </c>
    </row>
    <row r="1556" spans="1:8" x14ac:dyDescent="0.25">
      <c r="A1556" s="73">
        <v>44757</v>
      </c>
      <c r="B1556" s="74" t="s">
        <v>22879</v>
      </c>
      <c r="C1556" s="75" t="s">
        <v>450</v>
      </c>
      <c r="D1556" s="81">
        <v>7542.7</v>
      </c>
      <c r="E1556" s="151">
        <v>44757</v>
      </c>
      <c r="F1556" s="81">
        <v>7542.7</v>
      </c>
      <c r="G1556" s="156">
        <f>Tabla18[[#This Row],[Importe]]-Tabla18[[#This Row],[Pagado]]</f>
        <v>0</v>
      </c>
      <c r="H1556" s="75" t="s">
        <v>10</v>
      </c>
    </row>
    <row r="1557" spans="1:8" x14ac:dyDescent="0.25">
      <c r="A1557" s="148">
        <v>44757</v>
      </c>
      <c r="B1557" s="149" t="s">
        <v>22880</v>
      </c>
      <c r="C1557" s="153" t="s">
        <v>105</v>
      </c>
      <c r="D1557" s="154">
        <v>9334.5</v>
      </c>
      <c r="E1557" s="155">
        <v>44758</v>
      </c>
      <c r="F1557" s="154">
        <v>9334.5</v>
      </c>
      <c r="G1557" s="156">
        <f>Tabla18[[#This Row],[Importe]]-Tabla18[[#This Row],[Pagado]]</f>
        <v>0</v>
      </c>
      <c r="H1557" s="153" t="s">
        <v>10</v>
      </c>
    </row>
    <row r="1558" spans="1:8" ht="75" x14ac:dyDescent="0.25">
      <c r="A1558" s="73">
        <v>44757</v>
      </c>
      <c r="B1558" s="74" t="s">
        <v>22881</v>
      </c>
      <c r="C1558" s="75" t="s">
        <v>116</v>
      </c>
      <c r="D1558" s="81">
        <v>8039.8</v>
      </c>
      <c r="E1558" s="175" t="s">
        <v>24630</v>
      </c>
      <c r="F1558" s="81">
        <f>4000+1000+500+539.8+500+1500</f>
        <v>8039.8</v>
      </c>
      <c r="G1558" s="156">
        <f>Tabla18[[#This Row],[Importe]]-Tabla18[[#This Row],[Pagado]]</f>
        <v>0</v>
      </c>
      <c r="H1558" s="75" t="s">
        <v>10</v>
      </c>
    </row>
    <row r="1559" spans="1:8" x14ac:dyDescent="0.25">
      <c r="A1559" s="148">
        <v>44757</v>
      </c>
      <c r="B1559" s="149" t="s">
        <v>22882</v>
      </c>
      <c r="C1559" s="153" t="s">
        <v>348</v>
      </c>
      <c r="D1559" s="154">
        <v>3309.9</v>
      </c>
      <c r="E1559" s="155">
        <v>44757</v>
      </c>
      <c r="F1559" s="154">
        <v>3309.9</v>
      </c>
      <c r="G1559" s="156">
        <f>Tabla18[[#This Row],[Importe]]-Tabla18[[#This Row],[Pagado]]</f>
        <v>0</v>
      </c>
      <c r="H1559" s="153" t="s">
        <v>10</v>
      </c>
    </row>
    <row r="1560" spans="1:8" x14ac:dyDescent="0.25">
      <c r="A1560" s="73">
        <v>44757</v>
      </c>
      <c r="B1560" s="74" t="s">
        <v>22883</v>
      </c>
      <c r="C1560" s="75" t="s">
        <v>93</v>
      </c>
      <c r="D1560" s="81">
        <v>3898.3</v>
      </c>
      <c r="E1560" s="151">
        <v>44760</v>
      </c>
      <c r="F1560" s="81">
        <v>3898.3</v>
      </c>
      <c r="G1560" s="156">
        <f>Tabla18[[#This Row],[Importe]]-Tabla18[[#This Row],[Pagado]]</f>
        <v>0</v>
      </c>
      <c r="H1560" s="75" t="s">
        <v>10</v>
      </c>
    </row>
    <row r="1561" spans="1:8" ht="31.5" x14ac:dyDescent="0.25">
      <c r="A1561" s="148">
        <v>44757</v>
      </c>
      <c r="B1561" s="149" t="s">
        <v>22884</v>
      </c>
      <c r="C1561" s="153" t="s">
        <v>99</v>
      </c>
      <c r="D1561" s="154">
        <v>8485.5</v>
      </c>
      <c r="E1561" s="150" t="s">
        <v>22885</v>
      </c>
      <c r="F1561" s="154">
        <f>2000+6485.5</f>
        <v>8485.5</v>
      </c>
      <c r="G1561" s="156">
        <f>Tabla18[[#This Row],[Importe]]-Tabla18[[#This Row],[Pagado]]</f>
        <v>0</v>
      </c>
      <c r="H1561" s="153" t="s">
        <v>10</v>
      </c>
    </row>
    <row r="1562" spans="1:8" x14ac:dyDescent="0.25">
      <c r="A1562" s="73">
        <v>44757</v>
      </c>
      <c r="B1562" s="74" t="s">
        <v>22886</v>
      </c>
      <c r="C1562" s="75" t="s">
        <v>2151</v>
      </c>
      <c r="D1562" s="81">
        <v>33598.400000000001</v>
      </c>
      <c r="E1562" s="151">
        <v>44757</v>
      </c>
      <c r="F1562" s="81">
        <v>33598.400000000001</v>
      </c>
      <c r="G1562" s="156">
        <f>Tabla18[[#This Row],[Importe]]-Tabla18[[#This Row],[Pagado]]</f>
        <v>0</v>
      </c>
      <c r="H1562" s="75" t="s">
        <v>10</v>
      </c>
    </row>
    <row r="1563" spans="1:8" x14ac:dyDescent="0.25">
      <c r="A1563" s="148">
        <v>44757</v>
      </c>
      <c r="B1563" s="149" t="s">
        <v>22887</v>
      </c>
      <c r="C1563" s="153" t="s">
        <v>918</v>
      </c>
      <c r="D1563" s="154">
        <v>1319.5</v>
      </c>
      <c r="E1563" s="155">
        <v>44757</v>
      </c>
      <c r="F1563" s="154">
        <v>1319.5</v>
      </c>
      <c r="G1563" s="156">
        <f>Tabla18[[#This Row],[Importe]]-Tabla18[[#This Row],[Pagado]]</f>
        <v>0</v>
      </c>
      <c r="H1563" s="153" t="s">
        <v>10</v>
      </c>
    </row>
    <row r="1564" spans="1:8" x14ac:dyDescent="0.25">
      <c r="A1564" s="73">
        <v>44757</v>
      </c>
      <c r="B1564" s="74" t="s">
        <v>22888</v>
      </c>
      <c r="C1564" s="75" t="s">
        <v>89</v>
      </c>
      <c r="D1564" s="81">
        <v>12142.2</v>
      </c>
      <c r="E1564" s="151">
        <v>44758</v>
      </c>
      <c r="F1564" s="81">
        <v>12142.2</v>
      </c>
      <c r="G1564" s="156">
        <f>Tabla18[[#This Row],[Importe]]-Tabla18[[#This Row],[Pagado]]</f>
        <v>0</v>
      </c>
      <c r="H1564" s="75" t="s">
        <v>10</v>
      </c>
    </row>
    <row r="1565" spans="1:8" x14ac:dyDescent="0.25">
      <c r="A1565" s="148">
        <v>44757</v>
      </c>
      <c r="B1565" s="149" t="s">
        <v>22889</v>
      </c>
      <c r="C1565" s="153" t="s">
        <v>9</v>
      </c>
      <c r="D1565" s="154">
        <v>10841.2</v>
      </c>
      <c r="E1565" s="155">
        <v>44757</v>
      </c>
      <c r="F1565" s="154">
        <v>10841.2</v>
      </c>
      <c r="G1565" s="156">
        <f>Tabla18[[#This Row],[Importe]]-Tabla18[[#This Row],[Pagado]]</f>
        <v>0</v>
      </c>
      <c r="H1565" s="153" t="s">
        <v>10</v>
      </c>
    </row>
    <row r="1566" spans="1:8" x14ac:dyDescent="0.25">
      <c r="A1566" s="73">
        <v>44757</v>
      </c>
      <c r="B1566" s="74" t="s">
        <v>22890</v>
      </c>
      <c r="C1566" s="75" t="s">
        <v>481</v>
      </c>
      <c r="D1566" s="81">
        <v>1152.8</v>
      </c>
      <c r="E1566" s="151">
        <v>44757</v>
      </c>
      <c r="F1566" s="81">
        <v>1152.8</v>
      </c>
      <c r="G1566" s="156">
        <f>Tabla18[[#This Row],[Importe]]-Tabla18[[#This Row],[Pagado]]</f>
        <v>0</v>
      </c>
      <c r="H1566" s="75" t="s">
        <v>10</v>
      </c>
    </row>
    <row r="1567" spans="1:8" x14ac:dyDescent="0.25">
      <c r="A1567" s="148">
        <v>44757</v>
      </c>
      <c r="B1567" s="149" t="s">
        <v>22891</v>
      </c>
      <c r="C1567" s="153" t="s">
        <v>918</v>
      </c>
      <c r="D1567" s="154">
        <v>2006.4</v>
      </c>
      <c r="E1567" s="155">
        <v>44757</v>
      </c>
      <c r="F1567" s="154">
        <v>2006.4</v>
      </c>
      <c r="G1567" s="156">
        <f>Tabla18[[#This Row],[Importe]]-Tabla18[[#This Row],[Pagado]]</f>
        <v>0</v>
      </c>
      <c r="H1567" s="153" t="s">
        <v>10</v>
      </c>
    </row>
    <row r="1568" spans="1:8" x14ac:dyDescent="0.25">
      <c r="A1568" s="73">
        <v>44757</v>
      </c>
      <c r="B1568" s="74" t="s">
        <v>22892</v>
      </c>
      <c r="C1568" s="75" t="s">
        <v>2151</v>
      </c>
      <c r="D1568" s="81">
        <v>696</v>
      </c>
      <c r="E1568" s="151">
        <v>44757</v>
      </c>
      <c r="F1568" s="81">
        <v>696</v>
      </c>
      <c r="G1568" s="156">
        <f>Tabla18[[#This Row],[Importe]]-Tabla18[[#This Row],[Pagado]]</f>
        <v>0</v>
      </c>
      <c r="H1568" s="75" t="s">
        <v>10</v>
      </c>
    </row>
    <row r="1569" spans="1:8" x14ac:dyDescent="0.25">
      <c r="A1569" s="148">
        <v>44757</v>
      </c>
      <c r="B1569" s="149" t="s">
        <v>22893</v>
      </c>
      <c r="C1569" s="153" t="s">
        <v>31</v>
      </c>
      <c r="D1569" s="154">
        <v>1364</v>
      </c>
      <c r="E1569" s="155">
        <v>44757</v>
      </c>
      <c r="F1569" s="154">
        <v>1364</v>
      </c>
      <c r="G1569" s="156">
        <f>Tabla18[[#This Row],[Importe]]-Tabla18[[#This Row],[Pagado]]</f>
        <v>0</v>
      </c>
      <c r="H1569" s="153" t="s">
        <v>10</v>
      </c>
    </row>
    <row r="1570" spans="1:8" x14ac:dyDescent="0.25">
      <c r="A1570" s="73">
        <v>44757</v>
      </c>
      <c r="B1570" s="74" t="s">
        <v>22894</v>
      </c>
      <c r="C1570" s="75" t="s">
        <v>31</v>
      </c>
      <c r="D1570" s="81">
        <v>1212</v>
      </c>
      <c r="E1570" s="151">
        <v>44757</v>
      </c>
      <c r="F1570" s="81">
        <v>1212</v>
      </c>
      <c r="G1570" s="156">
        <f>Tabla18[[#This Row],[Importe]]-Tabla18[[#This Row],[Pagado]]</f>
        <v>0</v>
      </c>
      <c r="H1570" s="75" t="s">
        <v>10</v>
      </c>
    </row>
    <row r="1571" spans="1:8" ht="31.5" x14ac:dyDescent="0.25">
      <c r="A1571" s="148">
        <v>44757</v>
      </c>
      <c r="B1571" s="149" t="s">
        <v>22895</v>
      </c>
      <c r="C1571" s="153" t="s">
        <v>22</v>
      </c>
      <c r="D1571" s="154">
        <v>75203.8</v>
      </c>
      <c r="E1571" s="150" t="s">
        <v>22866</v>
      </c>
      <c r="F1571" s="154">
        <f>65000+10203.8</f>
        <v>75203.8</v>
      </c>
      <c r="G1571" s="156">
        <f>Tabla18[[#This Row],[Importe]]-Tabla18[[#This Row],[Pagado]]</f>
        <v>0</v>
      </c>
      <c r="H1571" s="153" t="s">
        <v>10</v>
      </c>
    </row>
    <row r="1572" spans="1:8" x14ac:dyDescent="0.25">
      <c r="A1572" s="73">
        <v>44757</v>
      </c>
      <c r="B1572" s="74" t="s">
        <v>22896</v>
      </c>
      <c r="C1572" s="75" t="s">
        <v>1187</v>
      </c>
      <c r="D1572" s="81">
        <v>1024.4000000000001</v>
      </c>
      <c r="E1572" s="151">
        <v>44757</v>
      </c>
      <c r="F1572" s="81">
        <v>1024.4000000000001</v>
      </c>
      <c r="G1572" s="156">
        <f>Tabla18[[#This Row],[Importe]]-Tabla18[[#This Row],[Pagado]]</f>
        <v>0</v>
      </c>
      <c r="H1572" s="75" t="s">
        <v>10</v>
      </c>
    </row>
    <row r="1573" spans="1:8" x14ac:dyDescent="0.25">
      <c r="A1573" s="148">
        <v>44757</v>
      </c>
      <c r="B1573" s="149" t="s">
        <v>22897</v>
      </c>
      <c r="C1573" s="153" t="s">
        <v>1187</v>
      </c>
      <c r="D1573" s="154">
        <v>303.60000000000002</v>
      </c>
      <c r="E1573" s="155">
        <v>44757</v>
      </c>
      <c r="F1573" s="154">
        <v>303.60000000000002</v>
      </c>
      <c r="G1573" s="156">
        <f>Tabla18[[#This Row],[Importe]]-Tabla18[[#This Row],[Pagado]]</f>
        <v>0</v>
      </c>
      <c r="H1573" s="153" t="s">
        <v>10</v>
      </c>
    </row>
    <row r="1574" spans="1:8" x14ac:dyDescent="0.25">
      <c r="A1574" s="73">
        <v>44757</v>
      </c>
      <c r="B1574" s="74" t="s">
        <v>22898</v>
      </c>
      <c r="C1574" s="75" t="s">
        <v>484</v>
      </c>
      <c r="D1574" s="81">
        <v>5608.2</v>
      </c>
      <c r="E1574" s="151">
        <v>44757</v>
      </c>
      <c r="F1574" s="81">
        <v>5608.2</v>
      </c>
      <c r="G1574" s="156">
        <f>Tabla18[[#This Row],[Importe]]-Tabla18[[#This Row],[Pagado]]</f>
        <v>0</v>
      </c>
      <c r="H1574" s="75" t="s">
        <v>10</v>
      </c>
    </row>
    <row r="1575" spans="1:8" x14ac:dyDescent="0.25">
      <c r="A1575" s="148">
        <v>44757</v>
      </c>
      <c r="B1575" s="149" t="s">
        <v>22899</v>
      </c>
      <c r="C1575" s="153" t="s">
        <v>31</v>
      </c>
      <c r="D1575" s="154">
        <v>28016.1</v>
      </c>
      <c r="E1575" s="155">
        <v>44757</v>
      </c>
      <c r="F1575" s="154">
        <v>28016.1</v>
      </c>
      <c r="G1575" s="156">
        <f>Tabla18[[#This Row],[Importe]]-Tabla18[[#This Row],[Pagado]]</f>
        <v>0</v>
      </c>
      <c r="H1575" s="153" t="s">
        <v>10</v>
      </c>
    </row>
    <row r="1576" spans="1:8" x14ac:dyDescent="0.25">
      <c r="A1576" s="73">
        <v>44757</v>
      </c>
      <c r="B1576" s="74" t="s">
        <v>22900</v>
      </c>
      <c r="C1576" s="75" t="s">
        <v>371</v>
      </c>
      <c r="D1576" s="81">
        <v>23576.400000000001</v>
      </c>
      <c r="E1576" s="151">
        <v>44757</v>
      </c>
      <c r="F1576" s="81">
        <v>23576.400000000001</v>
      </c>
      <c r="G1576" s="156">
        <f>Tabla18[[#This Row],[Importe]]-Tabla18[[#This Row],[Pagado]]</f>
        <v>0</v>
      </c>
      <c r="H1576" s="75" t="s">
        <v>10</v>
      </c>
    </row>
    <row r="1577" spans="1:8" x14ac:dyDescent="0.25">
      <c r="A1577" s="148">
        <v>44757</v>
      </c>
      <c r="B1577" s="149" t="s">
        <v>22901</v>
      </c>
      <c r="C1577" s="153" t="s">
        <v>11033</v>
      </c>
      <c r="D1577" s="154">
        <v>1809.5</v>
      </c>
      <c r="E1577" s="155">
        <v>44757</v>
      </c>
      <c r="F1577" s="154">
        <v>1809.5</v>
      </c>
      <c r="G1577" s="156">
        <f>Tabla18[[#This Row],[Importe]]-Tabla18[[#This Row],[Pagado]]</f>
        <v>0</v>
      </c>
      <c r="H1577" s="153" t="s">
        <v>10</v>
      </c>
    </row>
    <row r="1578" spans="1:8" x14ac:dyDescent="0.25">
      <c r="A1578" s="73">
        <v>44757</v>
      </c>
      <c r="B1578" s="74" t="s">
        <v>22902</v>
      </c>
      <c r="C1578" s="75" t="s">
        <v>804</v>
      </c>
      <c r="D1578" s="81">
        <v>9608.7000000000007</v>
      </c>
      <c r="E1578" s="151">
        <v>44757</v>
      </c>
      <c r="F1578" s="81">
        <v>9608.7000000000007</v>
      </c>
      <c r="G1578" s="156">
        <f>Tabla18[[#This Row],[Importe]]-Tabla18[[#This Row],[Pagado]]</f>
        <v>0</v>
      </c>
      <c r="H1578" s="75" t="s">
        <v>10</v>
      </c>
    </row>
    <row r="1579" spans="1:8" x14ac:dyDescent="0.25">
      <c r="A1579" s="148">
        <v>44757</v>
      </c>
      <c r="B1579" s="149" t="s">
        <v>22903</v>
      </c>
      <c r="C1579" s="153" t="s">
        <v>196</v>
      </c>
      <c r="D1579" s="154">
        <v>44983.4</v>
      </c>
      <c r="E1579" s="155">
        <v>44757</v>
      </c>
      <c r="F1579" s="154">
        <v>44983.4</v>
      </c>
      <c r="G1579" s="156">
        <f>Tabla18[[#This Row],[Importe]]-Tabla18[[#This Row],[Pagado]]</f>
        <v>0</v>
      </c>
      <c r="H1579" s="153" t="s">
        <v>10</v>
      </c>
    </row>
    <row r="1580" spans="1:8" x14ac:dyDescent="0.25">
      <c r="A1580" s="73">
        <v>44757</v>
      </c>
      <c r="B1580" s="74" t="s">
        <v>22904</v>
      </c>
      <c r="C1580" s="75" t="s">
        <v>275</v>
      </c>
      <c r="D1580" s="81">
        <v>96568.320000000007</v>
      </c>
      <c r="E1580" s="151">
        <v>44771</v>
      </c>
      <c r="F1580" s="81">
        <v>96568.320000000007</v>
      </c>
      <c r="G1580" s="156">
        <f>Tabla18[[#This Row],[Importe]]-Tabla18[[#This Row],[Pagado]]</f>
        <v>0</v>
      </c>
      <c r="H1580" s="75" t="s">
        <v>10</v>
      </c>
    </row>
    <row r="1581" spans="1:8" x14ac:dyDescent="0.25">
      <c r="A1581" s="148">
        <v>44757</v>
      </c>
      <c r="B1581" s="149" t="s">
        <v>22905</v>
      </c>
      <c r="C1581" s="153" t="s">
        <v>49</v>
      </c>
      <c r="D1581" s="154">
        <v>5141</v>
      </c>
      <c r="E1581" s="155">
        <v>44757</v>
      </c>
      <c r="F1581" s="154">
        <v>5141</v>
      </c>
      <c r="G1581" s="156">
        <f>Tabla18[[#This Row],[Importe]]-Tabla18[[#This Row],[Pagado]]</f>
        <v>0</v>
      </c>
      <c r="H1581" s="153" t="s">
        <v>10</v>
      </c>
    </row>
    <row r="1582" spans="1:8" ht="47.25" x14ac:dyDescent="0.25">
      <c r="A1582" s="73">
        <v>44757</v>
      </c>
      <c r="B1582" s="74" t="s">
        <v>22906</v>
      </c>
      <c r="C1582" s="75" t="s">
        <v>592</v>
      </c>
      <c r="D1582" s="81">
        <v>42319.5</v>
      </c>
      <c r="E1582" s="147" t="s">
        <v>24622</v>
      </c>
      <c r="F1582" s="81">
        <f>10000+30000+2319.5</f>
        <v>42319.5</v>
      </c>
      <c r="G1582" s="156">
        <f>Tabla18[[#This Row],[Importe]]-Tabla18[[#This Row],[Pagado]]</f>
        <v>0</v>
      </c>
      <c r="H1582" s="75" t="s">
        <v>10</v>
      </c>
    </row>
    <row r="1583" spans="1:8" x14ac:dyDescent="0.25">
      <c r="A1583" s="148">
        <v>44757</v>
      </c>
      <c r="B1583" s="149" t="s">
        <v>22907</v>
      </c>
      <c r="C1583" s="153" t="s">
        <v>45</v>
      </c>
      <c r="D1583" s="154">
        <v>16146.8</v>
      </c>
      <c r="E1583" s="155">
        <v>44757</v>
      </c>
      <c r="F1583" s="154">
        <v>16146.8</v>
      </c>
      <c r="G1583" s="156">
        <f>Tabla18[[#This Row],[Importe]]-Tabla18[[#This Row],[Pagado]]</f>
        <v>0</v>
      </c>
      <c r="H1583" s="153" t="s">
        <v>10</v>
      </c>
    </row>
    <row r="1584" spans="1:8" x14ac:dyDescent="0.25">
      <c r="A1584" s="73">
        <v>44757</v>
      </c>
      <c r="B1584" s="74" t="s">
        <v>22908</v>
      </c>
      <c r="C1584" s="75" t="s">
        <v>27</v>
      </c>
      <c r="D1584" s="81">
        <v>1126</v>
      </c>
      <c r="E1584" s="151">
        <v>44757</v>
      </c>
      <c r="F1584" s="81">
        <v>1126</v>
      </c>
      <c r="G1584" s="156">
        <f>Tabla18[[#This Row],[Importe]]-Tabla18[[#This Row],[Pagado]]</f>
        <v>0</v>
      </c>
      <c r="H1584" s="75" t="s">
        <v>10</v>
      </c>
    </row>
    <row r="1585" spans="1:8" x14ac:dyDescent="0.25">
      <c r="A1585" s="148">
        <v>44757</v>
      </c>
      <c r="B1585" s="149" t="s">
        <v>22909</v>
      </c>
      <c r="C1585" s="153" t="s">
        <v>29</v>
      </c>
      <c r="D1585" s="154">
        <v>5528.6</v>
      </c>
      <c r="E1585" s="155">
        <v>44757</v>
      </c>
      <c r="F1585" s="154">
        <v>5528.6</v>
      </c>
      <c r="G1585" s="156">
        <f>Tabla18[[#This Row],[Importe]]-Tabla18[[#This Row],[Pagado]]</f>
        <v>0</v>
      </c>
      <c r="H1585" s="153" t="s">
        <v>10</v>
      </c>
    </row>
    <row r="1586" spans="1:8" x14ac:dyDescent="0.25">
      <c r="A1586" s="73">
        <v>44757</v>
      </c>
      <c r="B1586" s="74" t="s">
        <v>22910</v>
      </c>
      <c r="C1586" s="75" t="s">
        <v>16</v>
      </c>
      <c r="D1586" s="81">
        <v>4222.6000000000004</v>
      </c>
      <c r="E1586" s="151">
        <v>44757</v>
      </c>
      <c r="F1586" s="81">
        <v>4222.6000000000004</v>
      </c>
      <c r="G1586" s="156">
        <f>Tabla18[[#This Row],[Importe]]-Tabla18[[#This Row],[Pagado]]</f>
        <v>0</v>
      </c>
      <c r="H1586" s="75" t="s">
        <v>10</v>
      </c>
    </row>
    <row r="1587" spans="1:8" x14ac:dyDescent="0.25">
      <c r="A1587" s="148">
        <v>44757</v>
      </c>
      <c r="B1587" s="149" t="s">
        <v>22911</v>
      </c>
      <c r="C1587" s="153" t="s">
        <v>107</v>
      </c>
      <c r="D1587" s="154">
        <v>20330.400000000001</v>
      </c>
      <c r="E1587" s="155">
        <v>44757</v>
      </c>
      <c r="F1587" s="154">
        <v>20330.400000000001</v>
      </c>
      <c r="G1587" s="156">
        <f>Tabla18[[#This Row],[Importe]]-Tabla18[[#This Row],[Pagado]]</f>
        <v>0</v>
      </c>
      <c r="H1587" s="153" t="s">
        <v>10</v>
      </c>
    </row>
    <row r="1588" spans="1:8" x14ac:dyDescent="0.25">
      <c r="A1588" s="73">
        <v>44757</v>
      </c>
      <c r="B1588" s="74" t="s">
        <v>22912</v>
      </c>
      <c r="C1588" s="75" t="s">
        <v>333</v>
      </c>
      <c r="D1588" s="81">
        <v>313.26</v>
      </c>
      <c r="E1588" s="151">
        <v>44757</v>
      </c>
      <c r="F1588" s="81">
        <v>313.26</v>
      </c>
      <c r="G1588" s="156">
        <f>Tabla18[[#This Row],[Importe]]-Tabla18[[#This Row],[Pagado]]</f>
        <v>0</v>
      </c>
      <c r="H1588" s="75" t="s">
        <v>10</v>
      </c>
    </row>
    <row r="1589" spans="1:8" x14ac:dyDescent="0.25">
      <c r="A1589" s="148">
        <v>44757</v>
      </c>
      <c r="B1589" s="149" t="s">
        <v>22913</v>
      </c>
      <c r="C1589" s="153" t="s">
        <v>357</v>
      </c>
      <c r="D1589" s="154">
        <v>1591</v>
      </c>
      <c r="E1589" s="155">
        <v>44757</v>
      </c>
      <c r="F1589" s="154">
        <v>1591</v>
      </c>
      <c r="G1589" s="156">
        <f>Tabla18[[#This Row],[Importe]]-Tabla18[[#This Row],[Pagado]]</f>
        <v>0</v>
      </c>
      <c r="H1589" s="153" t="s">
        <v>10</v>
      </c>
    </row>
    <row r="1590" spans="1:8" x14ac:dyDescent="0.25">
      <c r="A1590" s="73">
        <v>44757</v>
      </c>
      <c r="B1590" s="74" t="s">
        <v>22914</v>
      </c>
      <c r="C1590" s="75" t="s">
        <v>140</v>
      </c>
      <c r="D1590" s="81">
        <v>1096</v>
      </c>
      <c r="E1590" s="151">
        <v>44757</v>
      </c>
      <c r="F1590" s="81">
        <v>1096</v>
      </c>
      <c r="G1590" s="156">
        <f>Tabla18[[#This Row],[Importe]]-Tabla18[[#This Row],[Pagado]]</f>
        <v>0</v>
      </c>
      <c r="H1590" s="75" t="s">
        <v>10</v>
      </c>
    </row>
    <row r="1591" spans="1:8" x14ac:dyDescent="0.25">
      <c r="A1591" s="148">
        <v>44757</v>
      </c>
      <c r="B1591" s="149" t="s">
        <v>22915</v>
      </c>
      <c r="C1591" s="153" t="s">
        <v>129</v>
      </c>
      <c r="D1591" s="154">
        <v>1441</v>
      </c>
      <c r="E1591" s="155">
        <v>44757</v>
      </c>
      <c r="F1591" s="154">
        <v>1441</v>
      </c>
      <c r="G1591" s="156">
        <f>Tabla18[[#This Row],[Importe]]-Tabla18[[#This Row],[Pagado]]</f>
        <v>0</v>
      </c>
      <c r="H1591" s="153" t="s">
        <v>10</v>
      </c>
    </row>
    <row r="1592" spans="1:8" x14ac:dyDescent="0.25">
      <c r="A1592" s="73">
        <v>44757</v>
      </c>
      <c r="B1592" s="74" t="s">
        <v>22916</v>
      </c>
      <c r="C1592" s="75" t="s">
        <v>127</v>
      </c>
      <c r="D1592" s="81">
        <v>5670.6</v>
      </c>
      <c r="E1592" s="151">
        <v>44757</v>
      </c>
      <c r="F1592" s="81">
        <v>5670.6</v>
      </c>
      <c r="G1592" s="156">
        <f>Tabla18[[#This Row],[Importe]]-Tabla18[[#This Row],[Pagado]]</f>
        <v>0</v>
      </c>
      <c r="H1592" s="75" t="s">
        <v>10</v>
      </c>
    </row>
    <row r="1593" spans="1:8" x14ac:dyDescent="0.25">
      <c r="A1593" s="148">
        <v>44757</v>
      </c>
      <c r="B1593" s="149" t="s">
        <v>22917</v>
      </c>
      <c r="C1593" s="153" t="s">
        <v>5816</v>
      </c>
      <c r="D1593" s="154">
        <v>6400</v>
      </c>
      <c r="E1593" s="155">
        <v>44758</v>
      </c>
      <c r="F1593" s="154">
        <v>6400</v>
      </c>
      <c r="G1593" s="156">
        <f>Tabla18[[#This Row],[Importe]]-Tabla18[[#This Row],[Pagado]]</f>
        <v>0</v>
      </c>
      <c r="H1593" s="153" t="s">
        <v>10</v>
      </c>
    </row>
    <row r="1594" spans="1:8" x14ac:dyDescent="0.25">
      <c r="A1594" s="73">
        <v>44757</v>
      </c>
      <c r="B1594" s="74" t="s">
        <v>22918</v>
      </c>
      <c r="C1594" s="75" t="s">
        <v>22783</v>
      </c>
      <c r="D1594" s="81">
        <v>1472</v>
      </c>
      <c r="E1594" s="151">
        <v>44757</v>
      </c>
      <c r="F1594" s="81">
        <v>1472</v>
      </c>
      <c r="G1594" s="156">
        <f>Tabla18[[#This Row],[Importe]]-Tabla18[[#This Row],[Pagado]]</f>
        <v>0</v>
      </c>
      <c r="H1594" s="75" t="s">
        <v>10</v>
      </c>
    </row>
    <row r="1595" spans="1:8" x14ac:dyDescent="0.25">
      <c r="A1595" s="148">
        <v>44757</v>
      </c>
      <c r="B1595" s="149" t="s">
        <v>22919</v>
      </c>
      <c r="C1595" s="153" t="s">
        <v>5816</v>
      </c>
      <c r="D1595" s="154">
        <v>1972</v>
      </c>
      <c r="E1595" s="155">
        <v>44758</v>
      </c>
      <c r="F1595" s="154">
        <v>1972</v>
      </c>
      <c r="G1595" s="156">
        <f>Tabla18[[#This Row],[Importe]]-Tabla18[[#This Row],[Pagado]]</f>
        <v>0</v>
      </c>
      <c r="H1595" s="153" t="s">
        <v>10</v>
      </c>
    </row>
    <row r="1596" spans="1:8" x14ac:dyDescent="0.25">
      <c r="A1596" s="73">
        <v>44757</v>
      </c>
      <c r="B1596" s="74" t="s">
        <v>22920</v>
      </c>
      <c r="C1596" s="75" t="s">
        <v>1378</v>
      </c>
      <c r="D1596" s="81">
        <v>82079</v>
      </c>
      <c r="E1596" s="151">
        <v>44758</v>
      </c>
      <c r="F1596" s="81">
        <v>82079</v>
      </c>
      <c r="G1596" s="156">
        <f>Tabla18[[#This Row],[Importe]]-Tabla18[[#This Row],[Pagado]]</f>
        <v>0</v>
      </c>
      <c r="H1596" s="75" t="s">
        <v>10</v>
      </c>
    </row>
    <row r="1597" spans="1:8" x14ac:dyDescent="0.25">
      <c r="A1597" s="148">
        <v>44757</v>
      </c>
      <c r="B1597" s="149" t="s">
        <v>22921</v>
      </c>
      <c r="C1597" s="153" t="s">
        <v>133</v>
      </c>
      <c r="D1597" s="154">
        <v>28218.799999999999</v>
      </c>
      <c r="E1597" s="155">
        <v>44770</v>
      </c>
      <c r="F1597" s="154">
        <v>28218.799999999999</v>
      </c>
      <c r="G1597" s="156">
        <f>Tabla18[[#This Row],[Importe]]-Tabla18[[#This Row],[Pagado]]</f>
        <v>0</v>
      </c>
      <c r="H1597" s="153" t="s">
        <v>10</v>
      </c>
    </row>
    <row r="1598" spans="1:8" x14ac:dyDescent="0.25">
      <c r="A1598" s="73">
        <v>44757</v>
      </c>
      <c r="B1598" s="74" t="s">
        <v>22922</v>
      </c>
      <c r="C1598" s="75" t="s">
        <v>31</v>
      </c>
      <c r="D1598" s="81">
        <v>5285.7</v>
      </c>
      <c r="E1598" s="151">
        <v>44757</v>
      </c>
      <c r="F1598" s="81">
        <v>5285.7</v>
      </c>
      <c r="G1598" s="156">
        <f>Tabla18[[#This Row],[Importe]]-Tabla18[[#This Row],[Pagado]]</f>
        <v>0</v>
      </c>
      <c r="H1598" s="75" t="s">
        <v>10</v>
      </c>
    </row>
    <row r="1599" spans="1:8" x14ac:dyDescent="0.25">
      <c r="A1599" s="148">
        <v>44757</v>
      </c>
      <c r="B1599" s="149" t="s">
        <v>22923</v>
      </c>
      <c r="C1599" s="153" t="s">
        <v>214</v>
      </c>
      <c r="D1599" s="154">
        <v>1486.1</v>
      </c>
      <c r="E1599" s="155">
        <v>44757</v>
      </c>
      <c r="F1599" s="154">
        <v>1486.1</v>
      </c>
      <c r="G1599" s="156">
        <f>Tabla18[[#This Row],[Importe]]-Tabla18[[#This Row],[Pagado]]</f>
        <v>0</v>
      </c>
      <c r="H1599" s="153" t="s">
        <v>10</v>
      </c>
    </row>
    <row r="1600" spans="1:8" x14ac:dyDescent="0.25">
      <c r="A1600" s="73">
        <v>44757</v>
      </c>
      <c r="B1600" s="74" t="s">
        <v>22924</v>
      </c>
      <c r="C1600" s="75" t="s">
        <v>56</v>
      </c>
      <c r="D1600" s="81">
        <v>9255</v>
      </c>
      <c r="E1600" s="151">
        <v>44757</v>
      </c>
      <c r="F1600" s="81">
        <v>9255</v>
      </c>
      <c r="G1600" s="156">
        <f>Tabla18[[#This Row],[Importe]]-Tabla18[[#This Row],[Pagado]]</f>
        <v>0</v>
      </c>
      <c r="H1600" s="75" t="s">
        <v>10</v>
      </c>
    </row>
    <row r="1601" spans="1:8" x14ac:dyDescent="0.25">
      <c r="A1601" s="148">
        <v>44757</v>
      </c>
      <c r="B1601" s="149" t="s">
        <v>22925</v>
      </c>
      <c r="C1601" s="153" t="s">
        <v>173</v>
      </c>
      <c r="D1601" s="154">
        <v>17386.599999999999</v>
      </c>
      <c r="E1601" s="155">
        <v>44758</v>
      </c>
      <c r="F1601" s="154">
        <v>17386.599999999999</v>
      </c>
      <c r="G1601" s="156">
        <f>Tabla18[[#This Row],[Importe]]-Tabla18[[#This Row],[Pagado]]</f>
        <v>0</v>
      </c>
      <c r="H1601" s="153" t="s">
        <v>10</v>
      </c>
    </row>
    <row r="1602" spans="1:8" x14ac:dyDescent="0.25">
      <c r="A1602" s="73">
        <v>44757</v>
      </c>
      <c r="B1602" s="74" t="s">
        <v>22926</v>
      </c>
      <c r="C1602" s="75" t="s">
        <v>212</v>
      </c>
      <c r="D1602" s="81">
        <v>27572.2</v>
      </c>
      <c r="E1602" s="151">
        <v>44762</v>
      </c>
      <c r="F1602" s="81">
        <v>27572.2</v>
      </c>
      <c r="G1602" s="156">
        <f>Tabla18[[#This Row],[Importe]]-Tabla18[[#This Row],[Pagado]]</f>
        <v>0</v>
      </c>
      <c r="H1602" s="75" t="s">
        <v>10</v>
      </c>
    </row>
    <row r="1603" spans="1:8" x14ac:dyDescent="0.25">
      <c r="A1603" s="148">
        <v>44757</v>
      </c>
      <c r="B1603" s="149" t="s">
        <v>22927</v>
      </c>
      <c r="C1603" s="153" t="s">
        <v>849</v>
      </c>
      <c r="D1603" s="154">
        <v>5832</v>
      </c>
      <c r="E1603" s="155">
        <v>44757</v>
      </c>
      <c r="F1603" s="154">
        <v>5832</v>
      </c>
      <c r="G1603" s="156">
        <f>Tabla18[[#This Row],[Importe]]-Tabla18[[#This Row],[Pagado]]</f>
        <v>0</v>
      </c>
      <c r="H1603" s="153" t="s">
        <v>10</v>
      </c>
    </row>
    <row r="1604" spans="1:8" x14ac:dyDescent="0.25">
      <c r="A1604" s="73">
        <v>44757</v>
      </c>
      <c r="B1604" s="74" t="s">
        <v>22928</v>
      </c>
      <c r="C1604" s="75" t="s">
        <v>31</v>
      </c>
      <c r="D1604" s="81">
        <v>3288</v>
      </c>
      <c r="E1604" s="151">
        <v>44757</v>
      </c>
      <c r="F1604" s="81">
        <v>3288</v>
      </c>
      <c r="G1604" s="156">
        <f>Tabla18[[#This Row],[Importe]]-Tabla18[[#This Row],[Pagado]]</f>
        <v>0</v>
      </c>
      <c r="H1604" s="75" t="s">
        <v>10</v>
      </c>
    </row>
    <row r="1605" spans="1:8" x14ac:dyDescent="0.25">
      <c r="A1605" s="148">
        <v>44757</v>
      </c>
      <c r="B1605" s="149" t="s">
        <v>22929</v>
      </c>
      <c r="C1605" s="153" t="s">
        <v>9827</v>
      </c>
      <c r="D1605" s="154">
        <v>1478.4</v>
      </c>
      <c r="E1605" s="155">
        <v>44757</v>
      </c>
      <c r="F1605" s="154">
        <v>1478.4</v>
      </c>
      <c r="G1605" s="156">
        <f>Tabla18[[#This Row],[Importe]]-Tabla18[[#This Row],[Pagado]]</f>
        <v>0</v>
      </c>
      <c r="H1605" s="153" t="s">
        <v>10</v>
      </c>
    </row>
    <row r="1606" spans="1:8" x14ac:dyDescent="0.25">
      <c r="A1606" s="73">
        <v>44757</v>
      </c>
      <c r="B1606" s="74" t="s">
        <v>22930</v>
      </c>
      <c r="C1606" s="75" t="s">
        <v>24</v>
      </c>
      <c r="D1606" s="81">
        <v>864</v>
      </c>
      <c r="E1606" s="151">
        <v>44757</v>
      </c>
      <c r="F1606" s="81">
        <v>864</v>
      </c>
      <c r="G1606" s="156">
        <f>Tabla18[[#This Row],[Importe]]-Tabla18[[#This Row],[Pagado]]</f>
        <v>0</v>
      </c>
      <c r="H1606" s="75" t="s">
        <v>10</v>
      </c>
    </row>
    <row r="1607" spans="1:8" x14ac:dyDescent="0.25">
      <c r="A1607" s="148">
        <v>44757</v>
      </c>
      <c r="B1607" s="149" t="s">
        <v>22931</v>
      </c>
      <c r="C1607" s="153" t="s">
        <v>51</v>
      </c>
      <c r="D1607" s="154">
        <v>3628</v>
      </c>
      <c r="E1607" s="155">
        <v>44757</v>
      </c>
      <c r="F1607" s="154">
        <v>3628</v>
      </c>
      <c r="G1607" s="156">
        <f>Tabla18[[#This Row],[Importe]]-Tabla18[[#This Row],[Pagado]]</f>
        <v>0</v>
      </c>
      <c r="H1607" s="153" t="s">
        <v>10</v>
      </c>
    </row>
    <row r="1608" spans="1:8" x14ac:dyDescent="0.25">
      <c r="A1608" s="73">
        <v>44757</v>
      </c>
      <c r="B1608" s="74" t="s">
        <v>22932</v>
      </c>
      <c r="C1608" s="75" t="s">
        <v>541</v>
      </c>
      <c r="D1608" s="81">
        <v>8631.6</v>
      </c>
      <c r="E1608" s="151">
        <v>44758</v>
      </c>
      <c r="F1608" s="81">
        <v>8631.6</v>
      </c>
      <c r="G1608" s="156">
        <f>Tabla18[[#This Row],[Importe]]-Tabla18[[#This Row],[Pagado]]</f>
        <v>0</v>
      </c>
      <c r="H1608" s="75" t="s">
        <v>10</v>
      </c>
    </row>
    <row r="1609" spans="1:8" x14ac:dyDescent="0.25">
      <c r="A1609" s="148">
        <v>44757</v>
      </c>
      <c r="B1609" s="149" t="s">
        <v>22933</v>
      </c>
      <c r="C1609" s="153" t="s">
        <v>670</v>
      </c>
      <c r="D1609" s="154">
        <v>4336.3999999999996</v>
      </c>
      <c r="E1609" s="155">
        <v>44757</v>
      </c>
      <c r="F1609" s="154">
        <v>4336.3999999999996</v>
      </c>
      <c r="G1609" s="156">
        <f>Tabla18[[#This Row],[Importe]]-Tabla18[[#This Row],[Pagado]]</f>
        <v>0</v>
      </c>
      <c r="H1609" s="153" t="s">
        <v>10</v>
      </c>
    </row>
    <row r="1610" spans="1:8" x14ac:dyDescent="0.25">
      <c r="A1610" s="73">
        <v>44757</v>
      </c>
      <c r="B1610" s="74" t="s">
        <v>22934</v>
      </c>
      <c r="C1610" s="75" t="s">
        <v>53</v>
      </c>
      <c r="D1610" s="81">
        <v>1048</v>
      </c>
      <c r="E1610" s="151">
        <v>44757</v>
      </c>
      <c r="F1610" s="81">
        <v>1048</v>
      </c>
      <c r="G1610" s="156">
        <f>Tabla18[[#This Row],[Importe]]-Tabla18[[#This Row],[Pagado]]</f>
        <v>0</v>
      </c>
      <c r="H1610" s="75" t="s">
        <v>10</v>
      </c>
    </row>
    <row r="1611" spans="1:8" x14ac:dyDescent="0.25">
      <c r="A1611" s="148">
        <v>44757</v>
      </c>
      <c r="B1611" s="149" t="s">
        <v>22935</v>
      </c>
      <c r="C1611" s="153" t="s">
        <v>555</v>
      </c>
      <c r="D1611" s="154">
        <v>27285.7</v>
      </c>
      <c r="E1611" s="155">
        <v>44758</v>
      </c>
      <c r="F1611" s="154">
        <v>27285.7</v>
      </c>
      <c r="G1611" s="156">
        <f>Tabla18[[#This Row],[Importe]]-Tabla18[[#This Row],[Pagado]]</f>
        <v>0</v>
      </c>
      <c r="H1611" s="153" t="s">
        <v>10</v>
      </c>
    </row>
    <row r="1612" spans="1:8" x14ac:dyDescent="0.25">
      <c r="A1612" s="73">
        <v>44757</v>
      </c>
      <c r="B1612" s="74" t="s">
        <v>22936</v>
      </c>
      <c r="C1612" s="75" t="s">
        <v>654</v>
      </c>
      <c r="D1612" s="81">
        <v>5392.5</v>
      </c>
      <c r="E1612" s="151">
        <v>44758</v>
      </c>
      <c r="F1612" s="81">
        <v>5392.5</v>
      </c>
      <c r="G1612" s="156">
        <f>Tabla18[[#This Row],[Importe]]-Tabla18[[#This Row],[Pagado]]</f>
        <v>0</v>
      </c>
      <c r="H1612" s="75" t="s">
        <v>10</v>
      </c>
    </row>
    <row r="1613" spans="1:8" x14ac:dyDescent="0.25">
      <c r="A1613" s="148">
        <v>44757</v>
      </c>
      <c r="B1613" s="149" t="s">
        <v>22937</v>
      </c>
      <c r="C1613" s="153" t="s">
        <v>1003</v>
      </c>
      <c r="D1613" s="154">
        <v>7362.3</v>
      </c>
      <c r="E1613" s="155">
        <v>44759</v>
      </c>
      <c r="F1613" s="154">
        <v>7362.3</v>
      </c>
      <c r="G1613" s="156">
        <f>Tabla18[[#This Row],[Importe]]-Tabla18[[#This Row],[Pagado]]</f>
        <v>0</v>
      </c>
      <c r="H1613" s="153" t="s">
        <v>10</v>
      </c>
    </row>
    <row r="1614" spans="1:8" x14ac:dyDescent="0.25">
      <c r="A1614" s="73">
        <v>44757</v>
      </c>
      <c r="B1614" s="74" t="s">
        <v>22938</v>
      </c>
      <c r="C1614" s="75" t="s">
        <v>3402</v>
      </c>
      <c r="D1614" s="81">
        <v>466.4</v>
      </c>
      <c r="E1614" s="151">
        <v>44757</v>
      </c>
      <c r="F1614" s="81">
        <v>466.4</v>
      </c>
      <c r="G1614" s="156">
        <f>Tabla18[[#This Row],[Importe]]-Tabla18[[#This Row],[Pagado]]</f>
        <v>0</v>
      </c>
      <c r="H1614" s="75" t="s">
        <v>10</v>
      </c>
    </row>
    <row r="1615" spans="1:8" x14ac:dyDescent="0.25">
      <c r="A1615" s="148">
        <v>44757</v>
      </c>
      <c r="B1615" s="149" t="s">
        <v>22939</v>
      </c>
      <c r="C1615" s="153" t="s">
        <v>191</v>
      </c>
      <c r="D1615" s="154">
        <v>3294.8</v>
      </c>
      <c r="E1615" s="155">
        <v>44757</v>
      </c>
      <c r="F1615" s="154">
        <v>3294.8</v>
      </c>
      <c r="G1615" s="156">
        <f>Tabla18[[#This Row],[Importe]]-Tabla18[[#This Row],[Pagado]]</f>
        <v>0</v>
      </c>
      <c r="H1615" s="153" t="s">
        <v>10</v>
      </c>
    </row>
    <row r="1616" spans="1:8" x14ac:dyDescent="0.25">
      <c r="A1616" s="73">
        <v>44757</v>
      </c>
      <c r="B1616" s="74" t="s">
        <v>22940</v>
      </c>
      <c r="C1616" s="75" t="s">
        <v>151</v>
      </c>
      <c r="D1616" s="81">
        <v>19274.759999999998</v>
      </c>
      <c r="E1616" s="151">
        <v>44757</v>
      </c>
      <c r="F1616" s="81">
        <v>19274.759999999998</v>
      </c>
      <c r="G1616" s="156">
        <f>Tabla18[[#This Row],[Importe]]-Tabla18[[#This Row],[Pagado]]</f>
        <v>0</v>
      </c>
      <c r="H1616" s="75" t="s">
        <v>10</v>
      </c>
    </row>
    <row r="1617" spans="1:8" x14ac:dyDescent="0.25">
      <c r="A1617" s="148">
        <v>44757</v>
      </c>
      <c r="B1617" s="149" t="s">
        <v>22941</v>
      </c>
      <c r="C1617" s="153" t="s">
        <v>452</v>
      </c>
      <c r="D1617" s="154">
        <v>6016</v>
      </c>
      <c r="E1617" s="155">
        <v>44757</v>
      </c>
      <c r="F1617" s="154">
        <v>6016</v>
      </c>
      <c r="G1617" s="156">
        <f>Tabla18[[#This Row],[Importe]]-Tabla18[[#This Row],[Pagado]]</f>
        <v>0</v>
      </c>
      <c r="H1617" s="153" t="s">
        <v>10</v>
      </c>
    </row>
    <row r="1618" spans="1:8" x14ac:dyDescent="0.25">
      <c r="A1618" s="73">
        <v>44757</v>
      </c>
      <c r="B1618" s="74" t="s">
        <v>22942</v>
      </c>
      <c r="C1618" s="75" t="s">
        <v>11383</v>
      </c>
      <c r="D1618" s="81">
        <v>28879.599999999999</v>
      </c>
      <c r="E1618" s="151">
        <v>44757</v>
      </c>
      <c r="F1618" s="81">
        <v>28879.599999999999</v>
      </c>
      <c r="G1618" s="156">
        <f>Tabla18[[#This Row],[Importe]]-Tabla18[[#This Row],[Pagado]]</f>
        <v>0</v>
      </c>
      <c r="H1618" s="75" t="s">
        <v>10</v>
      </c>
    </row>
    <row r="1619" spans="1:8" x14ac:dyDescent="0.25">
      <c r="A1619" s="148">
        <v>44757</v>
      </c>
      <c r="B1619" s="149" t="s">
        <v>22943</v>
      </c>
      <c r="C1619" s="153" t="s">
        <v>840</v>
      </c>
      <c r="D1619" s="154">
        <v>19505.96</v>
      </c>
      <c r="E1619" s="155">
        <v>44757</v>
      </c>
      <c r="F1619" s="154">
        <v>19505.96</v>
      </c>
      <c r="G1619" s="156">
        <f>Tabla18[[#This Row],[Importe]]-Tabla18[[#This Row],[Pagado]]</f>
        <v>0</v>
      </c>
      <c r="H1619" s="153" t="s">
        <v>10</v>
      </c>
    </row>
    <row r="1620" spans="1:8" x14ac:dyDescent="0.25">
      <c r="A1620" s="73">
        <v>44757</v>
      </c>
      <c r="B1620" s="74" t="s">
        <v>22944</v>
      </c>
      <c r="C1620" s="75" t="s">
        <v>15039</v>
      </c>
      <c r="D1620" s="81">
        <v>4111.6000000000004</v>
      </c>
      <c r="E1620" s="151">
        <v>44757</v>
      </c>
      <c r="F1620" s="81">
        <v>4111.6000000000004</v>
      </c>
      <c r="G1620" s="156">
        <f>Tabla18[[#This Row],[Importe]]-Tabla18[[#This Row],[Pagado]]</f>
        <v>0</v>
      </c>
      <c r="H1620" s="75" t="s">
        <v>10</v>
      </c>
    </row>
    <row r="1621" spans="1:8" x14ac:dyDescent="0.25">
      <c r="A1621" s="148">
        <v>44757</v>
      </c>
      <c r="B1621" s="149" t="s">
        <v>22945</v>
      </c>
      <c r="C1621" s="153" t="s">
        <v>58</v>
      </c>
      <c r="D1621" s="154">
        <v>7362.9</v>
      </c>
      <c r="E1621" s="155">
        <v>44757</v>
      </c>
      <c r="F1621" s="154">
        <v>7362.9</v>
      </c>
      <c r="G1621" s="156">
        <f>Tabla18[[#This Row],[Importe]]-Tabla18[[#This Row],[Pagado]]</f>
        <v>0</v>
      </c>
      <c r="H1621" s="153" t="s">
        <v>10</v>
      </c>
    </row>
    <row r="1622" spans="1:8" x14ac:dyDescent="0.25">
      <c r="A1622" s="73">
        <v>44757</v>
      </c>
      <c r="B1622" s="74" t="s">
        <v>22946</v>
      </c>
      <c r="C1622" s="75" t="s">
        <v>365</v>
      </c>
      <c r="D1622" s="81">
        <v>426</v>
      </c>
      <c r="E1622" s="151">
        <v>44757</v>
      </c>
      <c r="F1622" s="81">
        <v>426</v>
      </c>
      <c r="G1622" s="156">
        <f>Tabla18[[#This Row],[Importe]]-Tabla18[[#This Row],[Pagado]]</f>
        <v>0</v>
      </c>
      <c r="H1622" s="75" t="s">
        <v>10</v>
      </c>
    </row>
    <row r="1623" spans="1:8" x14ac:dyDescent="0.25">
      <c r="A1623" s="148">
        <v>44757</v>
      </c>
      <c r="B1623" s="149" t="s">
        <v>22947</v>
      </c>
      <c r="C1623" s="153" t="s">
        <v>518</v>
      </c>
      <c r="D1623" s="154">
        <v>6262.5</v>
      </c>
      <c r="E1623" s="155">
        <v>44757</v>
      </c>
      <c r="F1623" s="154">
        <v>6262.5</v>
      </c>
      <c r="G1623" s="156">
        <f>Tabla18[[#This Row],[Importe]]-Tabla18[[#This Row],[Pagado]]</f>
        <v>0</v>
      </c>
      <c r="H1623" s="153" t="s">
        <v>10</v>
      </c>
    </row>
    <row r="1624" spans="1:8" x14ac:dyDescent="0.25">
      <c r="A1624" s="73">
        <v>44757</v>
      </c>
      <c r="B1624" s="74" t="s">
        <v>22948</v>
      </c>
      <c r="C1624" s="75" t="s">
        <v>11383</v>
      </c>
      <c r="D1624" s="81">
        <v>5981.2</v>
      </c>
      <c r="E1624" s="151">
        <v>44757</v>
      </c>
      <c r="F1624" s="81">
        <v>5981.2</v>
      </c>
      <c r="G1624" s="156">
        <f>Tabla18[[#This Row],[Importe]]-Tabla18[[#This Row],[Pagado]]</f>
        <v>0</v>
      </c>
      <c r="H1624" s="75" t="s">
        <v>10</v>
      </c>
    </row>
    <row r="1625" spans="1:8" x14ac:dyDescent="0.25">
      <c r="A1625" s="148">
        <v>44757</v>
      </c>
      <c r="B1625" s="149" t="s">
        <v>22949</v>
      </c>
      <c r="C1625" s="153" t="s">
        <v>1265</v>
      </c>
      <c r="D1625" s="154">
        <v>959</v>
      </c>
      <c r="E1625" s="155">
        <v>44757</v>
      </c>
      <c r="F1625" s="154">
        <v>959</v>
      </c>
      <c r="G1625" s="156">
        <f>Tabla18[[#This Row],[Importe]]-Tabla18[[#This Row],[Pagado]]</f>
        <v>0</v>
      </c>
      <c r="H1625" s="153" t="s">
        <v>10</v>
      </c>
    </row>
    <row r="1626" spans="1:8" x14ac:dyDescent="0.25">
      <c r="A1626" s="73">
        <v>44757</v>
      </c>
      <c r="B1626" s="74" t="s">
        <v>22950</v>
      </c>
      <c r="C1626" s="75" t="s">
        <v>206</v>
      </c>
      <c r="D1626" s="81">
        <v>34644.800000000003</v>
      </c>
      <c r="E1626" s="151">
        <v>44763</v>
      </c>
      <c r="F1626" s="81">
        <v>34644.800000000003</v>
      </c>
      <c r="G1626" s="156">
        <f>Tabla18[[#This Row],[Importe]]-Tabla18[[#This Row],[Pagado]]</f>
        <v>0</v>
      </c>
      <c r="H1626" s="75" t="s">
        <v>10</v>
      </c>
    </row>
    <row r="1627" spans="1:8" x14ac:dyDescent="0.25">
      <c r="A1627" s="148">
        <v>44757</v>
      </c>
      <c r="B1627" s="149" t="s">
        <v>22951</v>
      </c>
      <c r="C1627" s="153" t="s">
        <v>10157</v>
      </c>
      <c r="D1627" s="154">
        <v>38122.04</v>
      </c>
      <c r="E1627" s="155">
        <v>44765</v>
      </c>
      <c r="F1627" s="154">
        <v>38122.04</v>
      </c>
      <c r="G1627" s="156">
        <f>Tabla18[[#This Row],[Importe]]-Tabla18[[#This Row],[Pagado]]</f>
        <v>0</v>
      </c>
      <c r="H1627" s="153" t="s">
        <v>10</v>
      </c>
    </row>
    <row r="1628" spans="1:8" x14ac:dyDescent="0.25">
      <c r="A1628" s="73">
        <v>44757</v>
      </c>
      <c r="B1628" s="74" t="s">
        <v>22952</v>
      </c>
      <c r="C1628" s="75" t="s">
        <v>154</v>
      </c>
      <c r="D1628" s="81">
        <v>56876.800000000003</v>
      </c>
      <c r="E1628" s="151">
        <v>44762</v>
      </c>
      <c r="F1628" s="81">
        <v>56876.800000000003</v>
      </c>
      <c r="G1628" s="156">
        <f>Tabla18[[#This Row],[Importe]]-Tabla18[[#This Row],[Pagado]]</f>
        <v>0</v>
      </c>
      <c r="H1628" s="75" t="s">
        <v>10</v>
      </c>
    </row>
    <row r="1629" spans="1:8" x14ac:dyDescent="0.25">
      <c r="A1629" s="148">
        <v>44757</v>
      </c>
      <c r="B1629" s="149" t="s">
        <v>22953</v>
      </c>
      <c r="C1629" s="153" t="s">
        <v>218</v>
      </c>
      <c r="D1629" s="154">
        <v>25272.400000000001</v>
      </c>
      <c r="E1629" s="155">
        <v>44763</v>
      </c>
      <c r="F1629" s="154">
        <v>25272.400000000001</v>
      </c>
      <c r="G1629" s="156">
        <f>Tabla18[[#This Row],[Importe]]-Tabla18[[#This Row],[Pagado]]</f>
        <v>0</v>
      </c>
      <c r="H1629" s="153" t="s">
        <v>10</v>
      </c>
    </row>
    <row r="1630" spans="1:8" x14ac:dyDescent="0.25">
      <c r="A1630" s="73">
        <v>44757</v>
      </c>
      <c r="B1630" s="74" t="s">
        <v>22954</v>
      </c>
      <c r="C1630" s="75" t="s">
        <v>67</v>
      </c>
      <c r="D1630" s="81">
        <v>8666.5</v>
      </c>
      <c r="E1630" s="151">
        <v>44757</v>
      </c>
      <c r="F1630" s="81">
        <v>8666.5</v>
      </c>
      <c r="G1630" s="156">
        <f>Tabla18[[#This Row],[Importe]]-Tabla18[[#This Row],[Pagado]]</f>
        <v>0</v>
      </c>
      <c r="H1630" s="75" t="s">
        <v>10</v>
      </c>
    </row>
    <row r="1631" spans="1:8" x14ac:dyDescent="0.25">
      <c r="A1631" s="148">
        <v>44757</v>
      </c>
      <c r="B1631" s="149" t="s">
        <v>22955</v>
      </c>
      <c r="C1631" s="153" t="s">
        <v>31</v>
      </c>
      <c r="D1631" s="154">
        <v>669.9</v>
      </c>
      <c r="E1631" s="155">
        <v>44757</v>
      </c>
      <c r="F1631" s="154">
        <v>669.9</v>
      </c>
      <c r="G1631" s="156">
        <f>Tabla18[[#This Row],[Importe]]-Tabla18[[#This Row],[Pagado]]</f>
        <v>0</v>
      </c>
      <c r="H1631" s="153" t="s">
        <v>10</v>
      </c>
    </row>
    <row r="1632" spans="1:8" x14ac:dyDescent="0.25">
      <c r="A1632" s="73">
        <v>44757</v>
      </c>
      <c r="B1632" s="74" t="s">
        <v>22956</v>
      </c>
      <c r="C1632" s="75" t="s">
        <v>11383</v>
      </c>
      <c r="D1632" s="81">
        <v>880</v>
      </c>
      <c r="E1632" s="151">
        <v>44757</v>
      </c>
      <c r="F1632" s="81">
        <v>880</v>
      </c>
      <c r="G1632" s="156">
        <f>Tabla18[[#This Row],[Importe]]-Tabla18[[#This Row],[Pagado]]</f>
        <v>0</v>
      </c>
      <c r="H1632" s="75" t="s">
        <v>10</v>
      </c>
    </row>
    <row r="1633" spans="1:8" x14ac:dyDescent="0.25">
      <c r="A1633" s="148">
        <v>44757</v>
      </c>
      <c r="B1633" s="149" t="s">
        <v>22957</v>
      </c>
      <c r="C1633" s="153" t="s">
        <v>452</v>
      </c>
      <c r="D1633" s="154">
        <v>2304</v>
      </c>
      <c r="E1633" s="155">
        <v>44757</v>
      </c>
      <c r="F1633" s="154">
        <v>2304</v>
      </c>
      <c r="G1633" s="156">
        <f>Tabla18[[#This Row],[Importe]]-Tabla18[[#This Row],[Pagado]]</f>
        <v>0</v>
      </c>
      <c r="H1633" s="153" t="s">
        <v>10</v>
      </c>
    </row>
    <row r="1634" spans="1:8" x14ac:dyDescent="0.25">
      <c r="A1634" s="73">
        <v>44757</v>
      </c>
      <c r="B1634" s="74" t="s">
        <v>22958</v>
      </c>
      <c r="C1634" s="75" t="s">
        <v>698</v>
      </c>
      <c r="D1634" s="81">
        <v>6150.2</v>
      </c>
      <c r="E1634" s="151">
        <v>44757</v>
      </c>
      <c r="F1634" s="81">
        <v>6150.2</v>
      </c>
      <c r="G1634" s="156">
        <f>Tabla18[[#This Row],[Importe]]-Tabla18[[#This Row],[Pagado]]</f>
        <v>0</v>
      </c>
      <c r="H1634" s="75" t="s">
        <v>10</v>
      </c>
    </row>
    <row r="1635" spans="1:8" x14ac:dyDescent="0.25">
      <c r="A1635" s="148">
        <v>44757</v>
      </c>
      <c r="B1635" s="149" t="s">
        <v>22959</v>
      </c>
      <c r="C1635" s="153" t="s">
        <v>142</v>
      </c>
      <c r="D1635" s="154">
        <v>83843.7</v>
      </c>
      <c r="E1635" s="155">
        <v>44799</v>
      </c>
      <c r="F1635" s="154">
        <v>83843.7</v>
      </c>
      <c r="G1635" s="156">
        <f>Tabla18[[#This Row],[Importe]]-Tabla18[[#This Row],[Pagado]]</f>
        <v>0</v>
      </c>
      <c r="H1635" s="153" t="s">
        <v>10</v>
      </c>
    </row>
    <row r="1636" spans="1:8" x14ac:dyDescent="0.25">
      <c r="A1636" s="73">
        <v>44757</v>
      </c>
      <c r="B1636" s="74" t="s">
        <v>22960</v>
      </c>
      <c r="C1636" s="75" t="s">
        <v>9827</v>
      </c>
      <c r="D1636" s="81">
        <v>3717.3</v>
      </c>
      <c r="E1636" s="151">
        <v>44757</v>
      </c>
      <c r="F1636" s="81">
        <v>3717.3</v>
      </c>
      <c r="G1636" s="156">
        <f>Tabla18[[#This Row],[Importe]]-Tabla18[[#This Row],[Pagado]]</f>
        <v>0</v>
      </c>
      <c r="H1636" s="75" t="s">
        <v>10</v>
      </c>
    </row>
    <row r="1637" spans="1:8" x14ac:dyDescent="0.25">
      <c r="A1637" s="148">
        <v>44757</v>
      </c>
      <c r="B1637" s="149" t="s">
        <v>22961</v>
      </c>
      <c r="C1637" s="153" t="s">
        <v>91</v>
      </c>
      <c r="D1637" s="154">
        <v>6930</v>
      </c>
      <c r="E1637" s="155">
        <v>44758</v>
      </c>
      <c r="F1637" s="154">
        <v>6930</v>
      </c>
      <c r="G1637" s="156">
        <f>Tabla18[[#This Row],[Importe]]-Tabla18[[#This Row],[Pagado]]</f>
        <v>0</v>
      </c>
      <c r="H1637" s="153" t="s">
        <v>10</v>
      </c>
    </row>
    <row r="1638" spans="1:8" x14ac:dyDescent="0.25">
      <c r="A1638" s="73">
        <v>44757</v>
      </c>
      <c r="B1638" s="74" t="s">
        <v>22962</v>
      </c>
      <c r="C1638" s="75" t="s">
        <v>273</v>
      </c>
      <c r="D1638" s="81">
        <v>2268</v>
      </c>
      <c r="E1638" s="151">
        <v>44757</v>
      </c>
      <c r="F1638" s="81">
        <v>2268</v>
      </c>
      <c r="G1638" s="156">
        <f>Tabla18[[#This Row],[Importe]]-Tabla18[[#This Row],[Pagado]]</f>
        <v>0</v>
      </c>
      <c r="H1638" s="75" t="s">
        <v>10</v>
      </c>
    </row>
    <row r="1639" spans="1:8" x14ac:dyDescent="0.25">
      <c r="A1639" s="148">
        <v>44757</v>
      </c>
      <c r="B1639" s="149" t="s">
        <v>22963</v>
      </c>
      <c r="C1639" s="153" t="s">
        <v>175</v>
      </c>
      <c r="D1639" s="154">
        <v>38102.6</v>
      </c>
      <c r="E1639" s="155">
        <v>44757</v>
      </c>
      <c r="F1639" s="154">
        <v>38102.6</v>
      </c>
      <c r="G1639" s="156">
        <f>Tabla18[[#This Row],[Importe]]-Tabla18[[#This Row],[Pagado]]</f>
        <v>0</v>
      </c>
      <c r="H1639" s="153" t="s">
        <v>10</v>
      </c>
    </row>
    <row r="1640" spans="1:8" x14ac:dyDescent="0.25">
      <c r="A1640" s="73">
        <v>44757</v>
      </c>
      <c r="B1640" s="74" t="s">
        <v>22964</v>
      </c>
      <c r="C1640" s="75" t="s">
        <v>167</v>
      </c>
      <c r="D1640" s="81">
        <v>6786</v>
      </c>
      <c r="E1640" s="151">
        <v>44757</v>
      </c>
      <c r="F1640" s="81">
        <v>6786</v>
      </c>
      <c r="G1640" s="156">
        <f>Tabla18[[#This Row],[Importe]]-Tabla18[[#This Row],[Pagado]]</f>
        <v>0</v>
      </c>
      <c r="H1640" s="75" t="s">
        <v>10</v>
      </c>
    </row>
    <row r="1641" spans="1:8" x14ac:dyDescent="0.25">
      <c r="A1641" s="148">
        <v>44757</v>
      </c>
      <c r="B1641" s="149" t="s">
        <v>22965</v>
      </c>
      <c r="C1641" s="153" t="s">
        <v>31</v>
      </c>
      <c r="D1641" s="154">
        <v>1966.8</v>
      </c>
      <c r="E1641" s="155">
        <v>44757</v>
      </c>
      <c r="F1641" s="154">
        <v>1966.8</v>
      </c>
      <c r="G1641" s="156">
        <f>Tabla18[[#This Row],[Importe]]-Tabla18[[#This Row],[Pagado]]</f>
        <v>0</v>
      </c>
      <c r="H1641" s="153" t="s">
        <v>10</v>
      </c>
    </row>
    <row r="1642" spans="1:8" x14ac:dyDescent="0.25">
      <c r="A1642" s="73">
        <v>44757</v>
      </c>
      <c r="B1642" s="74" t="s">
        <v>22966</v>
      </c>
      <c r="C1642" s="75" t="s">
        <v>2139</v>
      </c>
      <c r="D1642" s="81">
        <v>603.20000000000005</v>
      </c>
      <c r="E1642" s="151">
        <v>44757</v>
      </c>
      <c r="F1642" s="81">
        <v>603.20000000000005</v>
      </c>
      <c r="G1642" s="156">
        <f>Tabla18[[#This Row],[Importe]]-Tabla18[[#This Row],[Pagado]]</f>
        <v>0</v>
      </c>
      <c r="H1642" s="75" t="s">
        <v>10</v>
      </c>
    </row>
    <row r="1643" spans="1:8" x14ac:dyDescent="0.25">
      <c r="A1643" s="148">
        <v>44757</v>
      </c>
      <c r="B1643" s="149" t="s">
        <v>22967</v>
      </c>
      <c r="C1643" s="153" t="s">
        <v>10678</v>
      </c>
      <c r="D1643" s="154">
        <v>5266.2</v>
      </c>
      <c r="E1643" s="155">
        <v>44757</v>
      </c>
      <c r="F1643" s="154">
        <v>5266.2</v>
      </c>
      <c r="G1643" s="156">
        <f>Tabla18[[#This Row],[Importe]]-Tabla18[[#This Row],[Pagado]]</f>
        <v>0</v>
      </c>
      <c r="H1643" s="153" t="s">
        <v>10</v>
      </c>
    </row>
    <row r="1644" spans="1:8" x14ac:dyDescent="0.25">
      <c r="A1644" s="73">
        <v>44757</v>
      </c>
      <c r="B1644" s="74" t="s">
        <v>22968</v>
      </c>
      <c r="C1644" s="75" t="s">
        <v>31</v>
      </c>
      <c r="D1644" s="81">
        <v>516</v>
      </c>
      <c r="E1644" s="151">
        <v>44757</v>
      </c>
      <c r="F1644" s="81">
        <v>516</v>
      </c>
      <c r="G1644" s="156">
        <f>Tabla18[[#This Row],[Importe]]-Tabla18[[#This Row],[Pagado]]</f>
        <v>0</v>
      </c>
      <c r="H1644" s="75" t="s">
        <v>10</v>
      </c>
    </row>
    <row r="1645" spans="1:8" x14ac:dyDescent="0.25">
      <c r="A1645" s="148">
        <v>44757</v>
      </c>
      <c r="B1645" s="149" t="s">
        <v>22969</v>
      </c>
      <c r="C1645" s="153" t="s">
        <v>31</v>
      </c>
      <c r="D1645" s="154">
        <v>313.5</v>
      </c>
      <c r="E1645" s="155">
        <v>44757</v>
      </c>
      <c r="F1645" s="154">
        <v>313.5</v>
      </c>
      <c r="G1645" s="156">
        <f>Tabla18[[#This Row],[Importe]]-Tabla18[[#This Row],[Pagado]]</f>
        <v>0</v>
      </c>
      <c r="H1645" s="153" t="s">
        <v>10</v>
      </c>
    </row>
    <row r="1646" spans="1:8" x14ac:dyDescent="0.25">
      <c r="A1646" s="73">
        <v>44757</v>
      </c>
      <c r="B1646" s="74" t="s">
        <v>22970</v>
      </c>
      <c r="C1646" s="75" t="s">
        <v>31</v>
      </c>
      <c r="D1646" s="81">
        <v>105</v>
      </c>
      <c r="E1646" s="151">
        <v>44757</v>
      </c>
      <c r="F1646" s="81">
        <v>105</v>
      </c>
      <c r="G1646" s="156">
        <f>Tabla18[[#This Row],[Importe]]-Tabla18[[#This Row],[Pagado]]</f>
        <v>0</v>
      </c>
      <c r="H1646" s="75" t="s">
        <v>10</v>
      </c>
    </row>
    <row r="1647" spans="1:8" x14ac:dyDescent="0.25">
      <c r="A1647" s="148">
        <v>44757</v>
      </c>
      <c r="B1647" s="149" t="s">
        <v>22971</v>
      </c>
      <c r="C1647" s="153" t="s">
        <v>31</v>
      </c>
      <c r="D1647" s="154">
        <v>962.5</v>
      </c>
      <c r="E1647" s="155">
        <v>44757</v>
      </c>
      <c r="F1647" s="154">
        <v>962.5</v>
      </c>
      <c r="G1647" s="156">
        <f>Tabla18[[#This Row],[Importe]]-Tabla18[[#This Row],[Pagado]]</f>
        <v>0</v>
      </c>
      <c r="H1647" s="153" t="s">
        <v>10</v>
      </c>
    </row>
    <row r="1648" spans="1:8" x14ac:dyDescent="0.25">
      <c r="A1648" s="73">
        <v>44757</v>
      </c>
      <c r="B1648" s="74" t="s">
        <v>22972</v>
      </c>
      <c r="C1648" s="75" t="s">
        <v>373</v>
      </c>
      <c r="D1648" s="81">
        <v>2090</v>
      </c>
      <c r="E1648" s="151">
        <v>44757</v>
      </c>
      <c r="F1648" s="81">
        <v>2090</v>
      </c>
      <c r="G1648" s="156">
        <f>Tabla18[[#This Row],[Importe]]-Tabla18[[#This Row],[Pagado]]</f>
        <v>0</v>
      </c>
      <c r="H1648" s="75" t="s">
        <v>10</v>
      </c>
    </row>
    <row r="1649" spans="1:8" x14ac:dyDescent="0.25">
      <c r="A1649" s="148">
        <v>44757</v>
      </c>
      <c r="B1649" s="149" t="s">
        <v>22973</v>
      </c>
      <c r="C1649" s="153" t="s">
        <v>296</v>
      </c>
      <c r="D1649" s="154">
        <v>2417.8000000000002</v>
      </c>
      <c r="E1649" s="155">
        <v>44757</v>
      </c>
      <c r="F1649" s="154">
        <v>2417.8000000000002</v>
      </c>
      <c r="G1649" s="156">
        <f>Tabla18[[#This Row],[Importe]]-Tabla18[[#This Row],[Pagado]]</f>
        <v>0</v>
      </c>
      <c r="H1649" s="153" t="s">
        <v>10</v>
      </c>
    </row>
    <row r="1650" spans="1:8" x14ac:dyDescent="0.25">
      <c r="A1650" s="73">
        <v>44757</v>
      </c>
      <c r="B1650" s="74" t="s">
        <v>22974</v>
      </c>
      <c r="C1650" s="75" t="s">
        <v>4129</v>
      </c>
      <c r="D1650" s="81">
        <v>29144</v>
      </c>
      <c r="E1650" s="151">
        <v>44757</v>
      </c>
      <c r="F1650" s="81">
        <v>29144</v>
      </c>
      <c r="G1650" s="156">
        <f>Tabla18[[#This Row],[Importe]]-Tabla18[[#This Row],[Pagado]]</f>
        <v>0</v>
      </c>
      <c r="H1650" s="75" t="s">
        <v>10</v>
      </c>
    </row>
    <row r="1651" spans="1:8" x14ac:dyDescent="0.25">
      <c r="A1651" s="148">
        <v>44757</v>
      </c>
      <c r="B1651" s="149" t="s">
        <v>22975</v>
      </c>
      <c r="C1651" s="153" t="s">
        <v>142</v>
      </c>
      <c r="D1651" s="154">
        <v>11248</v>
      </c>
      <c r="E1651" s="155">
        <v>44799</v>
      </c>
      <c r="F1651" s="154">
        <v>11248</v>
      </c>
      <c r="G1651" s="156">
        <f>Tabla18[[#This Row],[Importe]]-Tabla18[[#This Row],[Pagado]]</f>
        <v>0</v>
      </c>
      <c r="H1651" s="153" t="s">
        <v>10</v>
      </c>
    </row>
    <row r="1652" spans="1:8" x14ac:dyDescent="0.25">
      <c r="A1652" s="73">
        <v>44757</v>
      </c>
      <c r="B1652" s="74" t="s">
        <v>22976</v>
      </c>
      <c r="C1652" s="75" t="s">
        <v>280</v>
      </c>
      <c r="D1652" s="81">
        <v>1948.1</v>
      </c>
      <c r="E1652" s="151">
        <v>44758</v>
      </c>
      <c r="F1652" s="81">
        <v>1948.1</v>
      </c>
      <c r="G1652" s="156">
        <f>Tabla18[[#This Row],[Importe]]-Tabla18[[#This Row],[Pagado]]</f>
        <v>0</v>
      </c>
      <c r="H1652" s="75" t="s">
        <v>10</v>
      </c>
    </row>
    <row r="1653" spans="1:8" x14ac:dyDescent="0.25">
      <c r="A1653" s="148">
        <v>44757</v>
      </c>
      <c r="B1653" s="149" t="s">
        <v>22977</v>
      </c>
      <c r="C1653" s="153" t="s">
        <v>5345</v>
      </c>
      <c r="D1653" s="154">
        <v>1855.7</v>
      </c>
      <c r="E1653" s="155">
        <v>44758</v>
      </c>
      <c r="F1653" s="154">
        <v>1855.7</v>
      </c>
      <c r="G1653" s="156">
        <f>Tabla18[[#This Row],[Importe]]-Tabla18[[#This Row],[Pagado]]</f>
        <v>0</v>
      </c>
      <c r="H1653" s="153" t="s">
        <v>10</v>
      </c>
    </row>
    <row r="1654" spans="1:8" x14ac:dyDescent="0.25">
      <c r="A1654" s="73">
        <v>44757</v>
      </c>
      <c r="B1654" s="74" t="s">
        <v>22978</v>
      </c>
      <c r="C1654" s="75" t="s">
        <v>284</v>
      </c>
      <c r="D1654" s="81">
        <v>11403.7</v>
      </c>
      <c r="E1654" s="151">
        <v>44758</v>
      </c>
      <c r="F1654" s="81">
        <v>11403.7</v>
      </c>
      <c r="G1654" s="156">
        <f>Tabla18[[#This Row],[Importe]]-Tabla18[[#This Row],[Pagado]]</f>
        <v>0</v>
      </c>
      <c r="H1654" s="75" t="s">
        <v>10</v>
      </c>
    </row>
    <row r="1655" spans="1:8" x14ac:dyDescent="0.25">
      <c r="A1655" s="148">
        <v>44757</v>
      </c>
      <c r="B1655" s="149" t="s">
        <v>22979</v>
      </c>
      <c r="C1655" s="153" t="s">
        <v>282</v>
      </c>
      <c r="D1655" s="154">
        <v>5781.5</v>
      </c>
      <c r="E1655" s="155">
        <v>44758</v>
      </c>
      <c r="F1655" s="154">
        <v>5781.5</v>
      </c>
      <c r="G1655" s="156">
        <f>Tabla18[[#This Row],[Importe]]-Tabla18[[#This Row],[Pagado]]</f>
        <v>0</v>
      </c>
      <c r="H1655" s="153" t="s">
        <v>10</v>
      </c>
    </row>
    <row r="1656" spans="1:8" x14ac:dyDescent="0.25">
      <c r="A1656" s="73">
        <v>44757</v>
      </c>
      <c r="B1656" s="74" t="s">
        <v>22980</v>
      </c>
      <c r="C1656" s="75" t="s">
        <v>10819</v>
      </c>
      <c r="D1656" s="81">
        <v>822.3</v>
      </c>
      <c r="E1656" s="151">
        <v>44758</v>
      </c>
      <c r="F1656" s="81">
        <v>822.3</v>
      </c>
      <c r="G1656" s="156">
        <f>Tabla18[[#This Row],[Importe]]-Tabla18[[#This Row],[Pagado]]</f>
        <v>0</v>
      </c>
      <c r="H1656" s="75" t="s">
        <v>10</v>
      </c>
    </row>
    <row r="1657" spans="1:8" x14ac:dyDescent="0.25">
      <c r="A1657" s="148">
        <v>44757</v>
      </c>
      <c r="B1657" s="149" t="s">
        <v>22981</v>
      </c>
      <c r="C1657" s="153" t="s">
        <v>53</v>
      </c>
      <c r="D1657" s="154">
        <v>1185</v>
      </c>
      <c r="E1657" s="155">
        <v>44757</v>
      </c>
      <c r="F1657" s="154">
        <v>1185</v>
      </c>
      <c r="G1657" s="156">
        <f>Tabla18[[#This Row],[Importe]]-Tabla18[[#This Row],[Pagado]]</f>
        <v>0</v>
      </c>
      <c r="H1657" s="153" t="s">
        <v>10</v>
      </c>
    </row>
    <row r="1658" spans="1:8" x14ac:dyDescent="0.25">
      <c r="A1658" s="73">
        <v>44757</v>
      </c>
      <c r="B1658" s="74" t="s">
        <v>22982</v>
      </c>
      <c r="C1658" s="75" t="s">
        <v>442</v>
      </c>
      <c r="D1658" s="81">
        <v>22754.400000000001</v>
      </c>
      <c r="E1658" s="151">
        <v>44757</v>
      </c>
      <c r="F1658" s="81">
        <v>22754.400000000001</v>
      </c>
      <c r="G1658" s="156">
        <f>Tabla18[[#This Row],[Importe]]-Tabla18[[#This Row],[Pagado]]</f>
        <v>0</v>
      </c>
      <c r="H1658" s="75" t="s">
        <v>10</v>
      </c>
    </row>
    <row r="1659" spans="1:8" x14ac:dyDescent="0.25">
      <c r="A1659" s="148">
        <v>44757</v>
      </c>
      <c r="B1659" s="149" t="s">
        <v>22983</v>
      </c>
      <c r="C1659" s="153" t="s">
        <v>583</v>
      </c>
      <c r="D1659" s="154">
        <v>1848</v>
      </c>
      <c r="E1659" s="155">
        <v>44757</v>
      </c>
      <c r="F1659" s="154">
        <v>1848</v>
      </c>
      <c r="G1659" s="156">
        <f>Tabla18[[#This Row],[Importe]]-Tabla18[[#This Row],[Pagado]]</f>
        <v>0</v>
      </c>
      <c r="H1659" s="153" t="s">
        <v>10</v>
      </c>
    </row>
    <row r="1660" spans="1:8" x14ac:dyDescent="0.25">
      <c r="A1660" s="73">
        <v>44757</v>
      </c>
      <c r="B1660" s="74" t="s">
        <v>22984</v>
      </c>
      <c r="C1660" s="75" t="s">
        <v>857</v>
      </c>
      <c r="D1660" s="81">
        <v>1422</v>
      </c>
      <c r="E1660" s="151">
        <v>44757</v>
      </c>
      <c r="F1660" s="81">
        <v>1422</v>
      </c>
      <c r="G1660" s="156">
        <f>Tabla18[[#This Row],[Importe]]-Tabla18[[#This Row],[Pagado]]</f>
        <v>0</v>
      </c>
      <c r="H1660" s="75" t="s">
        <v>10</v>
      </c>
    </row>
    <row r="1661" spans="1:8" x14ac:dyDescent="0.25">
      <c r="A1661" s="148">
        <v>44757</v>
      </c>
      <c r="B1661" s="149" t="s">
        <v>22985</v>
      </c>
      <c r="C1661" s="153" t="s">
        <v>31</v>
      </c>
      <c r="D1661" s="154">
        <v>5453.5</v>
      </c>
      <c r="E1661" s="155">
        <v>44757</v>
      </c>
      <c r="F1661" s="154">
        <v>5453.5</v>
      </c>
      <c r="G1661" s="156">
        <f>Tabla18[[#This Row],[Importe]]-Tabla18[[#This Row],[Pagado]]</f>
        <v>0</v>
      </c>
      <c r="H1661" s="153" t="s">
        <v>10</v>
      </c>
    </row>
    <row r="1662" spans="1:8" x14ac:dyDescent="0.25">
      <c r="A1662" s="73">
        <v>44757</v>
      </c>
      <c r="B1662" s="74" t="s">
        <v>22986</v>
      </c>
      <c r="C1662" s="75" t="s">
        <v>69</v>
      </c>
      <c r="D1662" s="81">
        <v>7761.6</v>
      </c>
      <c r="E1662" s="151">
        <v>44757</v>
      </c>
      <c r="F1662" s="81">
        <v>7761.6</v>
      </c>
      <c r="G1662" s="156">
        <f>Tabla18[[#This Row],[Importe]]-Tabla18[[#This Row],[Pagado]]</f>
        <v>0</v>
      </c>
      <c r="H1662" s="75" t="s">
        <v>10</v>
      </c>
    </row>
    <row r="1663" spans="1:8" x14ac:dyDescent="0.25">
      <c r="A1663" s="148">
        <v>44757</v>
      </c>
      <c r="B1663" s="149" t="s">
        <v>22987</v>
      </c>
      <c r="C1663" s="153" t="s">
        <v>31</v>
      </c>
      <c r="D1663" s="154">
        <v>7525.2</v>
      </c>
      <c r="E1663" s="155">
        <v>44757</v>
      </c>
      <c r="F1663" s="154">
        <v>7525.2</v>
      </c>
      <c r="G1663" s="156">
        <f>Tabla18[[#This Row],[Importe]]-Tabla18[[#This Row],[Pagado]]</f>
        <v>0</v>
      </c>
      <c r="H1663" s="153" t="s">
        <v>10</v>
      </c>
    </row>
    <row r="1664" spans="1:8" x14ac:dyDescent="0.25">
      <c r="A1664" s="73">
        <v>44758</v>
      </c>
      <c r="B1664" s="74" t="s">
        <v>22988</v>
      </c>
      <c r="C1664" s="75" t="s">
        <v>887</v>
      </c>
      <c r="D1664" s="81">
        <v>29466.400000000001</v>
      </c>
      <c r="E1664" s="151">
        <v>44758</v>
      </c>
      <c r="F1664" s="81">
        <v>29466.400000000001</v>
      </c>
      <c r="G1664" s="156">
        <f>Tabla18[[#This Row],[Importe]]-Tabla18[[#This Row],[Pagado]]</f>
        <v>0</v>
      </c>
      <c r="H1664" s="75" t="s">
        <v>10</v>
      </c>
    </row>
    <row r="1665" spans="1:8" ht="31.5" x14ac:dyDescent="0.25">
      <c r="A1665" s="148">
        <v>44758</v>
      </c>
      <c r="B1665" s="149" t="s">
        <v>22989</v>
      </c>
      <c r="C1665" s="153" t="s">
        <v>475</v>
      </c>
      <c r="D1665" s="154">
        <v>59910.400000000001</v>
      </c>
      <c r="E1665" s="150" t="s">
        <v>22990</v>
      </c>
      <c r="F1665" s="154">
        <f>54500+5410.4</f>
        <v>59910.400000000001</v>
      </c>
      <c r="G1665" s="156">
        <f>Tabla18[[#This Row],[Importe]]-Tabla18[[#This Row],[Pagado]]</f>
        <v>0</v>
      </c>
      <c r="H1665" s="153" t="s">
        <v>10</v>
      </c>
    </row>
    <row r="1666" spans="1:8" x14ac:dyDescent="0.25">
      <c r="A1666" s="73">
        <v>44758</v>
      </c>
      <c r="B1666" s="74" t="s">
        <v>22991</v>
      </c>
      <c r="C1666" s="75" t="s">
        <v>475</v>
      </c>
      <c r="D1666" s="81">
        <v>1704</v>
      </c>
      <c r="E1666" s="151">
        <v>44759</v>
      </c>
      <c r="F1666" s="81">
        <v>1704</v>
      </c>
      <c r="G1666" s="156">
        <f>Tabla18[[#This Row],[Importe]]-Tabla18[[#This Row],[Pagado]]</f>
        <v>0</v>
      </c>
      <c r="H1666" s="75" t="s">
        <v>10</v>
      </c>
    </row>
    <row r="1667" spans="1:8" x14ac:dyDescent="0.25">
      <c r="A1667" s="148">
        <v>44758</v>
      </c>
      <c r="B1667" s="149" t="s">
        <v>22992</v>
      </c>
      <c r="C1667" s="153" t="s">
        <v>85</v>
      </c>
      <c r="D1667" s="154">
        <v>2675.1</v>
      </c>
      <c r="E1667" s="155">
        <v>44758</v>
      </c>
      <c r="F1667" s="154">
        <v>2675.1</v>
      </c>
      <c r="G1667" s="156">
        <f>Tabla18[[#This Row],[Importe]]-Tabla18[[#This Row],[Pagado]]</f>
        <v>0</v>
      </c>
      <c r="H1667" s="153" t="s">
        <v>10</v>
      </c>
    </row>
    <row r="1668" spans="1:8" x14ac:dyDescent="0.25">
      <c r="A1668" s="73">
        <v>44758</v>
      </c>
      <c r="B1668" s="74" t="s">
        <v>22993</v>
      </c>
      <c r="C1668" s="75" t="s">
        <v>473</v>
      </c>
      <c r="D1668" s="81">
        <v>3060</v>
      </c>
      <c r="E1668" s="151">
        <v>44758</v>
      </c>
      <c r="F1668" s="81">
        <v>3060</v>
      </c>
      <c r="G1668" s="156">
        <f>Tabla18[[#This Row],[Importe]]-Tabla18[[#This Row],[Pagado]]</f>
        <v>0</v>
      </c>
      <c r="H1668" s="75" t="s">
        <v>10</v>
      </c>
    </row>
    <row r="1669" spans="1:8" x14ac:dyDescent="0.25">
      <c r="A1669" s="148">
        <v>44758</v>
      </c>
      <c r="B1669" s="149" t="s">
        <v>22994</v>
      </c>
      <c r="C1669" s="153" t="s">
        <v>31</v>
      </c>
      <c r="D1669" s="154">
        <v>25856.6</v>
      </c>
      <c r="E1669" s="155">
        <v>44758</v>
      </c>
      <c r="F1669" s="154">
        <v>25856.6</v>
      </c>
      <c r="G1669" s="156">
        <f>Tabla18[[#This Row],[Importe]]-Tabla18[[#This Row],[Pagado]]</f>
        <v>0</v>
      </c>
      <c r="H1669" s="153" t="s">
        <v>10</v>
      </c>
    </row>
    <row r="1670" spans="1:8" x14ac:dyDescent="0.25">
      <c r="A1670" s="73">
        <v>44758</v>
      </c>
      <c r="B1670" s="74" t="s">
        <v>22995</v>
      </c>
      <c r="C1670" s="75" t="s">
        <v>31</v>
      </c>
      <c r="D1670" s="81">
        <v>6347.5</v>
      </c>
      <c r="E1670" s="151">
        <v>44758</v>
      </c>
      <c r="F1670" s="81">
        <v>6347.5</v>
      </c>
      <c r="G1670" s="156">
        <f>Tabla18[[#This Row],[Importe]]-Tabla18[[#This Row],[Pagado]]</f>
        <v>0</v>
      </c>
      <c r="H1670" s="75" t="s">
        <v>10</v>
      </c>
    </row>
    <row r="1671" spans="1:8" x14ac:dyDescent="0.25">
      <c r="A1671" s="148">
        <v>44758</v>
      </c>
      <c r="B1671" s="149" t="s">
        <v>22996</v>
      </c>
      <c r="C1671" s="153" t="s">
        <v>314</v>
      </c>
      <c r="D1671" s="154">
        <v>5559.4</v>
      </c>
      <c r="E1671" s="155">
        <v>44758</v>
      </c>
      <c r="F1671" s="154">
        <v>5559.4</v>
      </c>
      <c r="G1671" s="156">
        <f>Tabla18[[#This Row],[Importe]]-Tabla18[[#This Row],[Pagado]]</f>
        <v>0</v>
      </c>
      <c r="H1671" s="153" t="s">
        <v>10</v>
      </c>
    </row>
    <row r="1672" spans="1:8" x14ac:dyDescent="0.25">
      <c r="A1672" s="73">
        <v>44758</v>
      </c>
      <c r="B1672" s="74" t="s">
        <v>22997</v>
      </c>
      <c r="C1672" s="75" t="s">
        <v>481</v>
      </c>
      <c r="D1672" s="81">
        <v>1146</v>
      </c>
      <c r="E1672" s="151">
        <v>44758</v>
      </c>
      <c r="F1672" s="81">
        <v>1146</v>
      </c>
      <c r="G1672" s="156">
        <f>Tabla18[[#This Row],[Importe]]-Tabla18[[#This Row],[Pagado]]</f>
        <v>0</v>
      </c>
      <c r="H1672" s="75" t="s">
        <v>10</v>
      </c>
    </row>
    <row r="1673" spans="1:8" x14ac:dyDescent="0.25">
      <c r="A1673" s="148">
        <v>44758</v>
      </c>
      <c r="B1673" s="149" t="s">
        <v>22998</v>
      </c>
      <c r="C1673" s="153" t="s">
        <v>105</v>
      </c>
      <c r="D1673" s="154">
        <v>19588.400000000001</v>
      </c>
      <c r="E1673" s="155">
        <v>44761</v>
      </c>
      <c r="F1673" s="154">
        <v>19588.400000000001</v>
      </c>
      <c r="G1673" s="156">
        <f>Tabla18[[#This Row],[Importe]]-Tabla18[[#This Row],[Pagado]]</f>
        <v>0</v>
      </c>
      <c r="H1673" s="153" t="s">
        <v>10</v>
      </c>
    </row>
    <row r="1674" spans="1:8" x14ac:dyDescent="0.25">
      <c r="A1674" s="73">
        <v>44758</v>
      </c>
      <c r="B1674" s="74" t="s">
        <v>22999</v>
      </c>
      <c r="C1674" s="75" t="s">
        <v>179</v>
      </c>
      <c r="D1674" s="81">
        <v>2156</v>
      </c>
      <c r="E1674" s="151">
        <v>44758</v>
      </c>
      <c r="F1674" s="81">
        <v>2156</v>
      </c>
      <c r="G1674" s="156">
        <f>Tabla18[[#This Row],[Importe]]-Tabla18[[#This Row],[Pagado]]</f>
        <v>0</v>
      </c>
      <c r="H1674" s="75" t="s">
        <v>10</v>
      </c>
    </row>
    <row r="1675" spans="1:8" x14ac:dyDescent="0.25">
      <c r="A1675" s="148">
        <v>44758</v>
      </c>
      <c r="B1675" s="149" t="s">
        <v>23000</v>
      </c>
      <c r="C1675" s="153" t="s">
        <v>89</v>
      </c>
      <c r="D1675" s="154">
        <v>16968.400000000001</v>
      </c>
      <c r="E1675" s="155">
        <v>44761</v>
      </c>
      <c r="F1675" s="154">
        <v>16968.400000000001</v>
      </c>
      <c r="G1675" s="156">
        <f>Tabla18[[#This Row],[Importe]]-Tabla18[[#This Row],[Pagado]]</f>
        <v>0</v>
      </c>
      <c r="H1675" s="153" t="s">
        <v>10</v>
      </c>
    </row>
    <row r="1676" spans="1:8" x14ac:dyDescent="0.25">
      <c r="A1676" s="73">
        <v>44758</v>
      </c>
      <c r="B1676" s="74" t="s">
        <v>23001</v>
      </c>
      <c r="C1676" s="75" t="s">
        <v>60</v>
      </c>
      <c r="D1676" s="81">
        <v>5323.5</v>
      </c>
      <c r="E1676" s="151">
        <v>44763</v>
      </c>
      <c r="F1676" s="81">
        <v>5323.5</v>
      </c>
      <c r="G1676" s="156">
        <f>Tabla18[[#This Row],[Importe]]-Tabla18[[#This Row],[Pagado]]</f>
        <v>0</v>
      </c>
      <c r="H1676" s="75" t="s">
        <v>10</v>
      </c>
    </row>
    <row r="1677" spans="1:8" x14ac:dyDescent="0.25">
      <c r="A1677" s="148">
        <v>44758</v>
      </c>
      <c r="B1677" s="149" t="s">
        <v>23002</v>
      </c>
      <c r="C1677" s="153" t="s">
        <v>9</v>
      </c>
      <c r="D1677" s="154">
        <v>14293.3</v>
      </c>
      <c r="E1677" s="155">
        <v>44758</v>
      </c>
      <c r="F1677" s="154">
        <v>14293.3</v>
      </c>
      <c r="G1677" s="156">
        <f>Tabla18[[#This Row],[Importe]]-Tabla18[[#This Row],[Pagado]]</f>
        <v>0</v>
      </c>
      <c r="H1677" s="153" t="s">
        <v>10</v>
      </c>
    </row>
    <row r="1678" spans="1:8" x14ac:dyDescent="0.25">
      <c r="A1678" s="73">
        <v>44758</v>
      </c>
      <c r="B1678" s="74" t="s">
        <v>23003</v>
      </c>
      <c r="C1678" s="75" t="s">
        <v>64</v>
      </c>
      <c r="D1678" s="81">
        <v>11368</v>
      </c>
      <c r="E1678" s="151">
        <v>44760</v>
      </c>
      <c r="F1678" s="81">
        <v>11368</v>
      </c>
      <c r="G1678" s="156">
        <f>Tabla18[[#This Row],[Importe]]-Tabla18[[#This Row],[Pagado]]</f>
        <v>0</v>
      </c>
      <c r="H1678" s="75" t="s">
        <v>10</v>
      </c>
    </row>
    <row r="1679" spans="1:8" x14ac:dyDescent="0.25">
      <c r="A1679" s="148">
        <v>44758</v>
      </c>
      <c r="B1679" s="149" t="s">
        <v>23004</v>
      </c>
      <c r="C1679" s="153" t="s">
        <v>8825</v>
      </c>
      <c r="D1679" s="154">
        <v>0</v>
      </c>
      <c r="E1679" s="158" t="s">
        <v>189</v>
      </c>
      <c r="F1679" s="154">
        <v>0</v>
      </c>
      <c r="G1679" s="156">
        <f>Tabla18[[#This Row],[Importe]]-Tabla18[[#This Row],[Pagado]]</f>
        <v>0</v>
      </c>
      <c r="H1679" s="159" t="s">
        <v>23005</v>
      </c>
    </row>
    <row r="1680" spans="1:8" x14ac:dyDescent="0.25">
      <c r="A1680" s="73">
        <v>44758</v>
      </c>
      <c r="B1680" s="74" t="s">
        <v>23006</v>
      </c>
      <c r="C1680" s="75" t="s">
        <v>5043</v>
      </c>
      <c r="D1680" s="81">
        <v>11492</v>
      </c>
      <c r="E1680" s="151">
        <v>44760</v>
      </c>
      <c r="F1680" s="81">
        <v>11492</v>
      </c>
      <c r="G1680" s="156">
        <f>Tabla18[[#This Row],[Importe]]-Tabla18[[#This Row],[Pagado]]</f>
        <v>0</v>
      </c>
      <c r="H1680" s="75" t="s">
        <v>10</v>
      </c>
    </row>
    <row r="1681" spans="1:8" x14ac:dyDescent="0.25">
      <c r="A1681" s="148">
        <v>44758</v>
      </c>
      <c r="B1681" s="149" t="s">
        <v>23007</v>
      </c>
      <c r="C1681" s="153" t="s">
        <v>109</v>
      </c>
      <c r="D1681" s="154">
        <v>8346.2999999999993</v>
      </c>
      <c r="E1681" s="155">
        <v>44760</v>
      </c>
      <c r="F1681" s="154">
        <v>8346.2999999999993</v>
      </c>
      <c r="G1681" s="156">
        <f>Tabla18[[#This Row],[Importe]]-Tabla18[[#This Row],[Pagado]]</f>
        <v>0</v>
      </c>
      <c r="H1681" s="153" t="s">
        <v>10</v>
      </c>
    </row>
    <row r="1682" spans="1:8" x14ac:dyDescent="0.25">
      <c r="A1682" s="73">
        <v>44758</v>
      </c>
      <c r="B1682" s="74" t="s">
        <v>23008</v>
      </c>
      <c r="C1682" s="75" t="s">
        <v>10586</v>
      </c>
      <c r="D1682" s="81">
        <v>5700.5</v>
      </c>
      <c r="E1682" s="151">
        <v>44760</v>
      </c>
      <c r="F1682" s="81">
        <v>5700.5</v>
      </c>
      <c r="G1682" s="156">
        <f>Tabla18[[#This Row],[Importe]]-Tabla18[[#This Row],[Pagado]]</f>
        <v>0</v>
      </c>
      <c r="H1682" s="75" t="s">
        <v>10</v>
      </c>
    </row>
    <row r="1683" spans="1:8" x14ac:dyDescent="0.25">
      <c r="A1683" s="148">
        <v>44758</v>
      </c>
      <c r="B1683" s="149" t="s">
        <v>23009</v>
      </c>
      <c r="C1683" s="153" t="s">
        <v>348</v>
      </c>
      <c r="D1683" s="154">
        <v>10006.4</v>
      </c>
      <c r="E1683" s="155">
        <v>44758</v>
      </c>
      <c r="F1683" s="154">
        <v>10006.4</v>
      </c>
      <c r="G1683" s="156">
        <f>Tabla18[[#This Row],[Importe]]-Tabla18[[#This Row],[Pagado]]</f>
        <v>0</v>
      </c>
      <c r="H1683" s="153" t="s">
        <v>10</v>
      </c>
    </row>
    <row r="1684" spans="1:8" x14ac:dyDescent="0.25">
      <c r="A1684" s="73">
        <v>44758</v>
      </c>
      <c r="B1684" s="74" t="s">
        <v>23010</v>
      </c>
      <c r="C1684" s="75" t="s">
        <v>9993</v>
      </c>
      <c r="D1684" s="81">
        <v>5947.2</v>
      </c>
      <c r="E1684" s="151">
        <v>44758</v>
      </c>
      <c r="F1684" s="81">
        <v>5947.2</v>
      </c>
      <c r="G1684" s="156">
        <f>Tabla18[[#This Row],[Importe]]-Tabla18[[#This Row],[Pagado]]</f>
        <v>0</v>
      </c>
      <c r="H1684" s="75" t="s">
        <v>10</v>
      </c>
    </row>
    <row r="1685" spans="1:8" x14ac:dyDescent="0.25">
      <c r="A1685" s="148">
        <v>44758</v>
      </c>
      <c r="B1685" s="149" t="s">
        <v>23011</v>
      </c>
      <c r="C1685" s="153" t="s">
        <v>326</v>
      </c>
      <c r="D1685" s="154">
        <v>14202.5</v>
      </c>
      <c r="E1685" s="155">
        <v>44760</v>
      </c>
      <c r="F1685" s="154">
        <v>14202.5</v>
      </c>
      <c r="G1685" s="156">
        <f>Tabla18[[#This Row],[Importe]]-Tabla18[[#This Row],[Pagado]]</f>
        <v>0</v>
      </c>
      <c r="H1685" s="153" t="s">
        <v>10</v>
      </c>
    </row>
    <row r="1686" spans="1:8" x14ac:dyDescent="0.25">
      <c r="A1686" s="73">
        <v>44758</v>
      </c>
      <c r="B1686" s="74" t="s">
        <v>23012</v>
      </c>
      <c r="C1686" s="75" t="s">
        <v>2151</v>
      </c>
      <c r="D1686" s="81">
        <v>44934</v>
      </c>
      <c r="E1686" s="151">
        <v>44758</v>
      </c>
      <c r="F1686" s="81">
        <v>44934</v>
      </c>
      <c r="G1686" s="156">
        <f>Tabla18[[#This Row],[Importe]]-Tabla18[[#This Row],[Pagado]]</f>
        <v>0</v>
      </c>
      <c r="H1686" s="75" t="s">
        <v>10</v>
      </c>
    </row>
    <row r="1687" spans="1:8" x14ac:dyDescent="0.25">
      <c r="A1687" s="148">
        <v>44758</v>
      </c>
      <c r="B1687" s="149" t="s">
        <v>23013</v>
      </c>
      <c r="C1687" s="153" t="s">
        <v>97</v>
      </c>
      <c r="D1687" s="154">
        <v>10562.5</v>
      </c>
      <c r="E1687" s="155">
        <v>44760</v>
      </c>
      <c r="F1687" s="154">
        <v>10562.5</v>
      </c>
      <c r="G1687" s="156">
        <f>Tabla18[[#This Row],[Importe]]-Tabla18[[#This Row],[Pagado]]</f>
        <v>0</v>
      </c>
      <c r="H1687" s="153" t="s">
        <v>10</v>
      </c>
    </row>
    <row r="1688" spans="1:8" x14ac:dyDescent="0.25">
      <c r="A1688" s="73">
        <v>44758</v>
      </c>
      <c r="B1688" s="74" t="s">
        <v>23014</v>
      </c>
      <c r="C1688" s="75" t="s">
        <v>2563</v>
      </c>
      <c r="D1688" s="81">
        <v>4790.5</v>
      </c>
      <c r="E1688" s="151">
        <v>44760</v>
      </c>
      <c r="F1688" s="81">
        <v>4790.5</v>
      </c>
      <c r="G1688" s="156">
        <f>Tabla18[[#This Row],[Importe]]-Tabla18[[#This Row],[Pagado]]</f>
        <v>0</v>
      </c>
      <c r="H1688" s="75" t="s">
        <v>10</v>
      </c>
    </row>
    <row r="1689" spans="1:8" x14ac:dyDescent="0.25">
      <c r="A1689" s="148">
        <v>44758</v>
      </c>
      <c r="B1689" s="149" t="s">
        <v>23015</v>
      </c>
      <c r="C1689" s="153" t="s">
        <v>114</v>
      </c>
      <c r="D1689" s="154">
        <v>21300.3</v>
      </c>
      <c r="E1689" s="155">
        <v>44760</v>
      </c>
      <c r="F1689" s="154">
        <v>21300.3</v>
      </c>
      <c r="G1689" s="156">
        <f>Tabla18[[#This Row],[Importe]]-Tabla18[[#This Row],[Pagado]]</f>
        <v>0</v>
      </c>
      <c r="H1689" s="153" t="s">
        <v>10</v>
      </c>
    </row>
    <row r="1690" spans="1:8" ht="31.5" x14ac:dyDescent="0.25">
      <c r="A1690" s="73">
        <v>44758</v>
      </c>
      <c r="B1690" s="74" t="s">
        <v>23016</v>
      </c>
      <c r="C1690" s="75" t="s">
        <v>93</v>
      </c>
      <c r="D1690" s="81">
        <v>25478.2</v>
      </c>
      <c r="E1690" s="147" t="s">
        <v>23017</v>
      </c>
      <c r="F1690" s="81">
        <f>15000+10478.2</f>
        <v>25478.2</v>
      </c>
      <c r="G1690" s="156">
        <f>Tabla18[[#This Row],[Importe]]-Tabla18[[#This Row],[Pagado]]</f>
        <v>0</v>
      </c>
      <c r="H1690" s="75" t="s">
        <v>10</v>
      </c>
    </row>
    <row r="1691" spans="1:8" x14ac:dyDescent="0.25">
      <c r="A1691" s="148">
        <v>44758</v>
      </c>
      <c r="B1691" s="149" t="s">
        <v>23018</v>
      </c>
      <c r="C1691" s="153" t="s">
        <v>111</v>
      </c>
      <c r="D1691" s="154">
        <v>10722.6</v>
      </c>
      <c r="E1691" s="155">
        <v>44760</v>
      </c>
      <c r="F1691" s="154">
        <v>10722.6</v>
      </c>
      <c r="G1691" s="156">
        <f>Tabla18[[#This Row],[Importe]]-Tabla18[[#This Row],[Pagado]]</f>
        <v>0</v>
      </c>
      <c r="H1691" s="153" t="s">
        <v>10</v>
      </c>
    </row>
    <row r="1692" spans="1:8" ht="47.25" x14ac:dyDescent="0.25">
      <c r="A1692" s="73">
        <v>44758</v>
      </c>
      <c r="B1692" s="74" t="s">
        <v>23019</v>
      </c>
      <c r="C1692" s="75" t="s">
        <v>99</v>
      </c>
      <c r="D1692" s="81">
        <v>15584.6</v>
      </c>
      <c r="E1692" s="147" t="s">
        <v>23020</v>
      </c>
      <c r="F1692" s="81">
        <f>6000+3200+6384.6</f>
        <v>15584.6</v>
      </c>
      <c r="G1692" s="156">
        <f>Tabla18[[#This Row],[Importe]]-Tabla18[[#This Row],[Pagado]]</f>
        <v>0</v>
      </c>
      <c r="H1692" s="75" t="s">
        <v>10</v>
      </c>
    </row>
    <row r="1693" spans="1:8" ht="31.5" x14ac:dyDescent="0.25">
      <c r="A1693" s="148">
        <v>44758</v>
      </c>
      <c r="B1693" s="149" t="s">
        <v>23021</v>
      </c>
      <c r="C1693" s="153" t="s">
        <v>22</v>
      </c>
      <c r="D1693" s="154">
        <v>93056.7</v>
      </c>
      <c r="E1693" s="150" t="s">
        <v>22990</v>
      </c>
      <c r="F1693" s="154">
        <f>78000+15056.7</f>
        <v>93056.7</v>
      </c>
      <c r="G1693" s="156">
        <f>Tabla18[[#This Row],[Importe]]-Tabla18[[#This Row],[Pagado]]</f>
        <v>0</v>
      </c>
      <c r="H1693" s="153" t="s">
        <v>10</v>
      </c>
    </row>
    <row r="1694" spans="1:8" ht="31.5" x14ac:dyDescent="0.25">
      <c r="A1694" s="73">
        <v>44758</v>
      </c>
      <c r="B1694" s="74" t="s">
        <v>23022</v>
      </c>
      <c r="C1694" s="75" t="s">
        <v>275</v>
      </c>
      <c r="D1694" s="81">
        <v>232260.23</v>
      </c>
      <c r="E1694" s="147" t="s">
        <v>23023</v>
      </c>
      <c r="F1694" s="81">
        <f>113068.58+119191.65</f>
        <v>232260.22999999998</v>
      </c>
      <c r="G1694" s="156">
        <f>Tabla18[[#This Row],[Importe]]-Tabla18[[#This Row],[Pagado]]</f>
        <v>0</v>
      </c>
      <c r="H1694" s="75" t="s">
        <v>10</v>
      </c>
    </row>
    <row r="1695" spans="1:8" x14ac:dyDescent="0.25">
      <c r="A1695" s="148">
        <v>44758</v>
      </c>
      <c r="B1695" s="149" t="s">
        <v>23024</v>
      </c>
      <c r="C1695" s="153" t="s">
        <v>924</v>
      </c>
      <c r="D1695" s="154">
        <v>12982.2</v>
      </c>
      <c r="E1695" s="155">
        <v>44758</v>
      </c>
      <c r="F1695" s="154">
        <v>12982.2</v>
      </c>
      <c r="G1695" s="156">
        <f>Tabla18[[#This Row],[Importe]]-Tabla18[[#This Row],[Pagado]]</f>
        <v>0</v>
      </c>
      <c r="H1695" s="153" t="s">
        <v>10</v>
      </c>
    </row>
    <row r="1696" spans="1:8" x14ac:dyDescent="0.25">
      <c r="A1696" s="73">
        <v>44758</v>
      </c>
      <c r="B1696" s="74" t="s">
        <v>23025</v>
      </c>
      <c r="C1696" s="75" t="s">
        <v>29</v>
      </c>
      <c r="D1696" s="81">
        <v>9032.1</v>
      </c>
      <c r="E1696" s="151">
        <v>44758</v>
      </c>
      <c r="F1696" s="81">
        <v>9032.1</v>
      </c>
      <c r="G1696" s="156">
        <f>Tabla18[[#This Row],[Importe]]-Tabla18[[#This Row],[Pagado]]</f>
        <v>0</v>
      </c>
      <c r="H1696" s="75" t="s">
        <v>10</v>
      </c>
    </row>
    <row r="1697" spans="1:8" x14ac:dyDescent="0.25">
      <c r="A1697" s="148">
        <v>44758</v>
      </c>
      <c r="B1697" s="149" t="s">
        <v>23026</v>
      </c>
      <c r="C1697" s="153" t="s">
        <v>11033</v>
      </c>
      <c r="D1697" s="154">
        <v>1809.6</v>
      </c>
      <c r="E1697" s="155">
        <v>44758</v>
      </c>
      <c r="F1697" s="154">
        <v>1809.6</v>
      </c>
      <c r="G1697" s="156">
        <f>Tabla18[[#This Row],[Importe]]-Tabla18[[#This Row],[Pagado]]</f>
        <v>0</v>
      </c>
      <c r="H1697" s="153" t="s">
        <v>10</v>
      </c>
    </row>
    <row r="1698" spans="1:8" x14ac:dyDescent="0.25">
      <c r="A1698" s="73">
        <v>44758</v>
      </c>
      <c r="B1698" s="74" t="s">
        <v>23027</v>
      </c>
      <c r="C1698" s="75" t="s">
        <v>16</v>
      </c>
      <c r="D1698" s="81">
        <v>3632.4</v>
      </c>
      <c r="E1698" s="151">
        <v>44758</v>
      </c>
      <c r="F1698" s="81">
        <v>3632.4</v>
      </c>
      <c r="G1698" s="156">
        <f>Tabla18[[#This Row],[Importe]]-Tabla18[[#This Row],[Pagado]]</f>
        <v>0</v>
      </c>
      <c r="H1698" s="75" t="s">
        <v>10</v>
      </c>
    </row>
    <row r="1699" spans="1:8" x14ac:dyDescent="0.25">
      <c r="A1699" s="148">
        <v>44758</v>
      </c>
      <c r="B1699" s="149" t="s">
        <v>23028</v>
      </c>
      <c r="C1699" s="153" t="s">
        <v>196</v>
      </c>
      <c r="D1699" s="154">
        <v>155220.28</v>
      </c>
      <c r="E1699" s="155">
        <v>44765</v>
      </c>
      <c r="F1699" s="154">
        <v>155220.28</v>
      </c>
      <c r="G1699" s="156">
        <f>Tabla18[[#This Row],[Importe]]-Tabla18[[#This Row],[Pagado]]</f>
        <v>0</v>
      </c>
      <c r="H1699" s="153" t="s">
        <v>10</v>
      </c>
    </row>
    <row r="1700" spans="1:8" x14ac:dyDescent="0.25">
      <c r="A1700" s="73">
        <v>44758</v>
      </c>
      <c r="B1700" s="74" t="s">
        <v>23029</v>
      </c>
      <c r="C1700" s="75" t="s">
        <v>142</v>
      </c>
      <c r="D1700" s="81">
        <v>30498.9</v>
      </c>
      <c r="E1700" s="151">
        <v>44799</v>
      </c>
      <c r="F1700" s="81">
        <v>30498.9</v>
      </c>
      <c r="G1700" s="156">
        <f>Tabla18[[#This Row],[Importe]]-Tabla18[[#This Row],[Pagado]]</f>
        <v>0</v>
      </c>
      <c r="H1700" s="75" t="s">
        <v>10</v>
      </c>
    </row>
    <row r="1701" spans="1:8" x14ac:dyDescent="0.25">
      <c r="A1701" s="148">
        <v>44758</v>
      </c>
      <c r="B1701" s="149" t="s">
        <v>23030</v>
      </c>
      <c r="C1701" s="153" t="s">
        <v>51</v>
      </c>
      <c r="D1701" s="154">
        <v>6308</v>
      </c>
      <c r="E1701" s="155">
        <v>44758</v>
      </c>
      <c r="F1701" s="154">
        <v>6308</v>
      </c>
      <c r="G1701" s="156">
        <f>Tabla18[[#This Row],[Importe]]-Tabla18[[#This Row],[Pagado]]</f>
        <v>0</v>
      </c>
      <c r="H1701" s="153" t="s">
        <v>10</v>
      </c>
    </row>
    <row r="1702" spans="1:8" x14ac:dyDescent="0.25">
      <c r="A1702" s="73">
        <v>44758</v>
      </c>
      <c r="B1702" s="74" t="s">
        <v>23031</v>
      </c>
      <c r="C1702" s="75" t="s">
        <v>161</v>
      </c>
      <c r="D1702" s="81">
        <v>4507.5</v>
      </c>
      <c r="E1702" s="151">
        <v>44758</v>
      </c>
      <c r="F1702" s="81">
        <v>4507.5</v>
      </c>
      <c r="G1702" s="156">
        <f>Tabla18[[#This Row],[Importe]]-Tabla18[[#This Row],[Pagado]]</f>
        <v>0</v>
      </c>
      <c r="H1702" s="75" t="s">
        <v>10</v>
      </c>
    </row>
    <row r="1703" spans="1:8" x14ac:dyDescent="0.25">
      <c r="A1703" s="148">
        <v>44758</v>
      </c>
      <c r="B1703" s="149" t="s">
        <v>23032</v>
      </c>
      <c r="C1703" s="153" t="s">
        <v>49</v>
      </c>
      <c r="D1703" s="154">
        <v>4069.5</v>
      </c>
      <c r="E1703" s="155">
        <v>44758</v>
      </c>
      <c r="F1703" s="154">
        <v>4069.5</v>
      </c>
      <c r="G1703" s="156">
        <f>Tabla18[[#This Row],[Importe]]-Tabla18[[#This Row],[Pagado]]</f>
        <v>0</v>
      </c>
      <c r="H1703" s="153" t="s">
        <v>10</v>
      </c>
    </row>
    <row r="1704" spans="1:8" x14ac:dyDescent="0.25">
      <c r="A1704" s="73">
        <v>44758</v>
      </c>
      <c r="B1704" s="74" t="s">
        <v>23033</v>
      </c>
      <c r="C1704" s="75" t="s">
        <v>31</v>
      </c>
      <c r="D1704" s="81">
        <v>1504</v>
      </c>
      <c r="E1704" s="151">
        <v>44758</v>
      </c>
      <c r="F1704" s="81">
        <v>1504</v>
      </c>
      <c r="G1704" s="156">
        <f>Tabla18[[#This Row],[Importe]]-Tabla18[[#This Row],[Pagado]]</f>
        <v>0</v>
      </c>
      <c r="H1704" s="75" t="s">
        <v>10</v>
      </c>
    </row>
    <row r="1705" spans="1:8" x14ac:dyDescent="0.25">
      <c r="A1705" s="148">
        <v>44758</v>
      </c>
      <c r="B1705" s="149" t="s">
        <v>23034</v>
      </c>
      <c r="C1705" s="153" t="s">
        <v>15039</v>
      </c>
      <c r="D1705" s="154">
        <v>4649.3999999999996</v>
      </c>
      <c r="E1705" s="155">
        <v>44758</v>
      </c>
      <c r="F1705" s="154">
        <v>4649.3999999999996</v>
      </c>
      <c r="G1705" s="156">
        <f>Tabla18[[#This Row],[Importe]]-Tabla18[[#This Row],[Pagado]]</f>
        <v>0</v>
      </c>
      <c r="H1705" s="153" t="s">
        <v>10</v>
      </c>
    </row>
    <row r="1706" spans="1:8" x14ac:dyDescent="0.25">
      <c r="A1706" s="73">
        <v>44758</v>
      </c>
      <c r="B1706" s="74" t="s">
        <v>23035</v>
      </c>
      <c r="C1706" s="75" t="s">
        <v>442</v>
      </c>
      <c r="D1706" s="81">
        <v>6808</v>
      </c>
      <c r="E1706" s="151">
        <v>44758</v>
      </c>
      <c r="F1706" s="81">
        <v>6808</v>
      </c>
      <c r="G1706" s="156">
        <f>Tabla18[[#This Row],[Importe]]-Tabla18[[#This Row],[Pagado]]</f>
        <v>0</v>
      </c>
      <c r="H1706" s="75" t="s">
        <v>10</v>
      </c>
    </row>
    <row r="1707" spans="1:8" x14ac:dyDescent="0.25">
      <c r="A1707" s="148">
        <v>44758</v>
      </c>
      <c r="B1707" s="149" t="s">
        <v>23036</v>
      </c>
      <c r="C1707" s="153" t="s">
        <v>1362</v>
      </c>
      <c r="D1707" s="154">
        <v>7165.2</v>
      </c>
      <c r="E1707" s="155">
        <v>44758</v>
      </c>
      <c r="F1707" s="154">
        <v>7165.2</v>
      </c>
      <c r="G1707" s="156">
        <f>Tabla18[[#This Row],[Importe]]-Tabla18[[#This Row],[Pagado]]</f>
        <v>0</v>
      </c>
      <c r="H1707" s="153" t="s">
        <v>10</v>
      </c>
    </row>
    <row r="1708" spans="1:8" x14ac:dyDescent="0.25">
      <c r="A1708" s="73">
        <v>44758</v>
      </c>
      <c r="B1708" s="74" t="s">
        <v>23037</v>
      </c>
      <c r="C1708" s="75" t="s">
        <v>214</v>
      </c>
      <c r="D1708" s="81">
        <v>6600</v>
      </c>
      <c r="E1708" s="151">
        <v>44758</v>
      </c>
      <c r="F1708" s="81">
        <v>6600</v>
      </c>
      <c r="G1708" s="156">
        <f>Tabla18[[#This Row],[Importe]]-Tabla18[[#This Row],[Pagado]]</f>
        <v>0</v>
      </c>
      <c r="H1708" s="75" t="s">
        <v>10</v>
      </c>
    </row>
    <row r="1709" spans="1:8" x14ac:dyDescent="0.25">
      <c r="A1709" s="148">
        <v>44758</v>
      </c>
      <c r="B1709" s="149" t="s">
        <v>23038</v>
      </c>
      <c r="C1709" s="153" t="s">
        <v>698</v>
      </c>
      <c r="D1709" s="154">
        <v>6973.2</v>
      </c>
      <c r="E1709" s="155">
        <v>44758</v>
      </c>
      <c r="F1709" s="154">
        <v>6973.2</v>
      </c>
      <c r="G1709" s="156">
        <f>Tabla18[[#This Row],[Importe]]-Tabla18[[#This Row],[Pagado]]</f>
        <v>0</v>
      </c>
      <c r="H1709" s="153" t="s">
        <v>10</v>
      </c>
    </row>
    <row r="1710" spans="1:8" x14ac:dyDescent="0.25">
      <c r="A1710" s="73">
        <v>44758</v>
      </c>
      <c r="B1710" s="74" t="s">
        <v>23039</v>
      </c>
      <c r="C1710" s="75" t="s">
        <v>1302</v>
      </c>
      <c r="D1710" s="81">
        <v>10230</v>
      </c>
      <c r="E1710" s="151">
        <v>44758</v>
      </c>
      <c r="F1710" s="81">
        <v>10230</v>
      </c>
      <c r="G1710" s="156">
        <f>Tabla18[[#This Row],[Importe]]-Tabla18[[#This Row],[Pagado]]</f>
        <v>0</v>
      </c>
      <c r="H1710" s="75" t="s">
        <v>10</v>
      </c>
    </row>
    <row r="1711" spans="1:8" x14ac:dyDescent="0.25">
      <c r="A1711" s="148">
        <v>44758</v>
      </c>
      <c r="B1711" s="149" t="s">
        <v>23040</v>
      </c>
      <c r="C1711" s="153" t="s">
        <v>91</v>
      </c>
      <c r="D1711" s="154">
        <v>11550</v>
      </c>
      <c r="E1711" s="155">
        <v>44760</v>
      </c>
      <c r="F1711" s="154">
        <v>11550</v>
      </c>
      <c r="G1711" s="156">
        <f>Tabla18[[#This Row],[Importe]]-Tabla18[[#This Row],[Pagado]]</f>
        <v>0</v>
      </c>
      <c r="H1711" s="153" t="s">
        <v>10</v>
      </c>
    </row>
    <row r="1712" spans="1:8" x14ac:dyDescent="0.25">
      <c r="A1712" s="73">
        <v>44758</v>
      </c>
      <c r="B1712" s="74" t="s">
        <v>23041</v>
      </c>
      <c r="C1712" s="75" t="s">
        <v>191</v>
      </c>
      <c r="D1712" s="81">
        <v>2065.4</v>
      </c>
      <c r="E1712" s="151">
        <v>44758</v>
      </c>
      <c r="F1712" s="81">
        <v>2065.4</v>
      </c>
      <c r="G1712" s="156">
        <f>Tabla18[[#This Row],[Importe]]-Tabla18[[#This Row],[Pagado]]</f>
        <v>0</v>
      </c>
      <c r="H1712" s="75" t="s">
        <v>10</v>
      </c>
    </row>
    <row r="1713" spans="1:8" x14ac:dyDescent="0.25">
      <c r="A1713" s="148">
        <v>44758</v>
      </c>
      <c r="B1713" s="149" t="s">
        <v>23042</v>
      </c>
      <c r="C1713" s="153" t="s">
        <v>95</v>
      </c>
      <c r="D1713" s="154">
        <v>16957.2</v>
      </c>
      <c r="E1713" s="155">
        <v>44758</v>
      </c>
      <c r="F1713" s="154">
        <v>16957.2</v>
      </c>
      <c r="G1713" s="156">
        <f>Tabla18[[#This Row],[Importe]]-Tabla18[[#This Row],[Pagado]]</f>
        <v>0</v>
      </c>
      <c r="H1713" s="153" t="s">
        <v>10</v>
      </c>
    </row>
    <row r="1714" spans="1:8" x14ac:dyDescent="0.25">
      <c r="A1714" s="73">
        <v>44758</v>
      </c>
      <c r="B1714" s="74" t="s">
        <v>23043</v>
      </c>
      <c r="C1714" s="75" t="s">
        <v>2166</v>
      </c>
      <c r="D1714" s="81">
        <v>2400</v>
      </c>
      <c r="E1714" s="151">
        <v>44758</v>
      </c>
      <c r="F1714" s="81">
        <v>2400</v>
      </c>
      <c r="G1714" s="156">
        <f>Tabla18[[#This Row],[Importe]]-Tabla18[[#This Row],[Pagado]]</f>
        <v>0</v>
      </c>
      <c r="H1714" s="75" t="s">
        <v>10</v>
      </c>
    </row>
    <row r="1715" spans="1:8" x14ac:dyDescent="0.25">
      <c r="A1715" s="148">
        <v>44758</v>
      </c>
      <c r="B1715" s="149" t="s">
        <v>23044</v>
      </c>
      <c r="C1715" s="153" t="s">
        <v>45</v>
      </c>
      <c r="D1715" s="154">
        <v>13326.1</v>
      </c>
      <c r="E1715" s="155">
        <v>44758</v>
      </c>
      <c r="F1715" s="154">
        <v>13326.1</v>
      </c>
      <c r="G1715" s="156">
        <f>Tabla18[[#This Row],[Importe]]-Tabla18[[#This Row],[Pagado]]</f>
        <v>0</v>
      </c>
      <c r="H1715" s="153" t="s">
        <v>10</v>
      </c>
    </row>
    <row r="1716" spans="1:8" x14ac:dyDescent="0.25">
      <c r="A1716" s="73">
        <v>44758</v>
      </c>
      <c r="B1716" s="74" t="s">
        <v>23045</v>
      </c>
      <c r="C1716" s="75" t="s">
        <v>107</v>
      </c>
      <c r="D1716" s="81">
        <v>26753.5</v>
      </c>
      <c r="E1716" s="151">
        <v>44758</v>
      </c>
      <c r="F1716" s="81">
        <v>26753.5</v>
      </c>
      <c r="G1716" s="156">
        <f>Tabla18[[#This Row],[Importe]]-Tabla18[[#This Row],[Pagado]]</f>
        <v>0</v>
      </c>
      <c r="H1716" s="75" t="s">
        <v>10</v>
      </c>
    </row>
    <row r="1717" spans="1:8" x14ac:dyDescent="0.25">
      <c r="A1717" s="148">
        <v>44758</v>
      </c>
      <c r="B1717" s="149" t="s">
        <v>23046</v>
      </c>
      <c r="C1717" s="153" t="s">
        <v>4136</v>
      </c>
      <c r="D1717" s="154">
        <v>4428.6000000000004</v>
      </c>
      <c r="E1717" s="155">
        <v>44758</v>
      </c>
      <c r="F1717" s="154">
        <v>4428.6000000000004</v>
      </c>
      <c r="G1717" s="156">
        <f>Tabla18[[#This Row],[Importe]]-Tabla18[[#This Row],[Pagado]]</f>
        <v>0</v>
      </c>
      <c r="H1717" s="153" t="s">
        <v>10</v>
      </c>
    </row>
    <row r="1718" spans="1:8" x14ac:dyDescent="0.25">
      <c r="A1718" s="73">
        <v>44758</v>
      </c>
      <c r="B1718" s="74" t="s">
        <v>23047</v>
      </c>
      <c r="C1718" s="75" t="s">
        <v>56</v>
      </c>
      <c r="D1718" s="81">
        <v>11021.2</v>
      </c>
      <c r="E1718" s="151">
        <v>44758</v>
      </c>
      <c r="F1718" s="81">
        <v>11021.2</v>
      </c>
      <c r="G1718" s="156">
        <f>Tabla18[[#This Row],[Importe]]-Tabla18[[#This Row],[Pagado]]</f>
        <v>0</v>
      </c>
      <c r="H1718" s="75" t="s">
        <v>10</v>
      </c>
    </row>
    <row r="1719" spans="1:8" x14ac:dyDescent="0.25">
      <c r="A1719" s="148">
        <v>44758</v>
      </c>
      <c r="B1719" s="149" t="s">
        <v>23048</v>
      </c>
      <c r="C1719" s="153" t="s">
        <v>216</v>
      </c>
      <c r="D1719" s="154">
        <v>2156</v>
      </c>
      <c r="E1719" s="155">
        <v>44758</v>
      </c>
      <c r="F1719" s="154">
        <v>2156</v>
      </c>
      <c r="G1719" s="156">
        <f>Tabla18[[#This Row],[Importe]]-Tabla18[[#This Row],[Pagado]]</f>
        <v>0</v>
      </c>
      <c r="H1719" s="153" t="s">
        <v>10</v>
      </c>
    </row>
    <row r="1720" spans="1:8" x14ac:dyDescent="0.25">
      <c r="A1720" s="73">
        <v>44758</v>
      </c>
      <c r="B1720" s="74" t="s">
        <v>23049</v>
      </c>
      <c r="C1720" s="75" t="s">
        <v>56</v>
      </c>
      <c r="D1720" s="81">
        <v>408</v>
      </c>
      <c r="E1720" s="151">
        <v>44758</v>
      </c>
      <c r="F1720" s="81">
        <v>408</v>
      </c>
      <c r="G1720" s="156">
        <f>Tabla18[[#This Row],[Importe]]-Tabla18[[#This Row],[Pagado]]</f>
        <v>0</v>
      </c>
      <c r="H1720" s="75" t="s">
        <v>10</v>
      </c>
    </row>
    <row r="1721" spans="1:8" x14ac:dyDescent="0.25">
      <c r="A1721" s="148">
        <v>44758</v>
      </c>
      <c r="B1721" s="149" t="s">
        <v>23050</v>
      </c>
      <c r="C1721" s="153" t="s">
        <v>127</v>
      </c>
      <c r="D1721" s="154">
        <v>7189.4</v>
      </c>
      <c r="E1721" s="155">
        <v>44758</v>
      </c>
      <c r="F1721" s="154">
        <v>7189.4</v>
      </c>
      <c r="G1721" s="156">
        <f>Tabla18[[#This Row],[Importe]]-Tabla18[[#This Row],[Pagado]]</f>
        <v>0</v>
      </c>
      <c r="H1721" s="153" t="s">
        <v>10</v>
      </c>
    </row>
    <row r="1722" spans="1:8" x14ac:dyDescent="0.25">
      <c r="A1722" s="73">
        <v>44758</v>
      </c>
      <c r="B1722" s="74" t="s">
        <v>23051</v>
      </c>
      <c r="C1722" s="75" t="s">
        <v>129</v>
      </c>
      <c r="D1722" s="81">
        <v>6566.4</v>
      </c>
      <c r="E1722" s="151">
        <v>44758</v>
      </c>
      <c r="F1722" s="81">
        <v>6566.4</v>
      </c>
      <c r="G1722" s="156">
        <f>Tabla18[[#This Row],[Importe]]-Tabla18[[#This Row],[Pagado]]</f>
        <v>0</v>
      </c>
      <c r="H1722" s="75" t="s">
        <v>10</v>
      </c>
    </row>
    <row r="1723" spans="1:8" x14ac:dyDescent="0.25">
      <c r="A1723" s="148">
        <v>44758</v>
      </c>
      <c r="B1723" s="149" t="s">
        <v>23052</v>
      </c>
      <c r="C1723" s="153" t="s">
        <v>140</v>
      </c>
      <c r="D1723" s="154">
        <v>6789.4</v>
      </c>
      <c r="E1723" s="155">
        <v>44758</v>
      </c>
      <c r="F1723" s="154">
        <v>6789.4</v>
      </c>
      <c r="G1723" s="156">
        <f>Tabla18[[#This Row],[Importe]]-Tabla18[[#This Row],[Pagado]]</f>
        <v>0</v>
      </c>
      <c r="H1723" s="153" t="s">
        <v>10</v>
      </c>
    </row>
    <row r="1724" spans="1:8" ht="31.5" x14ac:dyDescent="0.25">
      <c r="A1724" s="73">
        <v>44758</v>
      </c>
      <c r="B1724" s="74" t="s">
        <v>23053</v>
      </c>
      <c r="C1724" s="75" t="s">
        <v>414</v>
      </c>
      <c r="D1724" s="81">
        <v>534684.6</v>
      </c>
      <c r="E1724" s="147" t="s">
        <v>28012</v>
      </c>
      <c r="F1724" s="81">
        <f>446802+87882.6</f>
        <v>534684.6</v>
      </c>
      <c r="G1724" s="156">
        <f>Tabla18[[#This Row],[Importe]]-Tabla18[[#This Row],[Pagado]]</f>
        <v>0</v>
      </c>
      <c r="H1724" s="75" t="s">
        <v>10</v>
      </c>
    </row>
    <row r="1725" spans="1:8" x14ac:dyDescent="0.25">
      <c r="A1725" s="148">
        <v>44758</v>
      </c>
      <c r="B1725" s="149" t="s">
        <v>23054</v>
      </c>
      <c r="C1725" s="153" t="s">
        <v>181</v>
      </c>
      <c r="D1725" s="154">
        <v>19720.8</v>
      </c>
      <c r="E1725" s="155">
        <v>44758</v>
      </c>
      <c r="F1725" s="154">
        <v>19720.8</v>
      </c>
      <c r="G1725" s="156">
        <f>Tabla18[[#This Row],[Importe]]-Tabla18[[#This Row],[Pagado]]</f>
        <v>0</v>
      </c>
      <c r="H1725" s="153" t="s">
        <v>10</v>
      </c>
    </row>
    <row r="1726" spans="1:8" x14ac:dyDescent="0.25">
      <c r="A1726" s="73">
        <v>44758</v>
      </c>
      <c r="B1726" s="74" t="s">
        <v>23055</v>
      </c>
      <c r="C1726" s="75" t="s">
        <v>175</v>
      </c>
      <c r="D1726" s="81">
        <v>30269.200000000001</v>
      </c>
      <c r="E1726" s="151">
        <v>44758</v>
      </c>
      <c r="F1726" s="81">
        <v>30269.200000000001</v>
      </c>
      <c r="G1726" s="156">
        <f>Tabla18[[#This Row],[Importe]]-Tabla18[[#This Row],[Pagado]]</f>
        <v>0</v>
      </c>
      <c r="H1726" s="75" t="s">
        <v>10</v>
      </c>
    </row>
    <row r="1727" spans="1:8" x14ac:dyDescent="0.25">
      <c r="A1727" s="148">
        <v>44758</v>
      </c>
      <c r="B1727" s="149" t="s">
        <v>23056</v>
      </c>
      <c r="C1727" s="153" t="s">
        <v>273</v>
      </c>
      <c r="D1727" s="154">
        <v>2930.4</v>
      </c>
      <c r="E1727" s="155">
        <v>44758</v>
      </c>
      <c r="F1727" s="154">
        <v>2930.4</v>
      </c>
      <c r="G1727" s="156">
        <f>Tabla18[[#This Row],[Importe]]-Tabla18[[#This Row],[Pagado]]</f>
        <v>0</v>
      </c>
      <c r="H1727" s="153" t="s">
        <v>10</v>
      </c>
    </row>
    <row r="1728" spans="1:8" x14ac:dyDescent="0.25">
      <c r="A1728" s="73">
        <v>44758</v>
      </c>
      <c r="B1728" s="74" t="s">
        <v>23057</v>
      </c>
      <c r="C1728" s="75" t="s">
        <v>200</v>
      </c>
      <c r="D1728" s="81">
        <v>1185.8</v>
      </c>
      <c r="E1728" s="151">
        <v>44758</v>
      </c>
      <c r="F1728" s="81">
        <v>1185.8</v>
      </c>
      <c r="G1728" s="156">
        <f>Tabla18[[#This Row],[Importe]]-Tabla18[[#This Row],[Pagado]]</f>
        <v>0</v>
      </c>
      <c r="H1728" s="75" t="s">
        <v>10</v>
      </c>
    </row>
    <row r="1729" spans="1:8" x14ac:dyDescent="0.25">
      <c r="A1729" s="148">
        <v>44758</v>
      </c>
      <c r="B1729" s="149" t="s">
        <v>23058</v>
      </c>
      <c r="C1729" s="153" t="s">
        <v>426</v>
      </c>
      <c r="D1729" s="154">
        <v>7356.4</v>
      </c>
      <c r="E1729" s="155">
        <v>44758</v>
      </c>
      <c r="F1729" s="154">
        <v>7356.4</v>
      </c>
      <c r="G1729" s="156">
        <f>Tabla18[[#This Row],[Importe]]-Tabla18[[#This Row],[Pagado]]</f>
        <v>0</v>
      </c>
      <c r="H1729" s="153" t="s">
        <v>10</v>
      </c>
    </row>
    <row r="1730" spans="1:8" x14ac:dyDescent="0.25">
      <c r="A1730" s="73">
        <v>44758</v>
      </c>
      <c r="B1730" s="74" t="s">
        <v>23059</v>
      </c>
      <c r="C1730" s="75" t="s">
        <v>175</v>
      </c>
      <c r="D1730" s="81">
        <v>5329.8</v>
      </c>
      <c r="E1730" s="151">
        <v>44758</v>
      </c>
      <c r="F1730" s="81">
        <v>5329.8</v>
      </c>
      <c r="G1730" s="156">
        <f>Tabla18[[#This Row],[Importe]]-Tabla18[[#This Row],[Pagado]]</f>
        <v>0</v>
      </c>
      <c r="H1730" s="75" t="s">
        <v>10</v>
      </c>
    </row>
    <row r="1731" spans="1:8" x14ac:dyDescent="0.25">
      <c r="A1731" s="148">
        <v>44758</v>
      </c>
      <c r="B1731" s="149" t="s">
        <v>23060</v>
      </c>
      <c r="C1731" s="153" t="s">
        <v>414</v>
      </c>
      <c r="D1731" s="154">
        <v>22961.4</v>
      </c>
      <c r="E1731" s="155">
        <v>44761</v>
      </c>
      <c r="F1731" s="154">
        <v>22961.4</v>
      </c>
      <c r="G1731" s="156">
        <f>Tabla18[[#This Row],[Importe]]-Tabla18[[#This Row],[Pagado]]</f>
        <v>0</v>
      </c>
      <c r="H1731" s="153" t="s">
        <v>10</v>
      </c>
    </row>
    <row r="1732" spans="1:8" x14ac:dyDescent="0.25">
      <c r="A1732" s="73">
        <v>44758</v>
      </c>
      <c r="B1732" s="74" t="s">
        <v>23061</v>
      </c>
      <c r="C1732" s="75" t="s">
        <v>359</v>
      </c>
      <c r="D1732" s="81">
        <v>585</v>
      </c>
      <c r="E1732" s="151">
        <v>44758</v>
      </c>
      <c r="F1732" s="81">
        <v>585</v>
      </c>
      <c r="G1732" s="156">
        <f>Tabla18[[#This Row],[Importe]]-Tabla18[[#This Row],[Pagado]]</f>
        <v>0</v>
      </c>
      <c r="H1732" s="75" t="s">
        <v>10</v>
      </c>
    </row>
    <row r="1733" spans="1:8" x14ac:dyDescent="0.25">
      <c r="A1733" s="148">
        <v>44758</v>
      </c>
      <c r="B1733" s="149" t="s">
        <v>23062</v>
      </c>
      <c r="C1733" s="153" t="s">
        <v>9577</v>
      </c>
      <c r="D1733" s="154">
        <v>2482</v>
      </c>
      <c r="E1733" s="155">
        <v>44758</v>
      </c>
      <c r="F1733" s="154">
        <v>2482</v>
      </c>
      <c r="G1733" s="156">
        <f>Tabla18[[#This Row],[Importe]]-Tabla18[[#This Row],[Pagado]]</f>
        <v>0</v>
      </c>
      <c r="H1733" s="153" t="s">
        <v>10</v>
      </c>
    </row>
    <row r="1734" spans="1:8" x14ac:dyDescent="0.25">
      <c r="A1734" s="73">
        <v>44758</v>
      </c>
      <c r="B1734" s="74" t="s">
        <v>23063</v>
      </c>
      <c r="C1734" s="75" t="s">
        <v>157</v>
      </c>
      <c r="D1734" s="81">
        <v>6517.2</v>
      </c>
      <c r="E1734" s="151">
        <v>44759</v>
      </c>
      <c r="F1734" s="81">
        <v>6517.2</v>
      </c>
      <c r="G1734" s="156">
        <f>Tabla18[[#This Row],[Importe]]-Tabla18[[#This Row],[Pagado]]</f>
        <v>0</v>
      </c>
      <c r="H1734" s="75" t="s">
        <v>10</v>
      </c>
    </row>
    <row r="1735" spans="1:8" x14ac:dyDescent="0.25">
      <c r="A1735" s="148">
        <v>44758</v>
      </c>
      <c r="B1735" s="149" t="s">
        <v>23064</v>
      </c>
      <c r="C1735" s="153" t="s">
        <v>275</v>
      </c>
      <c r="D1735" s="154">
        <v>5413</v>
      </c>
      <c r="E1735" s="155">
        <v>44773</v>
      </c>
      <c r="F1735" s="154">
        <v>5413</v>
      </c>
      <c r="G1735" s="156">
        <f>Tabla18[[#This Row],[Importe]]-Tabla18[[#This Row],[Pagado]]</f>
        <v>0</v>
      </c>
      <c r="H1735" s="153" t="s">
        <v>10</v>
      </c>
    </row>
    <row r="1736" spans="1:8" x14ac:dyDescent="0.25">
      <c r="A1736" s="73">
        <v>44758</v>
      </c>
      <c r="B1736" s="74" t="s">
        <v>23065</v>
      </c>
      <c r="C1736" s="75" t="s">
        <v>319</v>
      </c>
      <c r="D1736" s="81">
        <v>11437</v>
      </c>
      <c r="E1736" s="151">
        <v>44759</v>
      </c>
      <c r="F1736" s="81">
        <v>11437</v>
      </c>
      <c r="G1736" s="156">
        <f>Tabla18[[#This Row],[Importe]]-Tabla18[[#This Row],[Pagado]]</f>
        <v>0</v>
      </c>
      <c r="H1736" s="75" t="s">
        <v>10</v>
      </c>
    </row>
    <row r="1737" spans="1:8" x14ac:dyDescent="0.25">
      <c r="A1737" s="148">
        <v>44758</v>
      </c>
      <c r="B1737" s="149" t="s">
        <v>23066</v>
      </c>
      <c r="C1737" s="153" t="s">
        <v>31</v>
      </c>
      <c r="D1737" s="154">
        <v>2046.5</v>
      </c>
      <c r="E1737" s="155">
        <v>44758</v>
      </c>
      <c r="F1737" s="154">
        <v>2046.5</v>
      </c>
      <c r="G1737" s="156">
        <f>Tabla18[[#This Row],[Importe]]-Tabla18[[#This Row],[Pagado]]</f>
        <v>0</v>
      </c>
      <c r="H1737" s="153" t="s">
        <v>10</v>
      </c>
    </row>
    <row r="1738" spans="1:8" x14ac:dyDescent="0.25">
      <c r="A1738" s="73">
        <v>44758</v>
      </c>
      <c r="B1738" s="74" t="s">
        <v>23067</v>
      </c>
      <c r="C1738" s="75" t="s">
        <v>159</v>
      </c>
      <c r="D1738" s="81">
        <v>3073.9</v>
      </c>
      <c r="E1738" s="151">
        <v>44759</v>
      </c>
      <c r="F1738" s="81">
        <v>3073.9</v>
      </c>
      <c r="G1738" s="156">
        <f>Tabla18[[#This Row],[Importe]]-Tabla18[[#This Row],[Pagado]]</f>
        <v>0</v>
      </c>
      <c r="H1738" s="75" t="s">
        <v>10</v>
      </c>
    </row>
    <row r="1739" spans="1:8" x14ac:dyDescent="0.25">
      <c r="A1739" s="148">
        <v>44758</v>
      </c>
      <c r="B1739" s="149" t="s">
        <v>23068</v>
      </c>
      <c r="C1739" s="153" t="s">
        <v>53</v>
      </c>
      <c r="D1739" s="154">
        <v>2863</v>
      </c>
      <c r="E1739" s="155">
        <v>44758</v>
      </c>
      <c r="F1739" s="154">
        <v>2863</v>
      </c>
      <c r="G1739" s="156">
        <f>Tabla18[[#This Row],[Importe]]-Tabla18[[#This Row],[Pagado]]</f>
        <v>0</v>
      </c>
      <c r="H1739" s="153" t="s">
        <v>10</v>
      </c>
    </row>
    <row r="1740" spans="1:8" x14ac:dyDescent="0.25">
      <c r="A1740" s="73">
        <v>44758</v>
      </c>
      <c r="B1740" s="74" t="s">
        <v>23069</v>
      </c>
      <c r="C1740" s="75" t="s">
        <v>520</v>
      </c>
      <c r="D1740" s="81">
        <v>10909.6</v>
      </c>
      <c r="E1740" s="151">
        <v>44758</v>
      </c>
      <c r="F1740" s="81">
        <v>10909.6</v>
      </c>
      <c r="G1740" s="156">
        <f>Tabla18[[#This Row],[Importe]]-Tabla18[[#This Row],[Pagado]]</f>
        <v>0</v>
      </c>
      <c r="H1740" s="75" t="s">
        <v>10</v>
      </c>
    </row>
    <row r="1741" spans="1:8" x14ac:dyDescent="0.25">
      <c r="A1741" s="148">
        <v>44758</v>
      </c>
      <c r="B1741" s="149" t="s">
        <v>23070</v>
      </c>
      <c r="C1741" s="153" t="s">
        <v>62</v>
      </c>
      <c r="D1741" s="154">
        <v>4476.3999999999996</v>
      </c>
      <c r="E1741" s="155">
        <v>44758</v>
      </c>
      <c r="F1741" s="154">
        <v>4476.3999999999996</v>
      </c>
      <c r="G1741" s="156">
        <f>Tabla18[[#This Row],[Importe]]-Tabla18[[#This Row],[Pagado]]</f>
        <v>0</v>
      </c>
      <c r="H1741" s="153" t="s">
        <v>10</v>
      </c>
    </row>
    <row r="1742" spans="1:8" x14ac:dyDescent="0.25">
      <c r="A1742" s="73">
        <v>44758</v>
      </c>
      <c r="B1742" s="74" t="s">
        <v>23071</v>
      </c>
      <c r="C1742" s="75" t="s">
        <v>31</v>
      </c>
      <c r="D1742" s="81">
        <v>1293.5999999999999</v>
      </c>
      <c r="E1742" s="151">
        <v>44758</v>
      </c>
      <c r="F1742" s="81">
        <v>1293.5999999999999</v>
      </c>
      <c r="G1742" s="156">
        <f>Tabla18[[#This Row],[Importe]]-Tabla18[[#This Row],[Pagado]]</f>
        <v>0</v>
      </c>
      <c r="H1742" s="75" t="s">
        <v>10</v>
      </c>
    </row>
    <row r="1743" spans="1:8" x14ac:dyDescent="0.25">
      <c r="A1743" s="148">
        <v>44758</v>
      </c>
      <c r="B1743" s="149" t="s">
        <v>23072</v>
      </c>
      <c r="C1743" s="153" t="s">
        <v>31</v>
      </c>
      <c r="D1743" s="154">
        <v>360</v>
      </c>
      <c r="E1743" s="155">
        <v>44758</v>
      </c>
      <c r="F1743" s="154">
        <v>360</v>
      </c>
      <c r="G1743" s="156">
        <f>Tabla18[[#This Row],[Importe]]-Tabla18[[#This Row],[Pagado]]</f>
        <v>0</v>
      </c>
      <c r="H1743" s="153" t="s">
        <v>10</v>
      </c>
    </row>
    <row r="1744" spans="1:8" x14ac:dyDescent="0.25">
      <c r="A1744" s="73">
        <v>44758</v>
      </c>
      <c r="B1744" s="74" t="s">
        <v>23073</v>
      </c>
      <c r="C1744" s="75" t="s">
        <v>79</v>
      </c>
      <c r="D1744" s="81">
        <v>25807.599999999999</v>
      </c>
      <c r="E1744" s="151">
        <v>44759</v>
      </c>
      <c r="F1744" s="81">
        <v>25807.599999999999</v>
      </c>
      <c r="G1744" s="156">
        <f>Tabla18[[#This Row],[Importe]]-Tabla18[[#This Row],[Pagado]]</f>
        <v>0</v>
      </c>
      <c r="H1744" s="75" t="s">
        <v>10</v>
      </c>
    </row>
    <row r="1745" spans="1:8" x14ac:dyDescent="0.25">
      <c r="A1745" s="148">
        <v>44758</v>
      </c>
      <c r="B1745" s="149" t="s">
        <v>23074</v>
      </c>
      <c r="C1745" s="153" t="s">
        <v>9827</v>
      </c>
      <c r="D1745" s="154">
        <v>10033.1</v>
      </c>
      <c r="E1745" s="155">
        <v>44758</v>
      </c>
      <c r="F1745" s="154">
        <v>10033.1</v>
      </c>
      <c r="G1745" s="156">
        <f>Tabla18[[#This Row],[Importe]]-Tabla18[[#This Row],[Pagado]]</f>
        <v>0</v>
      </c>
      <c r="H1745" s="153" t="s">
        <v>10</v>
      </c>
    </row>
    <row r="1746" spans="1:8" x14ac:dyDescent="0.25">
      <c r="A1746" s="73">
        <v>44758</v>
      </c>
      <c r="B1746" s="74" t="s">
        <v>23075</v>
      </c>
      <c r="C1746" s="75" t="s">
        <v>10190</v>
      </c>
      <c r="D1746" s="81">
        <v>20002.8</v>
      </c>
      <c r="E1746" s="151">
        <v>44758</v>
      </c>
      <c r="F1746" s="81">
        <v>20002.8</v>
      </c>
      <c r="G1746" s="156">
        <f>Tabla18[[#This Row],[Importe]]-Tabla18[[#This Row],[Pagado]]</f>
        <v>0</v>
      </c>
      <c r="H1746" s="75" t="s">
        <v>10</v>
      </c>
    </row>
    <row r="1747" spans="1:8" x14ac:dyDescent="0.25">
      <c r="A1747" s="148">
        <v>44758</v>
      </c>
      <c r="B1747" s="149" t="s">
        <v>23076</v>
      </c>
      <c r="C1747" s="153" t="s">
        <v>407</v>
      </c>
      <c r="D1747" s="154">
        <v>18184.900000000001</v>
      </c>
      <c r="E1747" s="155">
        <v>44762</v>
      </c>
      <c r="F1747" s="154">
        <v>18184.900000000001</v>
      </c>
      <c r="G1747" s="156">
        <f>Tabla18[[#This Row],[Importe]]-Tabla18[[#This Row],[Pagado]]</f>
        <v>0</v>
      </c>
      <c r="H1747" s="153" t="s">
        <v>10</v>
      </c>
    </row>
    <row r="1748" spans="1:8" x14ac:dyDescent="0.25">
      <c r="A1748" s="73">
        <v>44758</v>
      </c>
      <c r="B1748" s="74" t="s">
        <v>23077</v>
      </c>
      <c r="C1748" s="75" t="s">
        <v>79</v>
      </c>
      <c r="D1748" s="81">
        <v>9813.2000000000007</v>
      </c>
      <c r="E1748" s="151">
        <v>44759</v>
      </c>
      <c r="F1748" s="81">
        <v>9813.2000000000007</v>
      </c>
      <c r="G1748" s="156">
        <f>Tabla18[[#This Row],[Importe]]-Tabla18[[#This Row],[Pagado]]</f>
        <v>0</v>
      </c>
      <c r="H1748" s="75" t="s">
        <v>10</v>
      </c>
    </row>
    <row r="1749" spans="1:8" x14ac:dyDescent="0.25">
      <c r="A1749" s="148">
        <v>44758</v>
      </c>
      <c r="B1749" s="149" t="s">
        <v>23078</v>
      </c>
      <c r="C1749" s="153" t="s">
        <v>58</v>
      </c>
      <c r="D1749" s="154">
        <v>4367.7</v>
      </c>
      <c r="E1749" s="155">
        <v>44758</v>
      </c>
      <c r="F1749" s="154">
        <v>4367.7</v>
      </c>
      <c r="G1749" s="156">
        <f>Tabla18[[#This Row],[Importe]]-Tabla18[[#This Row],[Pagado]]</f>
        <v>0</v>
      </c>
      <c r="H1749" s="153" t="s">
        <v>10</v>
      </c>
    </row>
    <row r="1750" spans="1:8" x14ac:dyDescent="0.25">
      <c r="A1750" s="73">
        <v>44758</v>
      </c>
      <c r="B1750" s="74" t="s">
        <v>23079</v>
      </c>
      <c r="C1750" s="75" t="s">
        <v>1676</v>
      </c>
      <c r="D1750" s="81">
        <v>4111.8</v>
      </c>
      <c r="E1750" s="151">
        <v>44758</v>
      </c>
      <c r="F1750" s="81">
        <v>4111.8</v>
      </c>
      <c r="G1750" s="156">
        <f>Tabla18[[#This Row],[Importe]]-Tabla18[[#This Row],[Pagado]]</f>
        <v>0</v>
      </c>
      <c r="H1750" s="75" t="s">
        <v>10</v>
      </c>
    </row>
    <row r="1751" spans="1:8" x14ac:dyDescent="0.25">
      <c r="A1751" s="148">
        <v>44758</v>
      </c>
      <c r="B1751" s="149" t="s">
        <v>23080</v>
      </c>
      <c r="C1751" s="153" t="s">
        <v>24</v>
      </c>
      <c r="D1751" s="154">
        <v>1044</v>
      </c>
      <c r="E1751" s="155">
        <v>44758</v>
      </c>
      <c r="F1751" s="154">
        <v>1044</v>
      </c>
      <c r="G1751" s="156">
        <f>Tabla18[[#This Row],[Importe]]-Tabla18[[#This Row],[Pagado]]</f>
        <v>0</v>
      </c>
      <c r="H1751" s="153" t="s">
        <v>10</v>
      </c>
    </row>
    <row r="1752" spans="1:8" x14ac:dyDescent="0.25">
      <c r="A1752" s="73">
        <v>44758</v>
      </c>
      <c r="B1752" s="74" t="s">
        <v>23081</v>
      </c>
      <c r="C1752" s="75" t="s">
        <v>67</v>
      </c>
      <c r="D1752" s="81">
        <v>2494.1</v>
      </c>
      <c r="E1752" s="151">
        <v>44758</v>
      </c>
      <c r="F1752" s="81">
        <v>2494.1</v>
      </c>
      <c r="G1752" s="156">
        <f>Tabla18[[#This Row],[Importe]]-Tabla18[[#This Row],[Pagado]]</f>
        <v>0</v>
      </c>
      <c r="H1752" s="75" t="s">
        <v>10</v>
      </c>
    </row>
    <row r="1753" spans="1:8" x14ac:dyDescent="0.25">
      <c r="A1753" s="148">
        <v>44758</v>
      </c>
      <c r="B1753" s="149" t="s">
        <v>23082</v>
      </c>
      <c r="C1753" s="153" t="s">
        <v>31</v>
      </c>
      <c r="D1753" s="154">
        <v>62382.6</v>
      </c>
      <c r="E1753" s="155">
        <v>44758</v>
      </c>
      <c r="F1753" s="154">
        <v>62382.6</v>
      </c>
      <c r="G1753" s="156">
        <f>Tabla18[[#This Row],[Importe]]-Tabla18[[#This Row],[Pagado]]</f>
        <v>0</v>
      </c>
      <c r="H1753" s="153" t="s">
        <v>10</v>
      </c>
    </row>
    <row r="1754" spans="1:8" x14ac:dyDescent="0.25">
      <c r="A1754" s="73">
        <v>44758</v>
      </c>
      <c r="B1754" s="74" t="s">
        <v>23083</v>
      </c>
      <c r="C1754" s="75" t="s">
        <v>934</v>
      </c>
      <c r="D1754" s="81">
        <v>53898.27</v>
      </c>
      <c r="E1754" s="151">
        <v>44758</v>
      </c>
      <c r="F1754" s="81">
        <v>53898.27</v>
      </c>
      <c r="G1754" s="156">
        <f>Tabla18[[#This Row],[Importe]]-Tabla18[[#This Row],[Pagado]]</f>
        <v>0</v>
      </c>
      <c r="H1754" s="75" t="s">
        <v>10</v>
      </c>
    </row>
    <row r="1755" spans="1:8" x14ac:dyDescent="0.25">
      <c r="A1755" s="148">
        <v>44758</v>
      </c>
      <c r="B1755" s="149" t="s">
        <v>23084</v>
      </c>
      <c r="C1755" s="153" t="s">
        <v>289</v>
      </c>
      <c r="D1755" s="154">
        <v>15080.4</v>
      </c>
      <c r="E1755" s="155">
        <v>44758</v>
      </c>
      <c r="F1755" s="154">
        <v>15080.4</v>
      </c>
      <c r="G1755" s="156">
        <f>Tabla18[[#This Row],[Importe]]-Tabla18[[#This Row],[Pagado]]</f>
        <v>0</v>
      </c>
      <c r="H1755" s="153" t="s">
        <v>10</v>
      </c>
    </row>
    <row r="1756" spans="1:8" x14ac:dyDescent="0.25">
      <c r="A1756" s="73">
        <v>44758</v>
      </c>
      <c r="B1756" s="74" t="s">
        <v>23085</v>
      </c>
      <c r="C1756" s="75" t="s">
        <v>244</v>
      </c>
      <c r="D1756" s="81">
        <v>695.2</v>
      </c>
      <c r="E1756" s="151">
        <v>44758</v>
      </c>
      <c r="F1756" s="81">
        <v>695.2</v>
      </c>
      <c r="G1756" s="156">
        <f>Tabla18[[#This Row],[Importe]]-Tabla18[[#This Row],[Pagado]]</f>
        <v>0</v>
      </c>
      <c r="H1756" s="75" t="s">
        <v>10</v>
      </c>
    </row>
    <row r="1757" spans="1:8" x14ac:dyDescent="0.25">
      <c r="A1757" s="148">
        <v>44758</v>
      </c>
      <c r="B1757" s="149" t="s">
        <v>23086</v>
      </c>
      <c r="C1757" s="153" t="s">
        <v>419</v>
      </c>
      <c r="D1757" s="154">
        <v>6269</v>
      </c>
      <c r="E1757" s="155">
        <v>44758</v>
      </c>
      <c r="F1757" s="154">
        <v>6269</v>
      </c>
      <c r="G1757" s="156">
        <f>Tabla18[[#This Row],[Importe]]-Tabla18[[#This Row],[Pagado]]</f>
        <v>0</v>
      </c>
      <c r="H1757" s="153" t="s">
        <v>10</v>
      </c>
    </row>
    <row r="1758" spans="1:8" x14ac:dyDescent="0.25">
      <c r="A1758" s="73">
        <v>44758</v>
      </c>
      <c r="B1758" s="74" t="s">
        <v>23087</v>
      </c>
      <c r="C1758" s="75" t="s">
        <v>555</v>
      </c>
      <c r="D1758" s="81">
        <v>37527</v>
      </c>
      <c r="E1758" s="151">
        <v>44758</v>
      </c>
      <c r="F1758" s="81">
        <v>37527</v>
      </c>
      <c r="G1758" s="156">
        <f>Tabla18[[#This Row],[Importe]]-Tabla18[[#This Row],[Pagado]]</f>
        <v>0</v>
      </c>
      <c r="H1758" s="75" t="s">
        <v>10</v>
      </c>
    </row>
    <row r="1759" spans="1:8" x14ac:dyDescent="0.25">
      <c r="A1759" s="148">
        <v>44758</v>
      </c>
      <c r="B1759" s="149" t="s">
        <v>23088</v>
      </c>
      <c r="C1759" s="153" t="s">
        <v>22</v>
      </c>
      <c r="D1759" s="154">
        <v>13087.5</v>
      </c>
      <c r="E1759" s="155">
        <v>44759</v>
      </c>
      <c r="F1759" s="154">
        <v>13087.5</v>
      </c>
      <c r="G1759" s="156">
        <f>Tabla18[[#This Row],[Importe]]-Tabla18[[#This Row],[Pagado]]</f>
        <v>0</v>
      </c>
      <c r="H1759" s="153" t="s">
        <v>10</v>
      </c>
    </row>
    <row r="1760" spans="1:8" x14ac:dyDescent="0.25">
      <c r="A1760" s="73">
        <v>44758</v>
      </c>
      <c r="B1760" s="74" t="s">
        <v>23089</v>
      </c>
      <c r="C1760" s="75" t="s">
        <v>296</v>
      </c>
      <c r="D1760" s="81">
        <v>5086.7</v>
      </c>
      <c r="E1760" s="151">
        <v>44758</v>
      </c>
      <c r="F1760" s="81">
        <v>5086.7</v>
      </c>
      <c r="G1760" s="156">
        <f>Tabla18[[#This Row],[Importe]]-Tabla18[[#This Row],[Pagado]]</f>
        <v>0</v>
      </c>
      <c r="H1760" s="75" t="s">
        <v>10</v>
      </c>
    </row>
    <row r="1761" spans="1:8" x14ac:dyDescent="0.25">
      <c r="A1761" s="148">
        <v>44758</v>
      </c>
      <c r="B1761" s="149" t="s">
        <v>23090</v>
      </c>
      <c r="C1761" s="153" t="s">
        <v>214</v>
      </c>
      <c r="D1761" s="154">
        <v>1747.9</v>
      </c>
      <c r="E1761" s="155">
        <v>44758</v>
      </c>
      <c r="F1761" s="154">
        <v>1747.9</v>
      </c>
      <c r="G1761" s="156">
        <f>Tabla18[[#This Row],[Importe]]-Tabla18[[#This Row],[Pagado]]</f>
        <v>0</v>
      </c>
      <c r="H1761" s="153" t="s">
        <v>10</v>
      </c>
    </row>
    <row r="1762" spans="1:8" x14ac:dyDescent="0.25">
      <c r="A1762" s="73">
        <v>44758</v>
      </c>
      <c r="B1762" s="74" t="s">
        <v>23091</v>
      </c>
      <c r="C1762" s="75" t="s">
        <v>654</v>
      </c>
      <c r="D1762" s="81">
        <v>10405.6</v>
      </c>
      <c r="E1762" s="151">
        <v>44760</v>
      </c>
      <c r="F1762" s="81">
        <v>10405.6</v>
      </c>
      <c r="G1762" s="156">
        <f>Tabla18[[#This Row],[Importe]]-Tabla18[[#This Row],[Pagado]]</f>
        <v>0</v>
      </c>
      <c r="H1762" s="75" t="s">
        <v>10</v>
      </c>
    </row>
    <row r="1763" spans="1:8" x14ac:dyDescent="0.25">
      <c r="A1763" s="148">
        <v>44758</v>
      </c>
      <c r="B1763" s="149" t="s">
        <v>23092</v>
      </c>
      <c r="C1763" s="153" t="s">
        <v>442</v>
      </c>
      <c r="D1763" s="154">
        <v>12877</v>
      </c>
      <c r="E1763" s="155">
        <v>44758</v>
      </c>
      <c r="F1763" s="154">
        <v>12877</v>
      </c>
      <c r="G1763" s="156">
        <f>Tabla18[[#This Row],[Importe]]-Tabla18[[#This Row],[Pagado]]</f>
        <v>0</v>
      </c>
      <c r="H1763" s="153" t="s">
        <v>10</v>
      </c>
    </row>
    <row r="1764" spans="1:8" x14ac:dyDescent="0.25">
      <c r="A1764" s="73">
        <v>44758</v>
      </c>
      <c r="B1764" s="74" t="s">
        <v>23093</v>
      </c>
      <c r="C1764" s="75" t="s">
        <v>421</v>
      </c>
      <c r="D1764" s="81">
        <v>5322.5</v>
      </c>
      <c r="E1764" s="151">
        <v>44758</v>
      </c>
      <c r="F1764" s="81">
        <v>5322.5</v>
      </c>
      <c r="G1764" s="156">
        <f>Tabla18[[#This Row],[Importe]]-Tabla18[[#This Row],[Pagado]]</f>
        <v>0</v>
      </c>
      <c r="H1764" s="75" t="s">
        <v>10</v>
      </c>
    </row>
    <row r="1765" spans="1:8" x14ac:dyDescent="0.25">
      <c r="A1765" s="148">
        <v>44758</v>
      </c>
      <c r="B1765" s="149" t="s">
        <v>23094</v>
      </c>
      <c r="C1765" s="153" t="s">
        <v>16</v>
      </c>
      <c r="D1765" s="154">
        <v>2041.2</v>
      </c>
      <c r="E1765" s="155">
        <v>44758</v>
      </c>
      <c r="F1765" s="154">
        <v>2041.2</v>
      </c>
      <c r="G1765" s="156">
        <f>Tabla18[[#This Row],[Importe]]-Tabla18[[#This Row],[Pagado]]</f>
        <v>0</v>
      </c>
      <c r="H1765" s="153" t="s">
        <v>10</v>
      </c>
    </row>
    <row r="1766" spans="1:8" x14ac:dyDescent="0.25">
      <c r="A1766" s="73">
        <v>44758</v>
      </c>
      <c r="B1766" s="74" t="s">
        <v>23095</v>
      </c>
      <c r="C1766" s="75" t="s">
        <v>53</v>
      </c>
      <c r="D1766" s="81">
        <v>1600</v>
      </c>
      <c r="E1766" s="151">
        <v>44758</v>
      </c>
      <c r="F1766" s="81">
        <v>1600</v>
      </c>
      <c r="G1766" s="156">
        <f>Tabla18[[#This Row],[Importe]]-Tabla18[[#This Row],[Pagado]]</f>
        <v>0</v>
      </c>
      <c r="H1766" s="75" t="s">
        <v>10</v>
      </c>
    </row>
    <row r="1767" spans="1:8" x14ac:dyDescent="0.25">
      <c r="A1767" s="148">
        <v>44758</v>
      </c>
      <c r="B1767" s="149" t="s">
        <v>23096</v>
      </c>
      <c r="C1767" s="153" t="s">
        <v>27</v>
      </c>
      <c r="D1767" s="154">
        <v>780</v>
      </c>
      <c r="E1767" s="155">
        <v>44758</v>
      </c>
      <c r="F1767" s="154">
        <v>780</v>
      </c>
      <c r="G1767" s="156">
        <f>Tabla18[[#This Row],[Importe]]-Tabla18[[#This Row],[Pagado]]</f>
        <v>0</v>
      </c>
      <c r="H1767" s="153" t="s">
        <v>10</v>
      </c>
    </row>
    <row r="1768" spans="1:8" x14ac:dyDescent="0.25">
      <c r="A1768" s="73">
        <v>44758</v>
      </c>
      <c r="B1768" s="74" t="s">
        <v>23097</v>
      </c>
      <c r="C1768" s="75" t="s">
        <v>1421</v>
      </c>
      <c r="D1768" s="81">
        <v>42555.5</v>
      </c>
      <c r="E1768" s="151">
        <v>44758</v>
      </c>
      <c r="F1768" s="81">
        <v>42555.5</v>
      </c>
      <c r="G1768" s="156">
        <f>Tabla18[[#This Row],[Importe]]-Tabla18[[#This Row],[Pagado]]</f>
        <v>0</v>
      </c>
      <c r="H1768" s="75" t="s">
        <v>10</v>
      </c>
    </row>
    <row r="1769" spans="1:8" x14ac:dyDescent="0.25">
      <c r="A1769" s="148">
        <v>44758</v>
      </c>
      <c r="B1769" s="149" t="s">
        <v>23098</v>
      </c>
      <c r="C1769" s="153" t="s">
        <v>431</v>
      </c>
      <c r="D1769" s="154">
        <v>1310.5</v>
      </c>
      <c r="E1769" s="155">
        <v>44759</v>
      </c>
      <c r="F1769" s="154">
        <v>1310.5</v>
      </c>
      <c r="G1769" s="156">
        <f>Tabla18[[#This Row],[Importe]]-Tabla18[[#This Row],[Pagado]]</f>
        <v>0</v>
      </c>
      <c r="H1769" s="153" t="s">
        <v>10</v>
      </c>
    </row>
    <row r="1770" spans="1:8" x14ac:dyDescent="0.25">
      <c r="A1770" s="73">
        <v>44758</v>
      </c>
      <c r="B1770" s="74" t="s">
        <v>23099</v>
      </c>
      <c r="C1770" s="75" t="s">
        <v>280</v>
      </c>
      <c r="D1770" s="81">
        <v>3534.3</v>
      </c>
      <c r="E1770" s="151">
        <v>44759</v>
      </c>
      <c r="F1770" s="81">
        <v>3534.3</v>
      </c>
      <c r="G1770" s="156">
        <f>Tabla18[[#This Row],[Importe]]-Tabla18[[#This Row],[Pagado]]</f>
        <v>0</v>
      </c>
      <c r="H1770" s="75" t="s">
        <v>10</v>
      </c>
    </row>
    <row r="1771" spans="1:8" x14ac:dyDescent="0.25">
      <c r="A1771" s="148">
        <v>44758</v>
      </c>
      <c r="B1771" s="149" t="s">
        <v>23100</v>
      </c>
      <c r="C1771" s="153" t="s">
        <v>282</v>
      </c>
      <c r="D1771" s="154">
        <v>2941.4</v>
      </c>
      <c r="E1771" s="155">
        <v>44759</v>
      </c>
      <c r="F1771" s="154">
        <v>2941.4</v>
      </c>
      <c r="G1771" s="156">
        <f>Tabla18[[#This Row],[Importe]]-Tabla18[[#This Row],[Pagado]]</f>
        <v>0</v>
      </c>
      <c r="H1771" s="153" t="s">
        <v>10</v>
      </c>
    </row>
    <row r="1772" spans="1:8" x14ac:dyDescent="0.25">
      <c r="A1772" s="73">
        <v>44758</v>
      </c>
      <c r="B1772" s="74" t="s">
        <v>23101</v>
      </c>
      <c r="C1772" s="75" t="s">
        <v>284</v>
      </c>
      <c r="D1772" s="81">
        <v>20820.8</v>
      </c>
      <c r="E1772" s="151">
        <v>44759</v>
      </c>
      <c r="F1772" s="81">
        <v>20820.8</v>
      </c>
      <c r="G1772" s="156">
        <f>Tabla18[[#This Row],[Importe]]-Tabla18[[#This Row],[Pagado]]</f>
        <v>0</v>
      </c>
      <c r="H1772" s="75" t="s">
        <v>10</v>
      </c>
    </row>
    <row r="1773" spans="1:8" x14ac:dyDescent="0.25">
      <c r="A1773" s="148">
        <v>44758</v>
      </c>
      <c r="B1773" s="149" t="s">
        <v>23102</v>
      </c>
      <c r="C1773" s="153" t="s">
        <v>5345</v>
      </c>
      <c r="D1773" s="154">
        <v>9178.4</v>
      </c>
      <c r="E1773" s="155">
        <v>44759</v>
      </c>
      <c r="F1773" s="154">
        <v>9178.4</v>
      </c>
      <c r="G1773" s="156">
        <f>Tabla18[[#This Row],[Importe]]-Tabla18[[#This Row],[Pagado]]</f>
        <v>0</v>
      </c>
      <c r="H1773" s="153" t="s">
        <v>10</v>
      </c>
    </row>
    <row r="1774" spans="1:8" x14ac:dyDescent="0.25">
      <c r="A1774" s="73">
        <v>44758</v>
      </c>
      <c r="B1774" s="74" t="s">
        <v>23103</v>
      </c>
      <c r="C1774" s="75" t="s">
        <v>10840</v>
      </c>
      <c r="D1774" s="81">
        <v>201.6</v>
      </c>
      <c r="E1774" s="151">
        <v>44758</v>
      </c>
      <c r="F1774" s="81">
        <v>201.6</v>
      </c>
      <c r="G1774" s="156">
        <f>Tabla18[[#This Row],[Importe]]-Tabla18[[#This Row],[Pagado]]</f>
        <v>0</v>
      </c>
      <c r="H1774" s="75" t="s">
        <v>10</v>
      </c>
    </row>
    <row r="1775" spans="1:8" x14ac:dyDescent="0.25">
      <c r="A1775" s="148">
        <v>44758</v>
      </c>
      <c r="B1775" s="149" t="s">
        <v>23104</v>
      </c>
      <c r="C1775" s="153" t="s">
        <v>31</v>
      </c>
      <c r="D1775" s="154">
        <v>2284</v>
      </c>
      <c r="E1775" s="155">
        <v>44758</v>
      </c>
      <c r="F1775" s="154">
        <v>2284</v>
      </c>
      <c r="G1775" s="156">
        <f>Tabla18[[#This Row],[Importe]]-Tabla18[[#This Row],[Pagado]]</f>
        <v>0</v>
      </c>
      <c r="H1775" s="153" t="s">
        <v>10</v>
      </c>
    </row>
    <row r="1776" spans="1:8" x14ac:dyDescent="0.25">
      <c r="A1776" s="73">
        <v>44758</v>
      </c>
      <c r="B1776" s="74" t="s">
        <v>23105</v>
      </c>
      <c r="C1776" s="75" t="s">
        <v>67</v>
      </c>
      <c r="D1776" s="81">
        <v>348</v>
      </c>
      <c r="E1776" s="151">
        <v>44758</v>
      </c>
      <c r="F1776" s="81">
        <v>348</v>
      </c>
      <c r="G1776" s="156">
        <f>Tabla18[[#This Row],[Importe]]-Tabla18[[#This Row],[Pagado]]</f>
        <v>0</v>
      </c>
      <c r="H1776" s="75" t="s">
        <v>10</v>
      </c>
    </row>
    <row r="1777" spans="1:8" x14ac:dyDescent="0.25">
      <c r="A1777" s="148">
        <v>44758</v>
      </c>
      <c r="B1777" s="149" t="s">
        <v>23106</v>
      </c>
      <c r="C1777" s="153" t="s">
        <v>296</v>
      </c>
      <c r="D1777" s="154">
        <v>1760</v>
      </c>
      <c r="E1777" s="155">
        <v>44758</v>
      </c>
      <c r="F1777" s="154">
        <v>1760</v>
      </c>
      <c r="G1777" s="156">
        <f>Tabla18[[#This Row],[Importe]]-Tabla18[[#This Row],[Pagado]]</f>
        <v>0</v>
      </c>
      <c r="H1777" s="153" t="s">
        <v>10</v>
      </c>
    </row>
    <row r="1778" spans="1:8" x14ac:dyDescent="0.25">
      <c r="A1778" s="73">
        <v>44758</v>
      </c>
      <c r="B1778" s="74" t="s">
        <v>23107</v>
      </c>
      <c r="C1778" s="75" t="s">
        <v>857</v>
      </c>
      <c r="D1778" s="81">
        <v>2290.4</v>
      </c>
      <c r="E1778" s="151">
        <v>44758</v>
      </c>
      <c r="F1778" s="81">
        <v>2290.4</v>
      </c>
      <c r="G1778" s="156">
        <f>Tabla18[[#This Row],[Importe]]-Tabla18[[#This Row],[Pagado]]</f>
        <v>0</v>
      </c>
      <c r="H1778" s="75" t="s">
        <v>10</v>
      </c>
    </row>
    <row r="1779" spans="1:8" x14ac:dyDescent="0.25">
      <c r="A1779" s="148">
        <v>44758</v>
      </c>
      <c r="B1779" s="149" t="s">
        <v>23108</v>
      </c>
      <c r="C1779" s="153" t="s">
        <v>175</v>
      </c>
      <c r="D1779" s="154">
        <v>28771.200000000001</v>
      </c>
      <c r="E1779" s="155">
        <v>44759</v>
      </c>
      <c r="F1779" s="154">
        <v>28771.200000000001</v>
      </c>
      <c r="G1779" s="156">
        <f>Tabla18[[#This Row],[Importe]]-Tabla18[[#This Row],[Pagado]]</f>
        <v>0</v>
      </c>
      <c r="H1779" s="153" t="s">
        <v>10</v>
      </c>
    </row>
    <row r="1780" spans="1:8" x14ac:dyDescent="0.25">
      <c r="A1780" s="73">
        <v>44758</v>
      </c>
      <c r="B1780" s="74" t="s">
        <v>23109</v>
      </c>
      <c r="C1780" s="75" t="s">
        <v>142</v>
      </c>
      <c r="D1780" s="81">
        <v>4920</v>
      </c>
      <c r="E1780" s="151">
        <v>44799</v>
      </c>
      <c r="F1780" s="81">
        <v>4920</v>
      </c>
      <c r="G1780" s="156">
        <f>Tabla18[[#This Row],[Importe]]-Tabla18[[#This Row],[Pagado]]</f>
        <v>0</v>
      </c>
      <c r="H1780" s="75" t="s">
        <v>10</v>
      </c>
    </row>
    <row r="1781" spans="1:8" x14ac:dyDescent="0.25">
      <c r="A1781" s="148">
        <v>44758</v>
      </c>
      <c r="B1781" s="149" t="s">
        <v>23110</v>
      </c>
      <c r="C1781" s="153" t="s">
        <v>37</v>
      </c>
      <c r="D1781" s="154">
        <v>2512</v>
      </c>
      <c r="E1781" s="155">
        <v>44758</v>
      </c>
      <c r="F1781" s="154">
        <v>2512</v>
      </c>
      <c r="G1781" s="156">
        <f>Tabla18[[#This Row],[Importe]]-Tabla18[[#This Row],[Pagado]]</f>
        <v>0</v>
      </c>
      <c r="H1781" s="153" t="s">
        <v>10</v>
      </c>
    </row>
    <row r="1782" spans="1:8" x14ac:dyDescent="0.25">
      <c r="A1782" s="73">
        <v>44758</v>
      </c>
      <c r="B1782" s="74" t="s">
        <v>23111</v>
      </c>
      <c r="C1782" s="75" t="s">
        <v>91</v>
      </c>
      <c r="D1782" s="81">
        <v>11550</v>
      </c>
      <c r="E1782" s="151">
        <v>44760</v>
      </c>
      <c r="F1782" s="81">
        <v>11550</v>
      </c>
      <c r="G1782" s="156">
        <f>Tabla18[[#This Row],[Importe]]-Tabla18[[#This Row],[Pagado]]</f>
        <v>0</v>
      </c>
      <c r="H1782" s="75" t="s">
        <v>10</v>
      </c>
    </row>
    <row r="1783" spans="1:8" x14ac:dyDescent="0.25">
      <c r="A1783" s="148">
        <v>44758</v>
      </c>
      <c r="B1783" s="149" t="s">
        <v>23112</v>
      </c>
      <c r="C1783" s="153" t="s">
        <v>463</v>
      </c>
      <c r="D1783" s="154">
        <v>550</v>
      </c>
      <c r="E1783" s="155">
        <v>44758</v>
      </c>
      <c r="F1783" s="154">
        <v>550</v>
      </c>
      <c r="G1783" s="156">
        <f>Tabla18[[#This Row],[Importe]]-Tabla18[[#This Row],[Pagado]]</f>
        <v>0</v>
      </c>
      <c r="H1783" s="153" t="s">
        <v>10</v>
      </c>
    </row>
    <row r="1784" spans="1:8" x14ac:dyDescent="0.25">
      <c r="A1784" s="73">
        <v>44758</v>
      </c>
      <c r="B1784" s="74" t="s">
        <v>23113</v>
      </c>
      <c r="C1784" s="75" t="s">
        <v>461</v>
      </c>
      <c r="D1784" s="81">
        <v>394</v>
      </c>
      <c r="E1784" s="151">
        <v>44758</v>
      </c>
      <c r="F1784" s="81">
        <v>394</v>
      </c>
      <c r="G1784" s="156">
        <f>Tabla18[[#This Row],[Importe]]-Tabla18[[#This Row],[Pagado]]</f>
        <v>0</v>
      </c>
      <c r="H1784" s="75" t="s">
        <v>10</v>
      </c>
    </row>
    <row r="1785" spans="1:8" x14ac:dyDescent="0.25">
      <c r="A1785" s="148">
        <v>44758</v>
      </c>
      <c r="B1785" s="149" t="s">
        <v>23114</v>
      </c>
      <c r="C1785" s="153" t="s">
        <v>459</v>
      </c>
      <c r="D1785" s="154">
        <v>213</v>
      </c>
      <c r="E1785" s="155">
        <v>44758</v>
      </c>
      <c r="F1785" s="154">
        <v>213</v>
      </c>
      <c r="G1785" s="156">
        <f>Tabla18[[#This Row],[Importe]]-Tabla18[[#This Row],[Pagado]]</f>
        <v>0</v>
      </c>
      <c r="H1785" s="153" t="s">
        <v>10</v>
      </c>
    </row>
    <row r="1786" spans="1:8" x14ac:dyDescent="0.25">
      <c r="A1786" s="73">
        <v>44758</v>
      </c>
      <c r="B1786" s="74" t="s">
        <v>23115</v>
      </c>
      <c r="C1786" s="75" t="s">
        <v>457</v>
      </c>
      <c r="D1786" s="81">
        <v>198</v>
      </c>
      <c r="E1786" s="151">
        <v>44758</v>
      </c>
      <c r="F1786" s="81">
        <v>198</v>
      </c>
      <c r="G1786" s="156">
        <f>Tabla18[[#This Row],[Importe]]-Tabla18[[#This Row],[Pagado]]</f>
        <v>0</v>
      </c>
      <c r="H1786" s="75" t="s">
        <v>10</v>
      </c>
    </row>
    <row r="1787" spans="1:8" x14ac:dyDescent="0.25">
      <c r="A1787" s="148">
        <v>44758</v>
      </c>
      <c r="B1787" s="149" t="s">
        <v>23116</v>
      </c>
      <c r="C1787" s="153" t="s">
        <v>31</v>
      </c>
      <c r="D1787" s="154">
        <v>624</v>
      </c>
      <c r="E1787" s="155">
        <v>44760</v>
      </c>
      <c r="F1787" s="154">
        <v>624</v>
      </c>
      <c r="G1787" s="156">
        <f>Tabla18[[#This Row],[Importe]]-Tabla18[[#This Row],[Pagado]]</f>
        <v>0</v>
      </c>
      <c r="H1787" s="153" t="s">
        <v>10</v>
      </c>
    </row>
    <row r="1788" spans="1:8" x14ac:dyDescent="0.25">
      <c r="A1788" s="73">
        <v>44759</v>
      </c>
      <c r="B1788" s="74" t="s">
        <v>23117</v>
      </c>
      <c r="C1788" s="75" t="s">
        <v>1187</v>
      </c>
      <c r="D1788" s="81">
        <v>3219.5</v>
      </c>
      <c r="E1788" s="151">
        <v>44759</v>
      </c>
      <c r="F1788" s="81">
        <v>3219.5</v>
      </c>
      <c r="G1788" s="156">
        <f>Tabla18[[#This Row],[Importe]]-Tabla18[[#This Row],[Pagado]]</f>
        <v>0</v>
      </c>
      <c r="H1788" s="75" t="s">
        <v>10</v>
      </c>
    </row>
    <row r="1789" spans="1:8" x14ac:dyDescent="0.25">
      <c r="A1789" s="148">
        <v>44759</v>
      </c>
      <c r="B1789" s="149" t="s">
        <v>23118</v>
      </c>
      <c r="C1789" s="153" t="s">
        <v>9</v>
      </c>
      <c r="D1789" s="154">
        <v>12346.9</v>
      </c>
      <c r="E1789" s="155">
        <v>44759</v>
      </c>
      <c r="F1789" s="154">
        <v>12346.9</v>
      </c>
      <c r="G1789" s="156">
        <f>Tabla18[[#This Row],[Importe]]-Tabla18[[#This Row],[Pagado]]</f>
        <v>0</v>
      </c>
      <c r="H1789" s="153" t="s">
        <v>10</v>
      </c>
    </row>
    <row r="1790" spans="1:8" ht="31.5" x14ac:dyDescent="0.25">
      <c r="A1790" s="73">
        <v>44759</v>
      </c>
      <c r="B1790" s="74" t="s">
        <v>23119</v>
      </c>
      <c r="C1790" s="75" t="s">
        <v>475</v>
      </c>
      <c r="D1790" s="81">
        <v>69378.3</v>
      </c>
      <c r="E1790" s="147" t="s">
        <v>23120</v>
      </c>
      <c r="F1790" s="81">
        <f>61400+7978.3</f>
        <v>69378.3</v>
      </c>
      <c r="G1790" s="156">
        <f>Tabla18[[#This Row],[Importe]]-Tabla18[[#This Row],[Pagado]]</f>
        <v>0</v>
      </c>
      <c r="H1790" s="75" t="s">
        <v>10</v>
      </c>
    </row>
    <row r="1791" spans="1:8" x14ac:dyDescent="0.25">
      <c r="A1791" s="148">
        <v>44759</v>
      </c>
      <c r="B1791" s="149" t="s">
        <v>23121</v>
      </c>
      <c r="C1791" s="153" t="s">
        <v>12</v>
      </c>
      <c r="D1791" s="154">
        <v>5808</v>
      </c>
      <c r="E1791" s="155">
        <v>44759</v>
      </c>
      <c r="F1791" s="154">
        <v>5808</v>
      </c>
      <c r="G1791" s="156">
        <f>Tabla18[[#This Row],[Importe]]-Tabla18[[#This Row],[Pagado]]</f>
        <v>0</v>
      </c>
      <c r="H1791" s="153" t="s">
        <v>10</v>
      </c>
    </row>
    <row r="1792" spans="1:8" x14ac:dyDescent="0.25">
      <c r="A1792" s="73">
        <v>44759</v>
      </c>
      <c r="B1792" s="74" t="s">
        <v>23122</v>
      </c>
      <c r="C1792" s="75" t="s">
        <v>31</v>
      </c>
      <c r="D1792" s="81">
        <v>2124</v>
      </c>
      <c r="E1792" s="151">
        <v>44759</v>
      </c>
      <c r="F1792" s="81">
        <v>2124</v>
      </c>
      <c r="G1792" s="156">
        <f>Tabla18[[#This Row],[Importe]]-Tabla18[[#This Row],[Pagado]]</f>
        <v>0</v>
      </c>
      <c r="H1792" s="75" t="s">
        <v>10</v>
      </c>
    </row>
    <row r="1793" spans="1:8" x14ac:dyDescent="0.25">
      <c r="A1793" s="148">
        <v>44759</v>
      </c>
      <c r="B1793" s="149" t="s">
        <v>23123</v>
      </c>
      <c r="C1793" s="153" t="s">
        <v>31</v>
      </c>
      <c r="D1793" s="154">
        <v>1280</v>
      </c>
      <c r="E1793" s="155">
        <v>44759</v>
      </c>
      <c r="F1793" s="154">
        <v>1280</v>
      </c>
      <c r="G1793" s="156">
        <f>Tabla18[[#This Row],[Importe]]-Tabla18[[#This Row],[Pagado]]</f>
        <v>0</v>
      </c>
      <c r="H1793" s="153" t="s">
        <v>10</v>
      </c>
    </row>
    <row r="1794" spans="1:8" x14ac:dyDescent="0.25">
      <c r="A1794" s="73">
        <v>44759</v>
      </c>
      <c r="B1794" s="74" t="s">
        <v>23124</v>
      </c>
      <c r="C1794" s="75" t="s">
        <v>16</v>
      </c>
      <c r="D1794" s="81">
        <v>11382.9</v>
      </c>
      <c r="E1794" s="151">
        <v>44759</v>
      </c>
      <c r="F1794" s="81">
        <v>11382.9</v>
      </c>
      <c r="G1794" s="156">
        <f>Tabla18[[#This Row],[Importe]]-Tabla18[[#This Row],[Pagado]]</f>
        <v>0</v>
      </c>
      <c r="H1794" s="75" t="s">
        <v>10</v>
      </c>
    </row>
    <row r="1795" spans="1:8" x14ac:dyDescent="0.25">
      <c r="A1795" s="148">
        <v>44759</v>
      </c>
      <c r="B1795" s="149" t="s">
        <v>23125</v>
      </c>
      <c r="C1795" s="153" t="s">
        <v>31</v>
      </c>
      <c r="D1795" s="154">
        <v>96</v>
      </c>
      <c r="E1795" s="155">
        <v>44759</v>
      </c>
      <c r="F1795" s="154">
        <v>96</v>
      </c>
      <c r="G1795" s="156">
        <f>Tabla18[[#This Row],[Importe]]-Tabla18[[#This Row],[Pagado]]</f>
        <v>0</v>
      </c>
      <c r="H1795" s="153" t="s">
        <v>10</v>
      </c>
    </row>
    <row r="1796" spans="1:8" ht="31.5" x14ac:dyDescent="0.25">
      <c r="A1796" s="73">
        <v>44759</v>
      </c>
      <c r="B1796" s="74" t="s">
        <v>23126</v>
      </c>
      <c r="C1796" s="75" t="s">
        <v>22</v>
      </c>
      <c r="D1796" s="81">
        <v>80611.8</v>
      </c>
      <c r="E1796" s="147" t="s">
        <v>23017</v>
      </c>
      <c r="F1796" s="81">
        <f>58000+22611.8</f>
        <v>80611.8</v>
      </c>
      <c r="G1796" s="156">
        <f>Tabla18[[#This Row],[Importe]]-Tabla18[[#This Row],[Pagado]]</f>
        <v>0</v>
      </c>
      <c r="H1796" s="75" t="s">
        <v>10</v>
      </c>
    </row>
    <row r="1797" spans="1:8" x14ac:dyDescent="0.25">
      <c r="A1797" s="148">
        <v>44759</v>
      </c>
      <c r="B1797" s="149" t="s">
        <v>23127</v>
      </c>
      <c r="C1797" s="153" t="s">
        <v>31</v>
      </c>
      <c r="D1797" s="154">
        <v>48</v>
      </c>
      <c r="E1797" s="155">
        <v>44759</v>
      </c>
      <c r="F1797" s="154">
        <v>48</v>
      </c>
      <c r="G1797" s="156">
        <f>Tabla18[[#This Row],[Importe]]-Tabla18[[#This Row],[Pagado]]</f>
        <v>0</v>
      </c>
      <c r="H1797" s="153" t="s">
        <v>10</v>
      </c>
    </row>
    <row r="1798" spans="1:8" x14ac:dyDescent="0.25">
      <c r="A1798" s="73">
        <v>44759</v>
      </c>
      <c r="B1798" s="74" t="s">
        <v>23128</v>
      </c>
      <c r="C1798" s="75" t="s">
        <v>51</v>
      </c>
      <c r="D1798" s="81">
        <v>3347.3</v>
      </c>
      <c r="E1798" s="151">
        <v>44759</v>
      </c>
      <c r="F1798" s="81">
        <v>3347.3</v>
      </c>
      <c r="G1798" s="156">
        <f>Tabla18[[#This Row],[Importe]]-Tabla18[[#This Row],[Pagado]]</f>
        <v>0</v>
      </c>
      <c r="H1798" s="75" t="s">
        <v>10</v>
      </c>
    </row>
    <row r="1799" spans="1:8" x14ac:dyDescent="0.25">
      <c r="A1799" s="148">
        <v>44759</v>
      </c>
      <c r="B1799" s="149" t="s">
        <v>23129</v>
      </c>
      <c r="C1799" s="153" t="s">
        <v>466</v>
      </c>
      <c r="D1799" s="154">
        <v>3131.2</v>
      </c>
      <c r="E1799" s="155">
        <v>44759</v>
      </c>
      <c r="F1799" s="154">
        <v>3131.2</v>
      </c>
      <c r="G1799" s="156">
        <f>Tabla18[[#This Row],[Importe]]-Tabla18[[#This Row],[Pagado]]</f>
        <v>0</v>
      </c>
      <c r="H1799" s="153" t="s">
        <v>10</v>
      </c>
    </row>
    <row r="1800" spans="1:8" x14ac:dyDescent="0.25">
      <c r="A1800" s="73">
        <v>44759</v>
      </c>
      <c r="B1800" s="74" t="s">
        <v>23130</v>
      </c>
      <c r="C1800" s="75" t="s">
        <v>49</v>
      </c>
      <c r="D1800" s="81">
        <v>4905.8</v>
      </c>
      <c r="E1800" s="151">
        <v>44759</v>
      </c>
      <c r="F1800" s="81">
        <v>4905.8</v>
      </c>
      <c r="G1800" s="156">
        <f>Tabla18[[#This Row],[Importe]]-Tabla18[[#This Row],[Pagado]]</f>
        <v>0</v>
      </c>
      <c r="H1800" s="75" t="s">
        <v>10</v>
      </c>
    </row>
    <row r="1801" spans="1:8" x14ac:dyDescent="0.25">
      <c r="A1801" s="148">
        <v>44759</v>
      </c>
      <c r="B1801" s="149" t="s">
        <v>23131</v>
      </c>
      <c r="C1801" s="153" t="s">
        <v>450</v>
      </c>
      <c r="D1801" s="154">
        <v>4503</v>
      </c>
      <c r="E1801" s="155">
        <v>44759</v>
      </c>
      <c r="F1801" s="154">
        <v>4503</v>
      </c>
      <c r="G1801" s="156">
        <f>Tabla18[[#This Row],[Importe]]-Tabla18[[#This Row],[Pagado]]</f>
        <v>0</v>
      </c>
      <c r="H1801" s="153" t="s">
        <v>10</v>
      </c>
    </row>
    <row r="1802" spans="1:8" x14ac:dyDescent="0.25">
      <c r="A1802" s="73">
        <v>44759</v>
      </c>
      <c r="B1802" s="74" t="s">
        <v>23132</v>
      </c>
      <c r="C1802" s="75" t="s">
        <v>216</v>
      </c>
      <c r="D1802" s="81">
        <v>3182.4</v>
      </c>
      <c r="E1802" s="151">
        <v>44759</v>
      </c>
      <c r="F1802" s="81">
        <v>3182.4</v>
      </c>
      <c r="G1802" s="156">
        <f>Tabla18[[#This Row],[Importe]]-Tabla18[[#This Row],[Pagado]]</f>
        <v>0</v>
      </c>
      <c r="H1802" s="75" t="s">
        <v>10</v>
      </c>
    </row>
    <row r="1803" spans="1:8" x14ac:dyDescent="0.25">
      <c r="A1803" s="148">
        <v>44759</v>
      </c>
      <c r="B1803" s="149" t="s">
        <v>23133</v>
      </c>
      <c r="C1803" s="153" t="s">
        <v>15039</v>
      </c>
      <c r="D1803" s="154">
        <v>4346.3999999999996</v>
      </c>
      <c r="E1803" s="155">
        <v>44759</v>
      </c>
      <c r="F1803" s="154">
        <v>4346.3999999999996</v>
      </c>
      <c r="G1803" s="156">
        <f>Tabla18[[#This Row],[Importe]]-Tabla18[[#This Row],[Pagado]]</f>
        <v>0</v>
      </c>
      <c r="H1803" s="153" t="s">
        <v>10</v>
      </c>
    </row>
    <row r="1804" spans="1:8" x14ac:dyDescent="0.25">
      <c r="A1804" s="73">
        <v>44759</v>
      </c>
      <c r="B1804" s="74" t="s">
        <v>23134</v>
      </c>
      <c r="C1804" s="75" t="s">
        <v>326</v>
      </c>
      <c r="D1804" s="81">
        <v>7722.6</v>
      </c>
      <c r="E1804" s="151">
        <v>44759</v>
      </c>
      <c r="F1804" s="81">
        <v>7722.6</v>
      </c>
      <c r="G1804" s="156">
        <f>Tabla18[[#This Row],[Importe]]-Tabla18[[#This Row],[Pagado]]</f>
        <v>0</v>
      </c>
      <c r="H1804" s="75" t="s">
        <v>10</v>
      </c>
    </row>
    <row r="1805" spans="1:8" x14ac:dyDescent="0.25">
      <c r="A1805" s="148">
        <v>44759</v>
      </c>
      <c r="B1805" s="149" t="s">
        <v>23135</v>
      </c>
      <c r="C1805" s="153" t="s">
        <v>29</v>
      </c>
      <c r="D1805" s="154">
        <v>11076</v>
      </c>
      <c r="E1805" s="155">
        <v>44759</v>
      </c>
      <c r="F1805" s="154">
        <v>11076</v>
      </c>
      <c r="G1805" s="156">
        <f>Tabla18[[#This Row],[Importe]]-Tabla18[[#This Row],[Pagado]]</f>
        <v>0</v>
      </c>
      <c r="H1805" s="153" t="s">
        <v>10</v>
      </c>
    </row>
    <row r="1806" spans="1:8" x14ac:dyDescent="0.25">
      <c r="A1806" s="73">
        <v>44759</v>
      </c>
      <c r="B1806" s="74" t="s">
        <v>23136</v>
      </c>
      <c r="C1806" s="75" t="s">
        <v>20</v>
      </c>
      <c r="D1806" s="81">
        <v>1937.2</v>
      </c>
      <c r="E1806" s="151">
        <v>44759</v>
      </c>
      <c r="F1806" s="81">
        <v>1937.2</v>
      </c>
      <c r="G1806" s="156">
        <f>Tabla18[[#This Row],[Importe]]-Tabla18[[#This Row],[Pagado]]</f>
        <v>0</v>
      </c>
      <c r="H1806" s="75" t="s">
        <v>10</v>
      </c>
    </row>
    <row r="1807" spans="1:8" x14ac:dyDescent="0.25">
      <c r="A1807" s="148">
        <v>44759</v>
      </c>
      <c r="B1807" s="149" t="s">
        <v>23137</v>
      </c>
      <c r="C1807" s="153" t="s">
        <v>35</v>
      </c>
      <c r="D1807" s="154">
        <v>2549</v>
      </c>
      <c r="E1807" s="155">
        <v>44759</v>
      </c>
      <c r="F1807" s="154">
        <v>2549</v>
      </c>
      <c r="G1807" s="156">
        <f>Tabla18[[#This Row],[Importe]]-Tabla18[[#This Row],[Pagado]]</f>
        <v>0</v>
      </c>
      <c r="H1807" s="153" t="s">
        <v>10</v>
      </c>
    </row>
    <row r="1808" spans="1:8" x14ac:dyDescent="0.25">
      <c r="A1808" s="73">
        <v>44759</v>
      </c>
      <c r="B1808" s="74" t="s">
        <v>23138</v>
      </c>
      <c r="C1808" s="75" t="s">
        <v>24</v>
      </c>
      <c r="D1808" s="81">
        <v>5376.9</v>
      </c>
      <c r="E1808" s="151">
        <v>44759</v>
      </c>
      <c r="F1808" s="81">
        <v>5376.9</v>
      </c>
      <c r="G1808" s="156">
        <f>Tabla18[[#This Row],[Importe]]-Tabla18[[#This Row],[Pagado]]</f>
        <v>0</v>
      </c>
      <c r="H1808" s="75" t="s">
        <v>10</v>
      </c>
    </row>
    <row r="1809" spans="1:8" x14ac:dyDescent="0.25">
      <c r="A1809" s="148">
        <v>44759</v>
      </c>
      <c r="B1809" s="149" t="s">
        <v>23139</v>
      </c>
      <c r="C1809" s="153" t="s">
        <v>20</v>
      </c>
      <c r="D1809" s="154">
        <v>12979.2</v>
      </c>
      <c r="E1809" s="155">
        <v>44759</v>
      </c>
      <c r="F1809" s="154">
        <v>12979.2</v>
      </c>
      <c r="G1809" s="156">
        <f>Tabla18[[#This Row],[Importe]]-Tabla18[[#This Row],[Pagado]]</f>
        <v>0</v>
      </c>
      <c r="H1809" s="153" t="s">
        <v>10</v>
      </c>
    </row>
    <row r="1810" spans="1:8" x14ac:dyDescent="0.25">
      <c r="A1810" s="73">
        <v>44759</v>
      </c>
      <c r="B1810" s="74" t="s">
        <v>23140</v>
      </c>
      <c r="C1810" s="75" t="s">
        <v>1003</v>
      </c>
      <c r="D1810" s="81">
        <v>12545</v>
      </c>
      <c r="E1810" s="151">
        <v>44764</v>
      </c>
      <c r="F1810" s="81">
        <v>12545</v>
      </c>
      <c r="G1810" s="156">
        <f>Tabla18[[#This Row],[Importe]]-Tabla18[[#This Row],[Pagado]]</f>
        <v>0</v>
      </c>
      <c r="H1810" s="75" t="s">
        <v>10</v>
      </c>
    </row>
    <row r="1811" spans="1:8" x14ac:dyDescent="0.25">
      <c r="A1811" s="148">
        <v>44759</v>
      </c>
      <c r="B1811" s="149" t="s">
        <v>23141</v>
      </c>
      <c r="C1811" s="153" t="s">
        <v>196</v>
      </c>
      <c r="D1811" s="154">
        <v>77061</v>
      </c>
      <c r="E1811" s="155">
        <v>44765</v>
      </c>
      <c r="F1811" s="154">
        <v>77061</v>
      </c>
      <c r="G1811" s="156">
        <f>Tabla18[[#This Row],[Importe]]-Tabla18[[#This Row],[Pagado]]</f>
        <v>0</v>
      </c>
      <c r="H1811" s="153" t="s">
        <v>10</v>
      </c>
    </row>
    <row r="1812" spans="1:8" x14ac:dyDescent="0.25">
      <c r="A1812" s="73">
        <v>44759</v>
      </c>
      <c r="B1812" s="74" t="s">
        <v>23142</v>
      </c>
      <c r="C1812" s="75" t="s">
        <v>97</v>
      </c>
      <c r="D1812" s="81">
        <v>6732.8</v>
      </c>
      <c r="E1812" s="151">
        <v>44759</v>
      </c>
      <c r="F1812" s="81">
        <v>6732.8</v>
      </c>
      <c r="G1812" s="156">
        <f>Tabla18[[#This Row],[Importe]]-Tabla18[[#This Row],[Pagado]]</f>
        <v>0</v>
      </c>
      <c r="H1812" s="75" t="s">
        <v>10</v>
      </c>
    </row>
    <row r="1813" spans="1:8" x14ac:dyDescent="0.25">
      <c r="A1813" s="148">
        <v>44759</v>
      </c>
      <c r="B1813" s="149" t="s">
        <v>23143</v>
      </c>
      <c r="C1813" s="153" t="s">
        <v>45</v>
      </c>
      <c r="D1813" s="154">
        <v>8699.5</v>
      </c>
      <c r="E1813" s="155">
        <v>44759</v>
      </c>
      <c r="F1813" s="154">
        <v>8699.5</v>
      </c>
      <c r="G1813" s="156">
        <f>Tabla18[[#This Row],[Importe]]-Tabla18[[#This Row],[Pagado]]</f>
        <v>0</v>
      </c>
      <c r="H1813" s="153" t="s">
        <v>10</v>
      </c>
    </row>
    <row r="1814" spans="1:8" x14ac:dyDescent="0.25">
      <c r="A1814" s="73">
        <v>44759</v>
      </c>
      <c r="B1814" s="74" t="s">
        <v>23144</v>
      </c>
      <c r="C1814" s="75" t="s">
        <v>58</v>
      </c>
      <c r="D1814" s="81">
        <v>4758</v>
      </c>
      <c r="E1814" s="151">
        <v>44759</v>
      </c>
      <c r="F1814" s="81">
        <v>4758</v>
      </c>
      <c r="G1814" s="156">
        <f>Tabla18[[#This Row],[Importe]]-Tabla18[[#This Row],[Pagado]]</f>
        <v>0</v>
      </c>
      <c r="H1814" s="75" t="s">
        <v>10</v>
      </c>
    </row>
    <row r="1815" spans="1:8" x14ac:dyDescent="0.25">
      <c r="A1815" s="148">
        <v>44759</v>
      </c>
      <c r="B1815" s="149" t="s">
        <v>23145</v>
      </c>
      <c r="C1815" s="153" t="s">
        <v>191</v>
      </c>
      <c r="D1815" s="154">
        <v>2573</v>
      </c>
      <c r="E1815" s="155">
        <v>44759</v>
      </c>
      <c r="F1815" s="154">
        <v>2573</v>
      </c>
      <c r="G1815" s="156">
        <f>Tabla18[[#This Row],[Importe]]-Tabla18[[#This Row],[Pagado]]</f>
        <v>0</v>
      </c>
      <c r="H1815" s="153" t="s">
        <v>10</v>
      </c>
    </row>
    <row r="1816" spans="1:8" x14ac:dyDescent="0.25">
      <c r="A1816" s="73">
        <v>44759</v>
      </c>
      <c r="B1816" s="74" t="s">
        <v>23146</v>
      </c>
      <c r="C1816" s="75" t="s">
        <v>670</v>
      </c>
      <c r="D1816" s="81">
        <v>1586.8</v>
      </c>
      <c r="E1816" s="151">
        <v>44759</v>
      </c>
      <c r="F1816" s="81">
        <v>1586.8</v>
      </c>
      <c r="G1816" s="156">
        <f>Tabla18[[#This Row],[Importe]]-Tabla18[[#This Row],[Pagado]]</f>
        <v>0</v>
      </c>
      <c r="H1816" s="75" t="s">
        <v>10</v>
      </c>
    </row>
    <row r="1817" spans="1:8" x14ac:dyDescent="0.25">
      <c r="A1817" s="148">
        <v>44759</v>
      </c>
      <c r="B1817" s="149" t="s">
        <v>23147</v>
      </c>
      <c r="C1817" s="153" t="s">
        <v>69</v>
      </c>
      <c r="D1817" s="154">
        <v>3042</v>
      </c>
      <c r="E1817" s="155">
        <v>44759</v>
      </c>
      <c r="F1817" s="154">
        <v>3042</v>
      </c>
      <c r="G1817" s="156">
        <f>Tabla18[[#This Row],[Importe]]-Tabla18[[#This Row],[Pagado]]</f>
        <v>0</v>
      </c>
      <c r="H1817" s="153" t="s">
        <v>10</v>
      </c>
    </row>
    <row r="1818" spans="1:8" x14ac:dyDescent="0.25">
      <c r="A1818" s="73">
        <v>44759</v>
      </c>
      <c r="B1818" s="74" t="s">
        <v>23148</v>
      </c>
      <c r="C1818" s="75" t="s">
        <v>56</v>
      </c>
      <c r="D1818" s="81">
        <v>10814.1</v>
      </c>
      <c r="E1818" s="151">
        <v>44759</v>
      </c>
      <c r="F1818" s="81">
        <v>10814.1</v>
      </c>
      <c r="G1818" s="156">
        <f>Tabla18[[#This Row],[Importe]]-Tabla18[[#This Row],[Pagado]]</f>
        <v>0</v>
      </c>
      <c r="H1818" s="75" t="s">
        <v>10</v>
      </c>
    </row>
    <row r="1819" spans="1:8" x14ac:dyDescent="0.25">
      <c r="A1819" s="148">
        <v>44759</v>
      </c>
      <c r="B1819" s="149" t="s">
        <v>23149</v>
      </c>
      <c r="C1819" s="153" t="s">
        <v>31</v>
      </c>
      <c r="D1819" s="154">
        <v>1840.8</v>
      </c>
      <c r="E1819" s="155">
        <v>44759</v>
      </c>
      <c r="F1819" s="154">
        <v>1840.8</v>
      </c>
      <c r="G1819" s="156">
        <f>Tabla18[[#This Row],[Importe]]-Tabla18[[#This Row],[Pagado]]</f>
        <v>0</v>
      </c>
      <c r="H1819" s="153" t="s">
        <v>10</v>
      </c>
    </row>
    <row r="1820" spans="1:8" x14ac:dyDescent="0.25">
      <c r="A1820" s="73">
        <v>44759</v>
      </c>
      <c r="B1820" s="74" t="s">
        <v>23150</v>
      </c>
      <c r="C1820" s="75" t="s">
        <v>9993</v>
      </c>
      <c r="D1820" s="81">
        <v>47082</v>
      </c>
      <c r="E1820" s="151">
        <v>44759</v>
      </c>
      <c r="F1820" s="81">
        <v>47082</v>
      </c>
      <c r="G1820" s="156">
        <f>Tabla18[[#This Row],[Importe]]-Tabla18[[#This Row],[Pagado]]</f>
        <v>0</v>
      </c>
      <c r="H1820" s="75" t="s">
        <v>10</v>
      </c>
    </row>
    <row r="1821" spans="1:8" x14ac:dyDescent="0.25">
      <c r="A1821" s="148">
        <v>44759</v>
      </c>
      <c r="B1821" s="149" t="s">
        <v>23151</v>
      </c>
      <c r="C1821" s="153" t="s">
        <v>67</v>
      </c>
      <c r="D1821" s="154">
        <v>4387</v>
      </c>
      <c r="E1821" s="155">
        <v>44759</v>
      </c>
      <c r="F1821" s="154">
        <v>4387</v>
      </c>
      <c r="G1821" s="156">
        <f>Tabla18[[#This Row],[Importe]]-Tabla18[[#This Row],[Pagado]]</f>
        <v>0</v>
      </c>
      <c r="H1821" s="153" t="s">
        <v>10</v>
      </c>
    </row>
    <row r="1822" spans="1:8" x14ac:dyDescent="0.25">
      <c r="A1822" s="73">
        <v>44759</v>
      </c>
      <c r="B1822" s="74" t="s">
        <v>23152</v>
      </c>
      <c r="C1822" s="75" t="s">
        <v>16</v>
      </c>
      <c r="D1822" s="81">
        <v>1568.6</v>
      </c>
      <c r="E1822" s="151">
        <v>44759</v>
      </c>
      <c r="F1822" s="81">
        <v>1568.6</v>
      </c>
      <c r="G1822" s="156">
        <f>Tabla18[[#This Row],[Importe]]-Tabla18[[#This Row],[Pagado]]</f>
        <v>0</v>
      </c>
      <c r="H1822" s="75" t="s">
        <v>10</v>
      </c>
    </row>
    <row r="1823" spans="1:8" x14ac:dyDescent="0.25">
      <c r="A1823" s="148">
        <v>44759</v>
      </c>
      <c r="B1823" s="149" t="s">
        <v>23153</v>
      </c>
      <c r="C1823" s="153" t="s">
        <v>31</v>
      </c>
      <c r="D1823" s="154">
        <v>22438.3</v>
      </c>
      <c r="E1823" s="155">
        <v>44759</v>
      </c>
      <c r="F1823" s="154">
        <v>22438.3</v>
      </c>
      <c r="G1823" s="156">
        <f>Tabla18[[#This Row],[Importe]]-Tabla18[[#This Row],[Pagado]]</f>
        <v>0</v>
      </c>
      <c r="H1823" s="153" t="s">
        <v>10</v>
      </c>
    </row>
    <row r="1824" spans="1:8" x14ac:dyDescent="0.25">
      <c r="A1824" s="73">
        <v>44759</v>
      </c>
      <c r="B1824" s="74" t="s">
        <v>23154</v>
      </c>
      <c r="C1824" s="75" t="s">
        <v>244</v>
      </c>
      <c r="D1824" s="81">
        <v>1078.3</v>
      </c>
      <c r="E1824" s="151">
        <v>44759</v>
      </c>
      <c r="F1824" s="81">
        <v>1078.3</v>
      </c>
      <c r="G1824" s="156">
        <f>Tabla18[[#This Row],[Importe]]-Tabla18[[#This Row],[Pagado]]</f>
        <v>0</v>
      </c>
      <c r="H1824" s="75" t="s">
        <v>10</v>
      </c>
    </row>
    <row r="1825" spans="1:8" x14ac:dyDescent="0.25">
      <c r="A1825" s="148">
        <v>44759</v>
      </c>
      <c r="B1825" s="149" t="s">
        <v>23155</v>
      </c>
      <c r="C1825" s="153" t="s">
        <v>9993</v>
      </c>
      <c r="D1825" s="154">
        <v>7528.4</v>
      </c>
      <c r="E1825" s="155">
        <v>44759</v>
      </c>
      <c r="F1825" s="154">
        <v>7528.4</v>
      </c>
      <c r="G1825" s="156">
        <f>Tabla18[[#This Row],[Importe]]-Tabla18[[#This Row],[Pagado]]</f>
        <v>0</v>
      </c>
      <c r="H1825" s="153" t="s">
        <v>10</v>
      </c>
    </row>
    <row r="1826" spans="1:8" x14ac:dyDescent="0.25">
      <c r="A1826" s="73">
        <v>44759</v>
      </c>
      <c r="B1826" s="74" t="s">
        <v>23156</v>
      </c>
      <c r="C1826" s="75" t="s">
        <v>31</v>
      </c>
      <c r="D1826" s="81">
        <v>1801.8</v>
      </c>
      <c r="E1826" s="151">
        <v>44759</v>
      </c>
      <c r="F1826" s="81">
        <v>1801.8</v>
      </c>
      <c r="G1826" s="156">
        <f>Tabla18[[#This Row],[Importe]]-Tabla18[[#This Row],[Pagado]]</f>
        <v>0</v>
      </c>
      <c r="H1826" s="75" t="s">
        <v>10</v>
      </c>
    </row>
    <row r="1827" spans="1:8" x14ac:dyDescent="0.25">
      <c r="A1827" s="148">
        <v>44759</v>
      </c>
      <c r="B1827" s="149" t="s">
        <v>23157</v>
      </c>
      <c r="C1827" s="153" t="s">
        <v>31</v>
      </c>
      <c r="D1827" s="154">
        <v>1770.6</v>
      </c>
      <c r="E1827" s="155">
        <v>44759</v>
      </c>
      <c r="F1827" s="154">
        <v>1770.6</v>
      </c>
      <c r="G1827" s="156">
        <f>Tabla18[[#This Row],[Importe]]-Tabla18[[#This Row],[Pagado]]</f>
        <v>0</v>
      </c>
      <c r="H1827" s="153" t="s">
        <v>10</v>
      </c>
    </row>
    <row r="1828" spans="1:8" x14ac:dyDescent="0.25">
      <c r="A1828" s="73">
        <v>44759</v>
      </c>
      <c r="B1828" s="74" t="s">
        <v>23158</v>
      </c>
      <c r="C1828" s="75" t="s">
        <v>22</v>
      </c>
      <c r="D1828" s="81">
        <v>364.17</v>
      </c>
      <c r="E1828" s="151">
        <v>44759</v>
      </c>
      <c r="F1828" s="81">
        <v>364.17</v>
      </c>
      <c r="G1828" s="156">
        <f>Tabla18[[#This Row],[Importe]]-Tabla18[[#This Row],[Pagado]]</f>
        <v>0</v>
      </c>
      <c r="H1828" s="75" t="s">
        <v>10</v>
      </c>
    </row>
    <row r="1829" spans="1:8" x14ac:dyDescent="0.25">
      <c r="A1829" s="148">
        <v>44759</v>
      </c>
      <c r="B1829" s="149" t="s">
        <v>23159</v>
      </c>
      <c r="C1829" s="153" t="s">
        <v>296</v>
      </c>
      <c r="D1829" s="154">
        <v>3290.9</v>
      </c>
      <c r="E1829" s="155">
        <v>44759</v>
      </c>
      <c r="F1829" s="154">
        <v>3290.9</v>
      </c>
      <c r="G1829" s="156">
        <f>Tabla18[[#This Row],[Importe]]-Tabla18[[#This Row],[Pagado]]</f>
        <v>0</v>
      </c>
      <c r="H1829" s="153" t="s">
        <v>10</v>
      </c>
    </row>
    <row r="1830" spans="1:8" x14ac:dyDescent="0.25">
      <c r="A1830" s="73">
        <v>44759</v>
      </c>
      <c r="B1830" s="74" t="s">
        <v>23160</v>
      </c>
      <c r="C1830" s="75" t="s">
        <v>857</v>
      </c>
      <c r="D1830" s="81">
        <v>268</v>
      </c>
      <c r="E1830" s="151">
        <v>44759</v>
      </c>
      <c r="F1830" s="81">
        <v>268</v>
      </c>
      <c r="G1830" s="156">
        <f>Tabla18[[#This Row],[Importe]]-Tabla18[[#This Row],[Pagado]]</f>
        <v>0</v>
      </c>
      <c r="H1830" s="75" t="s">
        <v>10</v>
      </c>
    </row>
    <row r="1831" spans="1:8" x14ac:dyDescent="0.25">
      <c r="A1831" s="148">
        <v>44759</v>
      </c>
      <c r="B1831" s="149" t="s">
        <v>23161</v>
      </c>
      <c r="C1831" s="153" t="s">
        <v>53</v>
      </c>
      <c r="D1831" s="154">
        <v>616.79999999999995</v>
      </c>
      <c r="E1831" s="155">
        <v>44759</v>
      </c>
      <c r="F1831" s="154">
        <v>616.79999999999995</v>
      </c>
      <c r="G1831" s="156">
        <f>Tabla18[[#This Row],[Importe]]-Tabla18[[#This Row],[Pagado]]</f>
        <v>0</v>
      </c>
      <c r="H1831" s="153" t="s">
        <v>10</v>
      </c>
    </row>
    <row r="1832" spans="1:8" x14ac:dyDescent="0.25">
      <c r="A1832" s="73">
        <v>44759</v>
      </c>
      <c r="B1832" s="74" t="s">
        <v>23162</v>
      </c>
      <c r="C1832" s="75" t="s">
        <v>226</v>
      </c>
      <c r="D1832" s="81">
        <v>21304</v>
      </c>
      <c r="E1832" s="151">
        <v>44759</v>
      </c>
      <c r="F1832" s="81">
        <v>21304</v>
      </c>
      <c r="G1832" s="156">
        <f>Tabla18[[#This Row],[Importe]]-Tabla18[[#This Row],[Pagado]]</f>
        <v>0</v>
      </c>
      <c r="H1832" s="75" t="s">
        <v>10</v>
      </c>
    </row>
    <row r="1833" spans="1:8" x14ac:dyDescent="0.25">
      <c r="A1833" s="148">
        <v>44759</v>
      </c>
      <c r="B1833" s="149" t="s">
        <v>23163</v>
      </c>
      <c r="C1833" s="153" t="s">
        <v>35</v>
      </c>
      <c r="D1833" s="154">
        <v>617.79999999999995</v>
      </c>
      <c r="E1833" s="155">
        <v>44759</v>
      </c>
      <c r="F1833" s="154">
        <v>617.79999999999995</v>
      </c>
      <c r="G1833" s="156">
        <f>Tabla18[[#This Row],[Importe]]-Tabla18[[#This Row],[Pagado]]</f>
        <v>0</v>
      </c>
      <c r="H1833" s="153" t="s">
        <v>10</v>
      </c>
    </row>
    <row r="1834" spans="1:8" x14ac:dyDescent="0.25">
      <c r="A1834" s="73">
        <v>44759</v>
      </c>
      <c r="B1834" s="74" t="s">
        <v>23164</v>
      </c>
      <c r="C1834" s="75" t="s">
        <v>16</v>
      </c>
      <c r="D1834" s="81">
        <v>2448.5</v>
      </c>
      <c r="E1834" s="151">
        <v>44759</v>
      </c>
      <c r="F1834" s="81">
        <v>2448.5</v>
      </c>
      <c r="G1834" s="156">
        <f>Tabla18[[#This Row],[Importe]]-Tabla18[[#This Row],[Pagado]]</f>
        <v>0</v>
      </c>
      <c r="H1834" s="75" t="s">
        <v>10</v>
      </c>
    </row>
    <row r="1835" spans="1:8" x14ac:dyDescent="0.25">
      <c r="A1835" s="148">
        <v>44759</v>
      </c>
      <c r="B1835" s="149" t="s">
        <v>23165</v>
      </c>
      <c r="C1835" s="153" t="s">
        <v>214</v>
      </c>
      <c r="D1835" s="154">
        <v>1755</v>
      </c>
      <c r="E1835" s="155">
        <v>44759</v>
      </c>
      <c r="F1835" s="154">
        <v>1755</v>
      </c>
      <c r="G1835" s="156">
        <f>Tabla18[[#This Row],[Importe]]-Tabla18[[#This Row],[Pagado]]</f>
        <v>0</v>
      </c>
      <c r="H1835" s="153" t="s">
        <v>10</v>
      </c>
    </row>
    <row r="1836" spans="1:8" x14ac:dyDescent="0.25">
      <c r="A1836" s="73">
        <v>44759</v>
      </c>
      <c r="B1836" s="74" t="s">
        <v>23166</v>
      </c>
      <c r="C1836" s="75" t="s">
        <v>27</v>
      </c>
      <c r="D1836" s="81">
        <v>840</v>
      </c>
      <c r="E1836" s="151">
        <v>44759</v>
      </c>
      <c r="F1836" s="81">
        <v>840</v>
      </c>
      <c r="G1836" s="156">
        <f>Tabla18[[#This Row],[Importe]]-Tabla18[[#This Row],[Pagado]]</f>
        <v>0</v>
      </c>
      <c r="H1836" s="75" t="s">
        <v>10</v>
      </c>
    </row>
    <row r="1837" spans="1:8" x14ac:dyDescent="0.25">
      <c r="A1837" s="148">
        <v>44759</v>
      </c>
      <c r="B1837" s="149" t="s">
        <v>23167</v>
      </c>
      <c r="C1837" s="153" t="s">
        <v>67</v>
      </c>
      <c r="D1837" s="154">
        <v>1607.2</v>
      </c>
      <c r="E1837" s="155">
        <v>44759</v>
      </c>
      <c r="F1837" s="154">
        <v>1607.2</v>
      </c>
      <c r="G1837" s="156">
        <f>Tabla18[[#This Row],[Importe]]-Tabla18[[#This Row],[Pagado]]</f>
        <v>0</v>
      </c>
      <c r="H1837" s="153" t="s">
        <v>10</v>
      </c>
    </row>
    <row r="1838" spans="1:8" x14ac:dyDescent="0.25">
      <c r="A1838" s="73">
        <v>44759</v>
      </c>
      <c r="B1838" s="74" t="s">
        <v>23168</v>
      </c>
      <c r="C1838" s="75" t="s">
        <v>7745</v>
      </c>
      <c r="D1838" s="81">
        <v>24960</v>
      </c>
      <c r="E1838" s="151">
        <v>44759</v>
      </c>
      <c r="F1838" s="81">
        <v>24960</v>
      </c>
      <c r="G1838" s="156">
        <f>Tabla18[[#This Row],[Importe]]-Tabla18[[#This Row],[Pagado]]</f>
        <v>0</v>
      </c>
      <c r="H1838" s="75" t="s">
        <v>10</v>
      </c>
    </row>
    <row r="1839" spans="1:8" x14ac:dyDescent="0.25">
      <c r="A1839" s="148">
        <v>44759</v>
      </c>
      <c r="B1839" s="149" t="s">
        <v>23169</v>
      </c>
      <c r="C1839" s="153" t="s">
        <v>191</v>
      </c>
      <c r="D1839" s="154">
        <v>676.2</v>
      </c>
      <c r="E1839" s="155">
        <v>44759</v>
      </c>
      <c r="F1839" s="154">
        <v>676.2</v>
      </c>
      <c r="G1839" s="156">
        <f>Tabla18[[#This Row],[Importe]]-Tabla18[[#This Row],[Pagado]]</f>
        <v>0</v>
      </c>
      <c r="H1839" s="153" t="s">
        <v>10</v>
      </c>
    </row>
    <row r="1840" spans="1:8" x14ac:dyDescent="0.25">
      <c r="A1840" s="73">
        <v>44759</v>
      </c>
      <c r="B1840" s="74" t="s">
        <v>23170</v>
      </c>
      <c r="C1840" s="75" t="s">
        <v>296</v>
      </c>
      <c r="D1840" s="81">
        <v>1603.8</v>
      </c>
      <c r="E1840" s="151">
        <v>44759</v>
      </c>
      <c r="F1840" s="81">
        <v>1603.8</v>
      </c>
      <c r="G1840" s="156">
        <f>Tabla18[[#This Row],[Importe]]-Tabla18[[#This Row],[Pagado]]</f>
        <v>0</v>
      </c>
      <c r="H1840" s="75" t="s">
        <v>10</v>
      </c>
    </row>
    <row r="1841" spans="1:8" x14ac:dyDescent="0.25">
      <c r="A1841" s="148">
        <v>44759</v>
      </c>
      <c r="B1841" s="149" t="s">
        <v>23171</v>
      </c>
      <c r="C1841" s="153" t="s">
        <v>67</v>
      </c>
      <c r="D1841" s="154">
        <v>138</v>
      </c>
      <c r="E1841" s="155">
        <v>44760</v>
      </c>
      <c r="F1841" s="154">
        <v>138</v>
      </c>
      <c r="G1841" s="156">
        <f>Tabla18[[#This Row],[Importe]]-Tabla18[[#This Row],[Pagado]]</f>
        <v>0</v>
      </c>
      <c r="H1841" s="153" t="s">
        <v>10</v>
      </c>
    </row>
    <row r="1842" spans="1:8" x14ac:dyDescent="0.25">
      <c r="A1842" s="73">
        <v>44759</v>
      </c>
      <c r="B1842" s="74" t="s">
        <v>23172</v>
      </c>
      <c r="C1842" s="75" t="s">
        <v>12</v>
      </c>
      <c r="D1842" s="81">
        <v>127</v>
      </c>
      <c r="E1842" s="151">
        <v>44760</v>
      </c>
      <c r="F1842" s="81">
        <v>127</v>
      </c>
      <c r="G1842" s="156">
        <f>Tabla18[[#This Row],[Importe]]-Tabla18[[#This Row],[Pagado]]</f>
        <v>0</v>
      </c>
      <c r="H1842" s="75" t="s">
        <v>10</v>
      </c>
    </row>
    <row r="1843" spans="1:8" x14ac:dyDescent="0.25">
      <c r="A1843" s="148">
        <v>44760</v>
      </c>
      <c r="B1843" s="149" t="s">
        <v>23173</v>
      </c>
      <c r="C1843" s="153" t="s">
        <v>887</v>
      </c>
      <c r="D1843" s="154">
        <v>15529.8</v>
      </c>
      <c r="E1843" s="155">
        <v>44760</v>
      </c>
      <c r="F1843" s="154">
        <v>15529.8</v>
      </c>
      <c r="G1843" s="156">
        <f>Tabla18[[#This Row],[Importe]]-Tabla18[[#This Row],[Pagado]]</f>
        <v>0</v>
      </c>
      <c r="H1843" s="153" t="s">
        <v>10</v>
      </c>
    </row>
    <row r="1844" spans="1:8" x14ac:dyDescent="0.25">
      <c r="A1844" s="73">
        <v>44760</v>
      </c>
      <c r="B1844" s="74" t="s">
        <v>23174</v>
      </c>
      <c r="C1844" s="75" t="s">
        <v>475</v>
      </c>
      <c r="D1844" s="81">
        <v>118196.4</v>
      </c>
      <c r="E1844" s="151">
        <v>44762</v>
      </c>
      <c r="F1844" s="81">
        <v>118196.4</v>
      </c>
      <c r="G1844" s="156">
        <f>Tabla18[[#This Row],[Importe]]-Tabla18[[#This Row],[Pagado]]</f>
        <v>0</v>
      </c>
      <c r="H1844" s="75" t="s">
        <v>10</v>
      </c>
    </row>
    <row r="1845" spans="1:8" x14ac:dyDescent="0.25">
      <c r="A1845" s="148">
        <v>44760</v>
      </c>
      <c r="B1845" s="149" t="s">
        <v>23175</v>
      </c>
      <c r="C1845" s="153" t="s">
        <v>31</v>
      </c>
      <c r="D1845" s="154">
        <v>8307</v>
      </c>
      <c r="E1845" s="155">
        <v>44760</v>
      </c>
      <c r="F1845" s="154">
        <v>8307</v>
      </c>
      <c r="G1845" s="156">
        <f>Tabla18[[#This Row],[Importe]]-Tabla18[[#This Row],[Pagado]]</f>
        <v>0</v>
      </c>
      <c r="H1845" s="153" t="s">
        <v>10</v>
      </c>
    </row>
    <row r="1846" spans="1:8" x14ac:dyDescent="0.25">
      <c r="A1846" s="73">
        <v>44760</v>
      </c>
      <c r="B1846" s="74" t="s">
        <v>23176</v>
      </c>
      <c r="C1846" s="75" t="s">
        <v>473</v>
      </c>
      <c r="D1846" s="81">
        <v>7234.5</v>
      </c>
      <c r="E1846" s="151">
        <v>44760</v>
      </c>
      <c r="F1846" s="81">
        <v>7234.5</v>
      </c>
      <c r="G1846" s="156">
        <f>Tabla18[[#This Row],[Importe]]-Tabla18[[#This Row],[Pagado]]</f>
        <v>0</v>
      </c>
      <c r="H1846" s="75" t="s">
        <v>10</v>
      </c>
    </row>
    <row r="1847" spans="1:8" x14ac:dyDescent="0.25">
      <c r="A1847" s="148">
        <v>44760</v>
      </c>
      <c r="B1847" s="149" t="s">
        <v>23177</v>
      </c>
      <c r="C1847" s="153" t="s">
        <v>60</v>
      </c>
      <c r="D1847" s="154">
        <v>5049</v>
      </c>
      <c r="E1847" s="155">
        <v>44765</v>
      </c>
      <c r="F1847" s="154">
        <v>5049</v>
      </c>
      <c r="G1847" s="156">
        <f>Tabla18[[#This Row],[Importe]]-Tabla18[[#This Row],[Pagado]]</f>
        <v>0</v>
      </c>
      <c r="H1847" s="153" t="s">
        <v>10</v>
      </c>
    </row>
    <row r="1848" spans="1:8" x14ac:dyDescent="0.25">
      <c r="A1848" s="73">
        <v>44760</v>
      </c>
      <c r="B1848" s="74" t="s">
        <v>23178</v>
      </c>
      <c r="C1848" s="75" t="s">
        <v>111</v>
      </c>
      <c r="D1848" s="81">
        <v>5798.4</v>
      </c>
      <c r="E1848" s="151">
        <v>44762</v>
      </c>
      <c r="F1848" s="81">
        <v>5798.4</v>
      </c>
      <c r="G1848" s="156">
        <f>Tabla18[[#This Row],[Importe]]-Tabla18[[#This Row],[Pagado]]</f>
        <v>0</v>
      </c>
      <c r="H1848" s="75" t="s">
        <v>10</v>
      </c>
    </row>
    <row r="1849" spans="1:8" x14ac:dyDescent="0.25">
      <c r="A1849" s="148">
        <v>44760</v>
      </c>
      <c r="B1849" s="149" t="s">
        <v>23179</v>
      </c>
      <c r="C1849" s="153" t="s">
        <v>2563</v>
      </c>
      <c r="D1849" s="154">
        <v>5511</v>
      </c>
      <c r="E1849" s="155">
        <v>44761</v>
      </c>
      <c r="F1849" s="154">
        <v>5511</v>
      </c>
      <c r="G1849" s="156">
        <f>Tabla18[[#This Row],[Importe]]-Tabla18[[#This Row],[Pagado]]</f>
        <v>0</v>
      </c>
      <c r="H1849" s="153" t="s">
        <v>10</v>
      </c>
    </row>
    <row r="1850" spans="1:8" x14ac:dyDescent="0.25">
      <c r="A1850" s="73">
        <v>44760</v>
      </c>
      <c r="B1850" s="74" t="s">
        <v>23180</v>
      </c>
      <c r="C1850" s="75" t="s">
        <v>99</v>
      </c>
      <c r="D1850" s="81">
        <v>4038.2</v>
      </c>
      <c r="E1850" s="151">
        <v>44764</v>
      </c>
      <c r="F1850" s="81">
        <v>4038.2</v>
      </c>
      <c r="G1850" s="156">
        <f>Tabla18[[#This Row],[Importe]]-Tabla18[[#This Row],[Pagado]]</f>
        <v>0</v>
      </c>
      <c r="H1850" s="75" t="s">
        <v>10</v>
      </c>
    </row>
    <row r="1851" spans="1:8" x14ac:dyDescent="0.25">
      <c r="A1851" s="148">
        <v>44760</v>
      </c>
      <c r="B1851" s="149" t="s">
        <v>23181</v>
      </c>
      <c r="C1851" s="153" t="s">
        <v>109</v>
      </c>
      <c r="D1851" s="154">
        <v>5452.8</v>
      </c>
      <c r="E1851" s="155">
        <v>44761</v>
      </c>
      <c r="F1851" s="154">
        <v>5452.8</v>
      </c>
      <c r="G1851" s="156">
        <f>Tabla18[[#This Row],[Importe]]-Tabla18[[#This Row],[Pagado]]</f>
        <v>0</v>
      </c>
      <c r="H1851" s="153" t="s">
        <v>10</v>
      </c>
    </row>
    <row r="1852" spans="1:8" x14ac:dyDescent="0.25">
      <c r="A1852" s="73">
        <v>44760</v>
      </c>
      <c r="B1852" s="74" t="s">
        <v>23182</v>
      </c>
      <c r="C1852" s="75" t="s">
        <v>64</v>
      </c>
      <c r="D1852" s="81">
        <v>5121.6000000000004</v>
      </c>
      <c r="E1852" s="151">
        <v>44761</v>
      </c>
      <c r="F1852" s="81">
        <v>5121.6000000000004</v>
      </c>
      <c r="G1852" s="156">
        <f>Tabla18[[#This Row],[Importe]]-Tabla18[[#This Row],[Pagado]]</f>
        <v>0</v>
      </c>
      <c r="H1852" s="75" t="s">
        <v>10</v>
      </c>
    </row>
    <row r="1853" spans="1:8" x14ac:dyDescent="0.25">
      <c r="A1853" s="148">
        <v>44760</v>
      </c>
      <c r="B1853" s="149" t="s">
        <v>23183</v>
      </c>
      <c r="C1853" s="153" t="s">
        <v>348</v>
      </c>
      <c r="D1853" s="154">
        <v>3910.1</v>
      </c>
      <c r="E1853" s="155">
        <v>44760</v>
      </c>
      <c r="F1853" s="154">
        <v>3910.1</v>
      </c>
      <c r="G1853" s="156">
        <f>Tabla18[[#This Row],[Importe]]-Tabla18[[#This Row],[Pagado]]</f>
        <v>0</v>
      </c>
      <c r="H1853" s="153" t="s">
        <v>10</v>
      </c>
    </row>
    <row r="1854" spans="1:8" x14ac:dyDescent="0.25">
      <c r="A1854" s="73">
        <v>44760</v>
      </c>
      <c r="B1854" s="74" t="s">
        <v>23184</v>
      </c>
      <c r="C1854" s="75" t="s">
        <v>2151</v>
      </c>
      <c r="D1854" s="81">
        <v>23586.1</v>
      </c>
      <c r="E1854" s="151">
        <v>44760</v>
      </c>
      <c r="F1854" s="81">
        <v>23586.1</v>
      </c>
      <c r="G1854" s="156">
        <f>Tabla18[[#This Row],[Importe]]-Tabla18[[#This Row],[Pagado]]</f>
        <v>0</v>
      </c>
      <c r="H1854" s="75" t="s">
        <v>10</v>
      </c>
    </row>
    <row r="1855" spans="1:8" x14ac:dyDescent="0.25">
      <c r="A1855" s="148">
        <v>44760</v>
      </c>
      <c r="B1855" s="149" t="s">
        <v>23185</v>
      </c>
      <c r="C1855" s="153" t="s">
        <v>105</v>
      </c>
      <c r="D1855" s="154">
        <v>7431.6</v>
      </c>
      <c r="E1855" s="155">
        <v>44760</v>
      </c>
      <c r="F1855" s="154">
        <v>7431.6</v>
      </c>
      <c r="G1855" s="156">
        <f>Tabla18[[#This Row],[Importe]]-Tabla18[[#This Row],[Pagado]]</f>
        <v>0</v>
      </c>
      <c r="H1855" s="153" t="s">
        <v>10</v>
      </c>
    </row>
    <row r="1856" spans="1:8" x14ac:dyDescent="0.25">
      <c r="A1856" s="73">
        <v>44760</v>
      </c>
      <c r="B1856" s="74" t="s">
        <v>23186</v>
      </c>
      <c r="C1856" s="75" t="s">
        <v>93</v>
      </c>
      <c r="D1856" s="81">
        <v>6277.6</v>
      </c>
      <c r="E1856" s="151">
        <v>44762</v>
      </c>
      <c r="F1856" s="81">
        <v>6277.6</v>
      </c>
      <c r="G1856" s="156">
        <f>Tabla18[[#This Row],[Importe]]-Tabla18[[#This Row],[Pagado]]</f>
        <v>0</v>
      </c>
      <c r="H1856" s="75" t="s">
        <v>10</v>
      </c>
    </row>
    <row r="1857" spans="1:8" x14ac:dyDescent="0.25">
      <c r="A1857" s="148">
        <v>44760</v>
      </c>
      <c r="B1857" s="149" t="s">
        <v>23187</v>
      </c>
      <c r="C1857" s="153" t="s">
        <v>481</v>
      </c>
      <c r="D1857" s="154">
        <v>703.6</v>
      </c>
      <c r="E1857" s="155">
        <v>44760</v>
      </c>
      <c r="F1857" s="154">
        <v>703.6</v>
      </c>
      <c r="G1857" s="156">
        <f>Tabla18[[#This Row],[Importe]]-Tabla18[[#This Row],[Pagado]]</f>
        <v>0</v>
      </c>
      <c r="H1857" s="153" t="s">
        <v>10</v>
      </c>
    </row>
    <row r="1858" spans="1:8" x14ac:dyDescent="0.25">
      <c r="A1858" s="73">
        <v>44760</v>
      </c>
      <c r="B1858" s="74" t="s">
        <v>23188</v>
      </c>
      <c r="C1858" s="75" t="s">
        <v>89</v>
      </c>
      <c r="D1858" s="81">
        <v>12628.7</v>
      </c>
      <c r="E1858" s="151">
        <v>44760</v>
      </c>
      <c r="F1858" s="81">
        <v>12628.7</v>
      </c>
      <c r="G1858" s="156">
        <f>Tabla18[[#This Row],[Importe]]-Tabla18[[#This Row],[Pagado]]</f>
        <v>0</v>
      </c>
      <c r="H1858" s="75" t="s">
        <v>10</v>
      </c>
    </row>
    <row r="1859" spans="1:8" x14ac:dyDescent="0.25">
      <c r="A1859" s="148">
        <v>44760</v>
      </c>
      <c r="B1859" s="149" t="s">
        <v>23189</v>
      </c>
      <c r="C1859" s="153" t="s">
        <v>47</v>
      </c>
      <c r="D1859" s="154">
        <v>13464</v>
      </c>
      <c r="E1859" s="155">
        <v>44760</v>
      </c>
      <c r="F1859" s="154">
        <v>13464</v>
      </c>
      <c r="G1859" s="156">
        <f>Tabla18[[#This Row],[Importe]]-Tabla18[[#This Row],[Pagado]]</f>
        <v>0</v>
      </c>
      <c r="H1859" s="153" t="s">
        <v>10</v>
      </c>
    </row>
    <row r="1860" spans="1:8" x14ac:dyDescent="0.25">
      <c r="A1860" s="73">
        <v>44760</v>
      </c>
      <c r="B1860" s="74" t="s">
        <v>23190</v>
      </c>
      <c r="C1860" s="75" t="s">
        <v>83</v>
      </c>
      <c r="D1860" s="81">
        <v>11694</v>
      </c>
      <c r="E1860" s="151">
        <v>44760</v>
      </c>
      <c r="F1860" s="81">
        <v>11694</v>
      </c>
      <c r="G1860" s="156">
        <f>Tabla18[[#This Row],[Importe]]-Tabla18[[#This Row],[Pagado]]</f>
        <v>0</v>
      </c>
      <c r="H1860" s="75" t="s">
        <v>10</v>
      </c>
    </row>
    <row r="1861" spans="1:8" x14ac:dyDescent="0.25">
      <c r="A1861" s="148">
        <v>44760</v>
      </c>
      <c r="B1861" s="149" t="s">
        <v>23191</v>
      </c>
      <c r="C1861" s="153" t="s">
        <v>87</v>
      </c>
      <c r="D1861" s="154">
        <v>2657</v>
      </c>
      <c r="E1861" s="155">
        <v>44760</v>
      </c>
      <c r="F1861" s="154">
        <v>2657</v>
      </c>
      <c r="G1861" s="156">
        <f>Tabla18[[#This Row],[Importe]]-Tabla18[[#This Row],[Pagado]]</f>
        <v>0</v>
      </c>
      <c r="H1861" s="153" t="s">
        <v>10</v>
      </c>
    </row>
    <row r="1862" spans="1:8" x14ac:dyDescent="0.25">
      <c r="A1862" s="73">
        <v>44760</v>
      </c>
      <c r="B1862" s="74" t="s">
        <v>23192</v>
      </c>
      <c r="C1862" s="75" t="s">
        <v>9</v>
      </c>
      <c r="D1862" s="81">
        <v>9439.5</v>
      </c>
      <c r="E1862" s="151">
        <v>44760</v>
      </c>
      <c r="F1862" s="81">
        <v>9439.5</v>
      </c>
      <c r="G1862" s="156">
        <f>Tabla18[[#This Row],[Importe]]-Tabla18[[#This Row],[Pagado]]</f>
        <v>0</v>
      </c>
      <c r="H1862" s="75" t="s">
        <v>10</v>
      </c>
    </row>
    <row r="1863" spans="1:8" x14ac:dyDescent="0.25">
      <c r="A1863" s="148">
        <v>44760</v>
      </c>
      <c r="B1863" s="149" t="s">
        <v>23193</v>
      </c>
      <c r="C1863" s="153" t="s">
        <v>1187</v>
      </c>
      <c r="D1863" s="154">
        <v>2720.2</v>
      </c>
      <c r="E1863" s="155">
        <v>44760</v>
      </c>
      <c r="F1863" s="154">
        <v>2720.2</v>
      </c>
      <c r="G1863" s="156">
        <f>Tabla18[[#This Row],[Importe]]-Tabla18[[#This Row],[Pagado]]</f>
        <v>0</v>
      </c>
      <c r="H1863" s="153" t="s">
        <v>10</v>
      </c>
    </row>
    <row r="1864" spans="1:8" x14ac:dyDescent="0.25">
      <c r="A1864" s="73">
        <v>44760</v>
      </c>
      <c r="B1864" s="74" t="s">
        <v>23194</v>
      </c>
      <c r="C1864" s="75" t="s">
        <v>924</v>
      </c>
      <c r="D1864" s="81">
        <v>18584.7</v>
      </c>
      <c r="E1864" s="151">
        <v>44760</v>
      </c>
      <c r="F1864" s="81">
        <v>18584.7</v>
      </c>
      <c r="G1864" s="156">
        <f>Tabla18[[#This Row],[Importe]]-Tabla18[[#This Row],[Pagado]]</f>
        <v>0</v>
      </c>
      <c r="H1864" s="75" t="s">
        <v>10</v>
      </c>
    </row>
    <row r="1865" spans="1:8" x14ac:dyDescent="0.25">
      <c r="A1865" s="148">
        <v>44760</v>
      </c>
      <c r="B1865" s="149" t="s">
        <v>23195</v>
      </c>
      <c r="C1865" s="153" t="s">
        <v>9415</v>
      </c>
      <c r="D1865" s="154">
        <v>10044</v>
      </c>
      <c r="E1865" s="155">
        <v>44762</v>
      </c>
      <c r="F1865" s="154">
        <v>10044</v>
      </c>
      <c r="G1865" s="156">
        <f>Tabla18[[#This Row],[Importe]]-Tabla18[[#This Row],[Pagado]]</f>
        <v>0</v>
      </c>
      <c r="H1865" s="153" t="s">
        <v>10</v>
      </c>
    </row>
    <row r="1866" spans="1:8" x14ac:dyDescent="0.25">
      <c r="A1866" s="73">
        <v>44760</v>
      </c>
      <c r="B1866" s="74" t="s">
        <v>23196</v>
      </c>
      <c r="C1866" s="75" t="s">
        <v>196</v>
      </c>
      <c r="D1866" s="81">
        <v>78240.2</v>
      </c>
      <c r="E1866" s="151">
        <v>44765</v>
      </c>
      <c r="F1866" s="81">
        <v>78240.2</v>
      </c>
      <c r="G1866" s="156">
        <f>Tabla18[[#This Row],[Importe]]-Tabla18[[#This Row],[Pagado]]</f>
        <v>0</v>
      </c>
      <c r="H1866" s="75" t="s">
        <v>10</v>
      </c>
    </row>
    <row r="1867" spans="1:8" ht="31.5" x14ac:dyDescent="0.25">
      <c r="A1867" s="148">
        <v>44760</v>
      </c>
      <c r="B1867" s="149" t="s">
        <v>23197</v>
      </c>
      <c r="C1867" s="153" t="s">
        <v>275</v>
      </c>
      <c r="D1867" s="154">
        <v>193215.65</v>
      </c>
      <c r="E1867" s="150" t="s">
        <v>24620</v>
      </c>
      <c r="F1867" s="154">
        <f>151665.35+41550.3</f>
        <v>193215.65000000002</v>
      </c>
      <c r="G1867" s="156">
        <f>Tabla18[[#This Row],[Importe]]-Tabla18[[#This Row],[Pagado]]</f>
        <v>0</v>
      </c>
      <c r="H1867" s="153" t="s">
        <v>10</v>
      </c>
    </row>
    <row r="1868" spans="1:8" x14ac:dyDescent="0.25">
      <c r="A1868" s="73">
        <v>44760</v>
      </c>
      <c r="B1868" s="74" t="s">
        <v>23198</v>
      </c>
      <c r="C1868" s="75" t="s">
        <v>24</v>
      </c>
      <c r="D1868" s="81">
        <v>731.6</v>
      </c>
      <c r="E1868" s="151">
        <v>44760</v>
      </c>
      <c r="F1868" s="81">
        <v>731.6</v>
      </c>
      <c r="G1868" s="156">
        <f>Tabla18[[#This Row],[Importe]]-Tabla18[[#This Row],[Pagado]]</f>
        <v>0</v>
      </c>
      <c r="H1868" s="75" t="s">
        <v>10</v>
      </c>
    </row>
    <row r="1869" spans="1:8" ht="31.5" x14ac:dyDescent="0.25">
      <c r="A1869" s="148">
        <v>44760</v>
      </c>
      <c r="B1869" s="149" t="s">
        <v>23199</v>
      </c>
      <c r="C1869" s="153" t="s">
        <v>22</v>
      </c>
      <c r="D1869" s="154">
        <v>43645.2</v>
      </c>
      <c r="E1869" s="150" t="s">
        <v>23200</v>
      </c>
      <c r="F1869" s="154">
        <f>34000+9645.2</f>
        <v>43645.2</v>
      </c>
      <c r="G1869" s="156">
        <f>Tabla18[[#This Row],[Importe]]-Tabla18[[#This Row],[Pagado]]</f>
        <v>0</v>
      </c>
      <c r="H1869" s="153" t="s">
        <v>10</v>
      </c>
    </row>
    <row r="1870" spans="1:8" x14ac:dyDescent="0.25">
      <c r="A1870" s="73">
        <v>44760</v>
      </c>
      <c r="B1870" s="74" t="s">
        <v>23201</v>
      </c>
      <c r="C1870" s="75" t="s">
        <v>11033</v>
      </c>
      <c r="D1870" s="81">
        <v>1892.4</v>
      </c>
      <c r="E1870" s="151">
        <v>44760</v>
      </c>
      <c r="F1870" s="81">
        <v>1892.4</v>
      </c>
      <c r="G1870" s="156">
        <f>Tabla18[[#This Row],[Importe]]-Tabla18[[#This Row],[Pagado]]</f>
        <v>0</v>
      </c>
      <c r="H1870" s="75" t="s">
        <v>10</v>
      </c>
    </row>
    <row r="1871" spans="1:8" x14ac:dyDescent="0.25">
      <c r="A1871" s="148">
        <v>44760</v>
      </c>
      <c r="B1871" s="149" t="s">
        <v>23202</v>
      </c>
      <c r="C1871" s="153" t="s">
        <v>16</v>
      </c>
      <c r="D1871" s="154">
        <v>6483.6</v>
      </c>
      <c r="E1871" s="155">
        <v>44760</v>
      </c>
      <c r="F1871" s="154">
        <v>6483.6</v>
      </c>
      <c r="G1871" s="156">
        <f>Tabla18[[#This Row],[Importe]]-Tabla18[[#This Row],[Pagado]]</f>
        <v>0</v>
      </c>
      <c r="H1871" s="153" t="s">
        <v>10</v>
      </c>
    </row>
    <row r="1872" spans="1:8" x14ac:dyDescent="0.25">
      <c r="A1872" s="73">
        <v>44760</v>
      </c>
      <c r="B1872" s="74" t="s">
        <v>23203</v>
      </c>
      <c r="C1872" s="75" t="s">
        <v>45</v>
      </c>
      <c r="D1872" s="81">
        <v>12934.3</v>
      </c>
      <c r="E1872" s="151">
        <v>44760</v>
      </c>
      <c r="F1872" s="81">
        <v>12934.3</v>
      </c>
      <c r="G1872" s="156">
        <f>Tabla18[[#This Row],[Importe]]-Tabla18[[#This Row],[Pagado]]</f>
        <v>0</v>
      </c>
      <c r="H1872" s="75" t="s">
        <v>10</v>
      </c>
    </row>
    <row r="1873" spans="1:8" x14ac:dyDescent="0.25">
      <c r="A1873" s="148">
        <v>44760</v>
      </c>
      <c r="B1873" s="149" t="s">
        <v>23204</v>
      </c>
      <c r="C1873" s="153" t="s">
        <v>142</v>
      </c>
      <c r="D1873" s="154">
        <v>97808.75</v>
      </c>
      <c r="E1873" s="155">
        <v>44799</v>
      </c>
      <c r="F1873" s="154">
        <v>97808.75</v>
      </c>
      <c r="G1873" s="156">
        <f>Tabla18[[#This Row],[Importe]]-Tabla18[[#This Row],[Pagado]]</f>
        <v>0</v>
      </c>
      <c r="H1873" s="153" t="s">
        <v>10</v>
      </c>
    </row>
    <row r="1874" spans="1:8" x14ac:dyDescent="0.25">
      <c r="A1874" s="73">
        <v>44760</v>
      </c>
      <c r="B1874" s="74" t="s">
        <v>23205</v>
      </c>
      <c r="C1874" s="75" t="s">
        <v>23206</v>
      </c>
      <c r="D1874" s="81">
        <v>16723.2</v>
      </c>
      <c r="E1874" s="151">
        <v>44760</v>
      </c>
      <c r="F1874" s="81">
        <v>16723.2</v>
      </c>
      <c r="G1874" s="156">
        <f>Tabla18[[#This Row],[Importe]]-Tabla18[[#This Row],[Pagado]]</f>
        <v>0</v>
      </c>
      <c r="H1874" s="75" t="s">
        <v>10</v>
      </c>
    </row>
    <row r="1875" spans="1:8" x14ac:dyDescent="0.25">
      <c r="A1875" s="148">
        <v>44760</v>
      </c>
      <c r="B1875" s="149" t="s">
        <v>23207</v>
      </c>
      <c r="C1875" s="153" t="s">
        <v>49</v>
      </c>
      <c r="D1875" s="154">
        <v>4997.2</v>
      </c>
      <c r="E1875" s="155">
        <v>44760</v>
      </c>
      <c r="F1875" s="154">
        <v>4997.2</v>
      </c>
      <c r="G1875" s="156">
        <f>Tabla18[[#This Row],[Importe]]-Tabla18[[#This Row],[Pagado]]</f>
        <v>0</v>
      </c>
      <c r="H1875" s="153" t="s">
        <v>10</v>
      </c>
    </row>
    <row r="1876" spans="1:8" x14ac:dyDescent="0.25">
      <c r="A1876" s="73">
        <v>44760</v>
      </c>
      <c r="B1876" s="74" t="s">
        <v>23208</v>
      </c>
      <c r="C1876" s="75" t="s">
        <v>137</v>
      </c>
      <c r="D1876" s="81">
        <v>4481.6000000000004</v>
      </c>
      <c r="E1876" s="151">
        <v>44760</v>
      </c>
      <c r="F1876" s="81">
        <v>4481.6000000000004</v>
      </c>
      <c r="G1876" s="156">
        <f>Tabla18[[#This Row],[Importe]]-Tabla18[[#This Row],[Pagado]]</f>
        <v>0</v>
      </c>
      <c r="H1876" s="75" t="s">
        <v>10</v>
      </c>
    </row>
    <row r="1877" spans="1:8" x14ac:dyDescent="0.25">
      <c r="A1877" s="148">
        <v>44760</v>
      </c>
      <c r="B1877" s="149" t="s">
        <v>23209</v>
      </c>
      <c r="C1877" s="153" t="s">
        <v>107</v>
      </c>
      <c r="D1877" s="154">
        <v>16794.5</v>
      </c>
      <c r="E1877" s="155">
        <v>44760</v>
      </c>
      <c r="F1877" s="154">
        <v>16794.5</v>
      </c>
      <c r="G1877" s="156">
        <f>Tabla18[[#This Row],[Importe]]-Tabla18[[#This Row],[Pagado]]</f>
        <v>0</v>
      </c>
      <c r="H1877" s="153" t="s">
        <v>10</v>
      </c>
    </row>
    <row r="1878" spans="1:8" x14ac:dyDescent="0.25">
      <c r="A1878" s="73">
        <v>44760</v>
      </c>
      <c r="B1878" s="74" t="s">
        <v>23210</v>
      </c>
      <c r="C1878" s="75" t="s">
        <v>27</v>
      </c>
      <c r="D1878" s="81">
        <v>5143.3999999999996</v>
      </c>
      <c r="E1878" s="151">
        <v>44760</v>
      </c>
      <c r="F1878" s="81">
        <v>5143.3999999999996</v>
      </c>
      <c r="G1878" s="156">
        <f>Tabla18[[#This Row],[Importe]]-Tabla18[[#This Row],[Pagado]]</f>
        <v>0</v>
      </c>
      <c r="H1878" s="75" t="s">
        <v>10</v>
      </c>
    </row>
    <row r="1879" spans="1:8" x14ac:dyDescent="0.25">
      <c r="A1879" s="148">
        <v>44760</v>
      </c>
      <c r="B1879" s="149" t="s">
        <v>23211</v>
      </c>
      <c r="C1879" s="153" t="s">
        <v>56</v>
      </c>
      <c r="D1879" s="154">
        <v>6777.6</v>
      </c>
      <c r="E1879" s="155">
        <v>44760</v>
      </c>
      <c r="F1879" s="154">
        <v>6777.6</v>
      </c>
      <c r="G1879" s="156">
        <f>Tabla18[[#This Row],[Importe]]-Tabla18[[#This Row],[Pagado]]</f>
        <v>0</v>
      </c>
      <c r="H1879" s="153" t="s">
        <v>10</v>
      </c>
    </row>
    <row r="1880" spans="1:8" x14ac:dyDescent="0.25">
      <c r="A1880" s="73">
        <v>44760</v>
      </c>
      <c r="B1880" s="74" t="s">
        <v>23212</v>
      </c>
      <c r="C1880" s="75" t="s">
        <v>357</v>
      </c>
      <c r="D1880" s="81">
        <v>1780.6</v>
      </c>
      <c r="E1880" s="151">
        <v>44760</v>
      </c>
      <c r="F1880" s="81">
        <v>1780.6</v>
      </c>
      <c r="G1880" s="156">
        <f>Tabla18[[#This Row],[Importe]]-Tabla18[[#This Row],[Pagado]]</f>
        <v>0</v>
      </c>
      <c r="H1880" s="75" t="s">
        <v>10</v>
      </c>
    </row>
    <row r="1881" spans="1:8" x14ac:dyDescent="0.25">
      <c r="A1881" s="148">
        <v>44760</v>
      </c>
      <c r="B1881" s="149" t="s">
        <v>23213</v>
      </c>
      <c r="C1881" s="153" t="s">
        <v>56</v>
      </c>
      <c r="D1881" s="154">
        <v>263.5</v>
      </c>
      <c r="E1881" s="155">
        <v>44760</v>
      </c>
      <c r="F1881" s="154">
        <v>263.5</v>
      </c>
      <c r="G1881" s="156">
        <f>Tabla18[[#This Row],[Importe]]-Tabla18[[#This Row],[Pagado]]</f>
        <v>0</v>
      </c>
      <c r="H1881" s="153" t="s">
        <v>10</v>
      </c>
    </row>
    <row r="1882" spans="1:8" x14ac:dyDescent="0.25">
      <c r="A1882" s="73">
        <v>44760</v>
      </c>
      <c r="B1882" s="74" t="s">
        <v>23214</v>
      </c>
      <c r="C1882" s="75" t="s">
        <v>129</v>
      </c>
      <c r="D1882" s="81">
        <v>1913.8</v>
      </c>
      <c r="E1882" s="151">
        <v>44760</v>
      </c>
      <c r="F1882" s="81">
        <v>1913.8</v>
      </c>
      <c r="G1882" s="156">
        <f>Tabla18[[#This Row],[Importe]]-Tabla18[[#This Row],[Pagado]]</f>
        <v>0</v>
      </c>
      <c r="H1882" s="75" t="s">
        <v>10</v>
      </c>
    </row>
    <row r="1883" spans="1:8" x14ac:dyDescent="0.25">
      <c r="A1883" s="148">
        <v>44760</v>
      </c>
      <c r="B1883" s="149" t="s">
        <v>23215</v>
      </c>
      <c r="C1883" s="153" t="s">
        <v>127</v>
      </c>
      <c r="D1883" s="154">
        <v>6784.4</v>
      </c>
      <c r="E1883" s="155">
        <v>44760</v>
      </c>
      <c r="F1883" s="154">
        <v>6784.4</v>
      </c>
      <c r="G1883" s="156">
        <f>Tabla18[[#This Row],[Importe]]-Tabla18[[#This Row],[Pagado]]</f>
        <v>0</v>
      </c>
      <c r="H1883" s="153" t="s">
        <v>10</v>
      </c>
    </row>
    <row r="1884" spans="1:8" x14ac:dyDescent="0.25">
      <c r="A1884" s="73">
        <v>44760</v>
      </c>
      <c r="B1884" s="74" t="s">
        <v>23216</v>
      </c>
      <c r="C1884" s="75" t="s">
        <v>222</v>
      </c>
      <c r="D1884" s="81">
        <v>12565.6</v>
      </c>
      <c r="E1884" s="151">
        <v>44760</v>
      </c>
      <c r="F1884" s="81">
        <v>12565.6</v>
      </c>
      <c r="G1884" s="156">
        <f>Tabla18[[#This Row],[Importe]]-Tabla18[[#This Row],[Pagado]]</f>
        <v>0</v>
      </c>
      <c r="H1884" s="75" t="s">
        <v>10</v>
      </c>
    </row>
    <row r="1885" spans="1:8" x14ac:dyDescent="0.25">
      <c r="A1885" s="148">
        <v>44760</v>
      </c>
      <c r="B1885" s="149" t="s">
        <v>23217</v>
      </c>
      <c r="C1885" s="153" t="s">
        <v>140</v>
      </c>
      <c r="D1885" s="154">
        <v>5242.5</v>
      </c>
      <c r="E1885" s="155">
        <v>44760</v>
      </c>
      <c r="F1885" s="154">
        <v>5242.5</v>
      </c>
      <c r="G1885" s="156">
        <f>Tabla18[[#This Row],[Importe]]-Tabla18[[#This Row],[Pagado]]</f>
        <v>0</v>
      </c>
      <c r="H1885" s="153" t="s">
        <v>10</v>
      </c>
    </row>
    <row r="1886" spans="1:8" x14ac:dyDescent="0.25">
      <c r="A1886" s="73">
        <v>44760</v>
      </c>
      <c r="B1886" s="74" t="s">
        <v>23218</v>
      </c>
      <c r="C1886" s="75" t="s">
        <v>146</v>
      </c>
      <c r="D1886" s="81">
        <v>3502.8</v>
      </c>
      <c r="E1886" s="151">
        <v>44760</v>
      </c>
      <c r="F1886" s="81">
        <v>3502.8</v>
      </c>
      <c r="G1886" s="156">
        <f>Tabla18[[#This Row],[Importe]]-Tabla18[[#This Row],[Pagado]]</f>
        <v>0</v>
      </c>
      <c r="H1886" s="75" t="s">
        <v>10</v>
      </c>
    </row>
    <row r="1887" spans="1:8" x14ac:dyDescent="0.25">
      <c r="A1887" s="148">
        <v>44760</v>
      </c>
      <c r="B1887" s="149" t="s">
        <v>23219</v>
      </c>
      <c r="C1887" s="153" t="s">
        <v>1362</v>
      </c>
      <c r="D1887" s="154">
        <v>5082</v>
      </c>
      <c r="E1887" s="155">
        <v>44760</v>
      </c>
      <c r="F1887" s="154">
        <v>5082</v>
      </c>
      <c r="G1887" s="156">
        <f>Tabla18[[#This Row],[Importe]]-Tabla18[[#This Row],[Pagado]]</f>
        <v>0</v>
      </c>
      <c r="H1887" s="153" t="s">
        <v>10</v>
      </c>
    </row>
    <row r="1888" spans="1:8" x14ac:dyDescent="0.25">
      <c r="A1888" s="73">
        <v>44760</v>
      </c>
      <c r="B1888" s="74" t="s">
        <v>23220</v>
      </c>
      <c r="C1888" s="75" t="s">
        <v>144</v>
      </c>
      <c r="D1888" s="81">
        <v>3000</v>
      </c>
      <c r="E1888" s="151">
        <v>44760</v>
      </c>
      <c r="F1888" s="81">
        <v>3000</v>
      </c>
      <c r="G1888" s="156">
        <f>Tabla18[[#This Row],[Importe]]-Tabla18[[#This Row],[Pagado]]</f>
        <v>0</v>
      </c>
      <c r="H1888" s="75" t="s">
        <v>10</v>
      </c>
    </row>
    <row r="1889" spans="1:8" x14ac:dyDescent="0.25">
      <c r="A1889" s="148">
        <v>44760</v>
      </c>
      <c r="B1889" s="149" t="s">
        <v>23221</v>
      </c>
      <c r="C1889" s="153" t="s">
        <v>62</v>
      </c>
      <c r="D1889" s="154">
        <v>4188.6000000000004</v>
      </c>
      <c r="E1889" s="155">
        <v>44760</v>
      </c>
      <c r="F1889" s="154">
        <v>4188.6000000000004</v>
      </c>
      <c r="G1889" s="156">
        <f>Tabla18[[#This Row],[Importe]]-Tabla18[[#This Row],[Pagado]]</f>
        <v>0</v>
      </c>
      <c r="H1889" s="153" t="s">
        <v>10</v>
      </c>
    </row>
    <row r="1890" spans="1:8" x14ac:dyDescent="0.25">
      <c r="A1890" s="73">
        <v>44760</v>
      </c>
      <c r="B1890" s="74" t="s">
        <v>23222</v>
      </c>
      <c r="C1890" s="75" t="s">
        <v>53</v>
      </c>
      <c r="D1890" s="81">
        <v>1498.5</v>
      </c>
      <c r="E1890" s="151">
        <v>44760</v>
      </c>
      <c r="F1890" s="81">
        <v>1498.5</v>
      </c>
      <c r="G1890" s="156">
        <f>Tabla18[[#This Row],[Importe]]-Tabla18[[#This Row],[Pagado]]</f>
        <v>0</v>
      </c>
      <c r="H1890" s="75" t="s">
        <v>10</v>
      </c>
    </row>
    <row r="1891" spans="1:8" x14ac:dyDescent="0.25">
      <c r="A1891" s="148">
        <v>44760</v>
      </c>
      <c r="B1891" s="149" t="s">
        <v>23223</v>
      </c>
      <c r="C1891" s="153" t="s">
        <v>289</v>
      </c>
      <c r="D1891" s="154">
        <v>15703.8</v>
      </c>
      <c r="E1891" s="155">
        <v>44760</v>
      </c>
      <c r="F1891" s="154">
        <v>15703.8</v>
      </c>
      <c r="G1891" s="156">
        <f>Tabla18[[#This Row],[Importe]]-Tabla18[[#This Row],[Pagado]]</f>
        <v>0</v>
      </c>
      <c r="H1891" s="153" t="s">
        <v>10</v>
      </c>
    </row>
    <row r="1892" spans="1:8" x14ac:dyDescent="0.25">
      <c r="A1892" s="73">
        <v>44760</v>
      </c>
      <c r="B1892" s="74" t="s">
        <v>23224</v>
      </c>
      <c r="C1892" s="75" t="s">
        <v>333</v>
      </c>
      <c r="D1892" s="81">
        <v>1279.8</v>
      </c>
      <c r="E1892" s="151">
        <v>44760</v>
      </c>
      <c r="F1892" s="81">
        <v>1279.8</v>
      </c>
      <c r="G1892" s="156">
        <f>Tabla18[[#This Row],[Importe]]-Tabla18[[#This Row],[Pagado]]</f>
        <v>0</v>
      </c>
      <c r="H1892" s="75" t="s">
        <v>10</v>
      </c>
    </row>
    <row r="1893" spans="1:8" x14ac:dyDescent="0.25">
      <c r="A1893" s="148">
        <v>44760</v>
      </c>
      <c r="B1893" s="149" t="s">
        <v>23225</v>
      </c>
      <c r="C1893" s="153" t="s">
        <v>312</v>
      </c>
      <c r="D1893" s="154">
        <v>6485.8</v>
      </c>
      <c r="E1893" s="155">
        <v>44760</v>
      </c>
      <c r="F1893" s="154">
        <v>6485.8</v>
      </c>
      <c r="G1893" s="156">
        <f>Tabla18[[#This Row],[Importe]]-Tabla18[[#This Row],[Pagado]]</f>
        <v>0</v>
      </c>
      <c r="H1893" s="153" t="s">
        <v>10</v>
      </c>
    </row>
    <row r="1894" spans="1:8" x14ac:dyDescent="0.25">
      <c r="A1894" s="73">
        <v>44760</v>
      </c>
      <c r="B1894" s="74" t="s">
        <v>23226</v>
      </c>
      <c r="C1894" s="75" t="s">
        <v>179</v>
      </c>
      <c r="D1894" s="81">
        <v>1583.4</v>
      </c>
      <c r="E1894" s="151">
        <v>44760</v>
      </c>
      <c r="F1894" s="81">
        <v>1583.4</v>
      </c>
      <c r="G1894" s="156">
        <f>Tabla18[[#This Row],[Importe]]-Tabla18[[#This Row],[Pagado]]</f>
        <v>0</v>
      </c>
      <c r="H1894" s="75" t="s">
        <v>10</v>
      </c>
    </row>
    <row r="1895" spans="1:8" x14ac:dyDescent="0.25">
      <c r="A1895" s="148">
        <v>44760</v>
      </c>
      <c r="B1895" s="149" t="s">
        <v>23227</v>
      </c>
      <c r="C1895" s="153" t="s">
        <v>1362</v>
      </c>
      <c r="D1895" s="154">
        <v>1152</v>
      </c>
      <c r="E1895" s="155">
        <v>44760</v>
      </c>
      <c r="F1895" s="154">
        <v>1152</v>
      </c>
      <c r="G1895" s="156">
        <f>Tabla18[[#This Row],[Importe]]-Tabla18[[#This Row],[Pagado]]</f>
        <v>0</v>
      </c>
      <c r="H1895" s="153" t="s">
        <v>10</v>
      </c>
    </row>
    <row r="1896" spans="1:8" x14ac:dyDescent="0.25">
      <c r="A1896" s="73">
        <v>44760</v>
      </c>
      <c r="B1896" s="74" t="s">
        <v>23228</v>
      </c>
      <c r="C1896" s="75" t="s">
        <v>1378</v>
      </c>
      <c r="D1896" s="81">
        <v>81191.8</v>
      </c>
      <c r="E1896" s="151">
        <v>44761</v>
      </c>
      <c r="F1896" s="81">
        <v>81191.8</v>
      </c>
      <c r="G1896" s="156">
        <f>Tabla18[[#This Row],[Importe]]-Tabla18[[#This Row],[Pagado]]</f>
        <v>0</v>
      </c>
      <c r="H1896" s="75" t="s">
        <v>10</v>
      </c>
    </row>
    <row r="1897" spans="1:8" x14ac:dyDescent="0.25">
      <c r="A1897" s="148">
        <v>44760</v>
      </c>
      <c r="B1897" s="149" t="s">
        <v>23229</v>
      </c>
      <c r="C1897" s="153" t="s">
        <v>91</v>
      </c>
      <c r="D1897" s="154">
        <v>5460</v>
      </c>
      <c r="E1897" s="155">
        <v>44762</v>
      </c>
      <c r="F1897" s="154">
        <v>5460</v>
      </c>
      <c r="G1897" s="156">
        <f>Tabla18[[#This Row],[Importe]]-Tabla18[[#This Row],[Pagado]]</f>
        <v>0</v>
      </c>
      <c r="H1897" s="153" t="s">
        <v>10</v>
      </c>
    </row>
    <row r="1898" spans="1:8" x14ac:dyDescent="0.25">
      <c r="A1898" s="73">
        <v>44760</v>
      </c>
      <c r="B1898" s="74" t="s">
        <v>23230</v>
      </c>
      <c r="C1898" s="75" t="s">
        <v>37</v>
      </c>
      <c r="D1898" s="81">
        <v>2397.6</v>
      </c>
      <c r="E1898" s="151">
        <v>44760</v>
      </c>
      <c r="F1898" s="81">
        <v>2397.6</v>
      </c>
      <c r="G1898" s="156">
        <f>Tabla18[[#This Row],[Importe]]-Tabla18[[#This Row],[Pagado]]</f>
        <v>0</v>
      </c>
      <c r="H1898" s="75" t="s">
        <v>10</v>
      </c>
    </row>
    <row r="1899" spans="1:8" x14ac:dyDescent="0.25">
      <c r="A1899" s="148">
        <v>44760</v>
      </c>
      <c r="B1899" s="149" t="s">
        <v>23231</v>
      </c>
      <c r="C1899" s="153" t="s">
        <v>528</v>
      </c>
      <c r="D1899" s="154">
        <v>48096</v>
      </c>
      <c r="E1899" s="155">
        <v>44761</v>
      </c>
      <c r="F1899" s="154">
        <v>48096</v>
      </c>
      <c r="G1899" s="156">
        <f>Tabla18[[#This Row],[Importe]]-Tabla18[[#This Row],[Pagado]]</f>
        <v>0</v>
      </c>
      <c r="H1899" s="153" t="s">
        <v>10</v>
      </c>
    </row>
    <row r="1900" spans="1:8" x14ac:dyDescent="0.25">
      <c r="A1900" s="73">
        <v>44760</v>
      </c>
      <c r="B1900" s="74" t="s">
        <v>23232</v>
      </c>
      <c r="C1900" s="75" t="s">
        <v>240</v>
      </c>
      <c r="D1900" s="81">
        <v>13088</v>
      </c>
      <c r="E1900" s="151">
        <v>44760</v>
      </c>
      <c r="F1900" s="81">
        <v>13088</v>
      </c>
      <c r="G1900" s="156">
        <f>Tabla18[[#This Row],[Importe]]-Tabla18[[#This Row],[Pagado]]</f>
        <v>0</v>
      </c>
      <c r="H1900" s="75" t="s">
        <v>10</v>
      </c>
    </row>
    <row r="1901" spans="1:8" x14ac:dyDescent="0.25">
      <c r="A1901" s="148">
        <v>44760</v>
      </c>
      <c r="B1901" s="149" t="s">
        <v>23233</v>
      </c>
      <c r="C1901" s="153" t="s">
        <v>214</v>
      </c>
      <c r="D1901" s="154">
        <v>7200</v>
      </c>
      <c r="E1901" s="155">
        <v>44760</v>
      </c>
      <c r="F1901" s="154">
        <v>7200</v>
      </c>
      <c r="G1901" s="156">
        <f>Tabla18[[#This Row],[Importe]]-Tabla18[[#This Row],[Pagado]]</f>
        <v>0</v>
      </c>
      <c r="H1901" s="153" t="s">
        <v>10</v>
      </c>
    </row>
    <row r="1902" spans="1:8" x14ac:dyDescent="0.25">
      <c r="A1902" s="73">
        <v>44760</v>
      </c>
      <c r="B1902" s="74" t="s">
        <v>23234</v>
      </c>
      <c r="C1902" s="75" t="s">
        <v>133</v>
      </c>
      <c r="D1902" s="81">
        <v>11952</v>
      </c>
      <c r="E1902" s="151">
        <v>44761</v>
      </c>
      <c r="F1902" s="81">
        <v>11952</v>
      </c>
      <c r="G1902" s="156">
        <f>Tabla18[[#This Row],[Importe]]-Tabla18[[#This Row],[Pagado]]</f>
        <v>0</v>
      </c>
      <c r="H1902" s="75" t="s">
        <v>10</v>
      </c>
    </row>
    <row r="1903" spans="1:8" x14ac:dyDescent="0.25">
      <c r="A1903" s="148">
        <v>44760</v>
      </c>
      <c r="B1903" s="149" t="s">
        <v>23235</v>
      </c>
      <c r="C1903" s="153" t="s">
        <v>214</v>
      </c>
      <c r="D1903" s="154">
        <v>1731.6</v>
      </c>
      <c r="E1903" s="155">
        <v>44760</v>
      </c>
      <c r="F1903" s="154">
        <v>1731.6</v>
      </c>
      <c r="G1903" s="156">
        <f>Tabla18[[#This Row],[Importe]]-Tabla18[[#This Row],[Pagado]]</f>
        <v>0</v>
      </c>
      <c r="H1903" s="153" t="s">
        <v>10</v>
      </c>
    </row>
    <row r="1904" spans="1:8" x14ac:dyDescent="0.25">
      <c r="A1904" s="73">
        <v>44760</v>
      </c>
      <c r="B1904" s="74" t="s">
        <v>23236</v>
      </c>
      <c r="C1904" s="75" t="s">
        <v>173</v>
      </c>
      <c r="D1904" s="81">
        <v>23700.799999999999</v>
      </c>
      <c r="E1904" s="151">
        <v>44761</v>
      </c>
      <c r="F1904" s="81">
        <v>23700.799999999999</v>
      </c>
      <c r="G1904" s="156">
        <f>Tabla18[[#This Row],[Importe]]-Tabla18[[#This Row],[Pagado]]</f>
        <v>0</v>
      </c>
      <c r="H1904" s="75" t="s">
        <v>10</v>
      </c>
    </row>
    <row r="1905" spans="1:8" x14ac:dyDescent="0.25">
      <c r="A1905" s="148">
        <v>44760</v>
      </c>
      <c r="B1905" s="149" t="s">
        <v>23237</v>
      </c>
      <c r="C1905" s="153" t="s">
        <v>5816</v>
      </c>
      <c r="D1905" s="154">
        <v>4155.3</v>
      </c>
      <c r="E1905" s="155">
        <v>44761</v>
      </c>
      <c r="F1905" s="154">
        <v>4155.3</v>
      </c>
      <c r="G1905" s="156">
        <f>Tabla18[[#This Row],[Importe]]-Tabla18[[#This Row],[Pagado]]</f>
        <v>0</v>
      </c>
      <c r="H1905" s="153" t="s">
        <v>10</v>
      </c>
    </row>
    <row r="1906" spans="1:8" x14ac:dyDescent="0.25">
      <c r="A1906" s="73">
        <v>44760</v>
      </c>
      <c r="B1906" s="74" t="s">
        <v>23238</v>
      </c>
      <c r="C1906" s="75" t="s">
        <v>216</v>
      </c>
      <c r="D1906" s="81">
        <v>2386.8000000000002</v>
      </c>
      <c r="E1906" s="151">
        <v>44760</v>
      </c>
      <c r="F1906" s="81">
        <v>2386.8000000000002</v>
      </c>
      <c r="G1906" s="156">
        <f>Tabla18[[#This Row],[Importe]]-Tabla18[[#This Row],[Pagado]]</f>
        <v>0</v>
      </c>
      <c r="H1906" s="75" t="s">
        <v>10</v>
      </c>
    </row>
    <row r="1907" spans="1:8" x14ac:dyDescent="0.25">
      <c r="A1907" s="148">
        <v>44760</v>
      </c>
      <c r="B1907" s="149" t="s">
        <v>23239</v>
      </c>
      <c r="C1907" s="153" t="s">
        <v>191</v>
      </c>
      <c r="D1907" s="154">
        <v>1684.9</v>
      </c>
      <c r="E1907" s="155">
        <v>44760</v>
      </c>
      <c r="F1907" s="154">
        <v>1684.9</v>
      </c>
      <c r="G1907" s="156">
        <f>Tabla18[[#This Row],[Importe]]-Tabla18[[#This Row],[Pagado]]</f>
        <v>0</v>
      </c>
      <c r="H1907" s="153" t="s">
        <v>10</v>
      </c>
    </row>
    <row r="1908" spans="1:8" x14ac:dyDescent="0.25">
      <c r="A1908" s="73">
        <v>44760</v>
      </c>
      <c r="B1908" s="74" t="s">
        <v>23240</v>
      </c>
      <c r="C1908" s="75" t="s">
        <v>1003</v>
      </c>
      <c r="D1908" s="81">
        <v>2828.2</v>
      </c>
      <c r="E1908" s="151">
        <v>44760</v>
      </c>
      <c r="F1908" s="81">
        <v>2828.2</v>
      </c>
      <c r="G1908" s="156">
        <f>Tabla18[[#This Row],[Importe]]-Tabla18[[#This Row],[Pagado]]</f>
        <v>0</v>
      </c>
      <c r="H1908" s="75" t="s">
        <v>10</v>
      </c>
    </row>
    <row r="1909" spans="1:8" x14ac:dyDescent="0.25">
      <c r="A1909" s="148">
        <v>44760</v>
      </c>
      <c r="B1909" s="149" t="s">
        <v>23241</v>
      </c>
      <c r="C1909" s="153" t="s">
        <v>7745</v>
      </c>
      <c r="D1909" s="154">
        <v>6490.4</v>
      </c>
      <c r="E1909" s="155">
        <v>44760</v>
      </c>
      <c r="F1909" s="154">
        <v>6490.4</v>
      </c>
      <c r="G1909" s="156">
        <f>Tabla18[[#This Row],[Importe]]-Tabla18[[#This Row],[Pagado]]</f>
        <v>0</v>
      </c>
      <c r="H1909" s="153" t="s">
        <v>10</v>
      </c>
    </row>
    <row r="1910" spans="1:8" x14ac:dyDescent="0.25">
      <c r="A1910" s="73">
        <v>44760</v>
      </c>
      <c r="B1910" s="74" t="s">
        <v>23242</v>
      </c>
      <c r="C1910" s="75" t="s">
        <v>7745</v>
      </c>
      <c r="D1910" s="81">
        <v>8400</v>
      </c>
      <c r="E1910" s="151">
        <v>44760</v>
      </c>
      <c r="F1910" s="81">
        <v>8400</v>
      </c>
      <c r="G1910" s="156">
        <f>Tabla18[[#This Row],[Importe]]-Tabla18[[#This Row],[Pagado]]</f>
        <v>0</v>
      </c>
      <c r="H1910" s="75" t="s">
        <v>10</v>
      </c>
    </row>
    <row r="1911" spans="1:8" x14ac:dyDescent="0.25">
      <c r="A1911" s="148">
        <v>44760</v>
      </c>
      <c r="B1911" s="149" t="s">
        <v>23243</v>
      </c>
      <c r="C1911" s="153" t="s">
        <v>541</v>
      </c>
      <c r="D1911" s="154">
        <v>8808.7999999999993</v>
      </c>
      <c r="E1911" s="155">
        <v>44761</v>
      </c>
      <c r="F1911" s="154">
        <v>8808.7999999999993</v>
      </c>
      <c r="G1911" s="156">
        <f>Tabla18[[#This Row],[Importe]]-Tabla18[[#This Row],[Pagado]]</f>
        <v>0</v>
      </c>
      <c r="H1911" s="153" t="s">
        <v>10</v>
      </c>
    </row>
    <row r="1912" spans="1:8" x14ac:dyDescent="0.25">
      <c r="A1912" s="73">
        <v>44760</v>
      </c>
      <c r="B1912" s="74" t="s">
        <v>23244</v>
      </c>
      <c r="C1912" s="75" t="s">
        <v>857</v>
      </c>
      <c r="D1912" s="81">
        <v>524</v>
      </c>
      <c r="E1912" s="151">
        <v>44760</v>
      </c>
      <c r="F1912" s="81">
        <v>524</v>
      </c>
      <c r="G1912" s="156">
        <f>Tabla18[[#This Row],[Importe]]-Tabla18[[#This Row],[Pagado]]</f>
        <v>0</v>
      </c>
      <c r="H1912" s="75" t="s">
        <v>10</v>
      </c>
    </row>
    <row r="1913" spans="1:8" x14ac:dyDescent="0.25">
      <c r="A1913" s="148">
        <v>44760</v>
      </c>
      <c r="B1913" s="149" t="s">
        <v>23245</v>
      </c>
      <c r="C1913" s="153" t="s">
        <v>392</v>
      </c>
      <c r="D1913" s="154">
        <v>12940.8</v>
      </c>
      <c r="E1913" s="155">
        <v>44764</v>
      </c>
      <c r="F1913" s="154">
        <v>12940.8</v>
      </c>
      <c r="G1913" s="156">
        <f>Tabla18[[#This Row],[Importe]]-Tabla18[[#This Row],[Pagado]]</f>
        <v>0</v>
      </c>
      <c r="H1913" s="153" t="s">
        <v>10</v>
      </c>
    </row>
    <row r="1914" spans="1:8" x14ac:dyDescent="0.25">
      <c r="A1914" s="73">
        <v>44760</v>
      </c>
      <c r="B1914" s="74" t="s">
        <v>23246</v>
      </c>
      <c r="C1914" s="75" t="s">
        <v>664</v>
      </c>
      <c r="D1914" s="81">
        <v>15344.4</v>
      </c>
      <c r="E1914" s="151">
        <v>44760</v>
      </c>
      <c r="F1914" s="81">
        <v>15344.4</v>
      </c>
      <c r="G1914" s="156">
        <f>Tabla18[[#This Row],[Importe]]-Tabla18[[#This Row],[Pagado]]</f>
        <v>0</v>
      </c>
      <c r="H1914" s="75" t="s">
        <v>10</v>
      </c>
    </row>
    <row r="1915" spans="1:8" x14ac:dyDescent="0.25">
      <c r="A1915" s="148">
        <v>44760</v>
      </c>
      <c r="B1915" s="149" t="s">
        <v>23247</v>
      </c>
      <c r="C1915" s="153" t="s">
        <v>58</v>
      </c>
      <c r="D1915" s="154">
        <v>2397.3000000000002</v>
      </c>
      <c r="E1915" s="155">
        <v>44760</v>
      </c>
      <c r="F1915" s="154">
        <v>2397.3000000000002</v>
      </c>
      <c r="G1915" s="156">
        <f>Tabla18[[#This Row],[Importe]]-Tabla18[[#This Row],[Pagado]]</f>
        <v>0</v>
      </c>
      <c r="H1915" s="153" t="s">
        <v>10</v>
      </c>
    </row>
    <row r="1916" spans="1:8" x14ac:dyDescent="0.25">
      <c r="A1916" s="73">
        <v>44760</v>
      </c>
      <c r="B1916" s="74" t="s">
        <v>23248</v>
      </c>
      <c r="C1916" s="75" t="s">
        <v>224</v>
      </c>
      <c r="D1916" s="81">
        <v>15342.5</v>
      </c>
      <c r="E1916" s="151">
        <v>44774</v>
      </c>
      <c r="F1916" s="81">
        <v>15342.5</v>
      </c>
      <c r="G1916" s="156">
        <f>Tabla18[[#This Row],[Importe]]-Tabla18[[#This Row],[Pagado]]</f>
        <v>0</v>
      </c>
      <c r="H1916" s="75" t="s">
        <v>10</v>
      </c>
    </row>
    <row r="1917" spans="1:8" x14ac:dyDescent="0.25">
      <c r="A1917" s="148">
        <v>44760</v>
      </c>
      <c r="B1917" s="149" t="s">
        <v>23249</v>
      </c>
      <c r="C1917" s="153" t="s">
        <v>31</v>
      </c>
      <c r="D1917" s="154">
        <v>3778</v>
      </c>
      <c r="E1917" s="155">
        <v>44760</v>
      </c>
      <c r="F1917" s="154">
        <v>3778</v>
      </c>
      <c r="G1917" s="156">
        <f>Tabla18[[#This Row],[Importe]]-Tabla18[[#This Row],[Pagado]]</f>
        <v>0</v>
      </c>
      <c r="H1917" s="153" t="s">
        <v>10</v>
      </c>
    </row>
    <row r="1918" spans="1:8" x14ac:dyDescent="0.25">
      <c r="A1918" s="73">
        <v>44760</v>
      </c>
      <c r="B1918" s="74" t="s">
        <v>23250</v>
      </c>
      <c r="C1918" s="75" t="s">
        <v>6405</v>
      </c>
      <c r="D1918" s="81">
        <v>2.0499999999999998</v>
      </c>
      <c r="E1918" s="151">
        <v>44772</v>
      </c>
      <c r="F1918" s="81">
        <v>2.0499999999999998</v>
      </c>
      <c r="G1918" s="156">
        <f>Tabla18[[#This Row],[Importe]]-Tabla18[[#This Row],[Pagado]]</f>
        <v>0</v>
      </c>
      <c r="H1918" s="75" t="s">
        <v>10</v>
      </c>
    </row>
    <row r="1919" spans="1:8" x14ac:dyDescent="0.25">
      <c r="A1919" s="148">
        <v>44760</v>
      </c>
      <c r="B1919" s="149" t="s">
        <v>23251</v>
      </c>
      <c r="C1919" s="153" t="s">
        <v>4136</v>
      </c>
      <c r="D1919" s="154">
        <v>1142</v>
      </c>
      <c r="E1919" s="155">
        <v>44760</v>
      </c>
      <c r="F1919" s="154">
        <v>1142</v>
      </c>
      <c r="G1919" s="156">
        <f>Tabla18[[#This Row],[Importe]]-Tabla18[[#This Row],[Pagado]]</f>
        <v>0</v>
      </c>
      <c r="H1919" s="153" t="s">
        <v>10</v>
      </c>
    </row>
    <row r="1920" spans="1:8" x14ac:dyDescent="0.25">
      <c r="A1920" s="73">
        <v>44760</v>
      </c>
      <c r="B1920" s="74" t="s">
        <v>23252</v>
      </c>
      <c r="C1920" s="75" t="s">
        <v>419</v>
      </c>
      <c r="D1920" s="81">
        <v>7166.6</v>
      </c>
      <c r="E1920" s="151">
        <v>44760</v>
      </c>
      <c r="F1920" s="81">
        <v>7166.6</v>
      </c>
      <c r="G1920" s="156">
        <f>Tabla18[[#This Row],[Importe]]-Tabla18[[#This Row],[Pagado]]</f>
        <v>0</v>
      </c>
      <c r="H1920" s="75" t="s">
        <v>10</v>
      </c>
    </row>
    <row r="1921" spans="1:8" x14ac:dyDescent="0.25">
      <c r="A1921" s="148">
        <v>44760</v>
      </c>
      <c r="B1921" s="149" t="s">
        <v>23253</v>
      </c>
      <c r="C1921" s="153" t="s">
        <v>654</v>
      </c>
      <c r="D1921" s="154">
        <v>9579.5</v>
      </c>
      <c r="E1921" s="155">
        <v>44764</v>
      </c>
      <c r="F1921" s="154">
        <v>9579.5</v>
      </c>
      <c r="G1921" s="156">
        <f>Tabla18[[#This Row],[Importe]]-Tabla18[[#This Row],[Pagado]]</f>
        <v>0</v>
      </c>
      <c r="H1921" s="153" t="s">
        <v>10</v>
      </c>
    </row>
    <row r="1922" spans="1:8" x14ac:dyDescent="0.25">
      <c r="A1922" s="73">
        <v>44760</v>
      </c>
      <c r="B1922" s="74" t="s">
        <v>23254</v>
      </c>
      <c r="C1922" s="75" t="s">
        <v>67</v>
      </c>
      <c r="D1922" s="81">
        <v>580</v>
      </c>
      <c r="E1922" s="151">
        <v>44760</v>
      </c>
      <c r="F1922" s="81">
        <v>580</v>
      </c>
      <c r="G1922" s="156">
        <f>Tabla18[[#This Row],[Importe]]-Tabla18[[#This Row],[Pagado]]</f>
        <v>0</v>
      </c>
      <c r="H1922" s="75" t="s">
        <v>10</v>
      </c>
    </row>
    <row r="1923" spans="1:8" x14ac:dyDescent="0.25">
      <c r="A1923" s="148">
        <v>44760</v>
      </c>
      <c r="B1923" s="149" t="s">
        <v>23255</v>
      </c>
      <c r="C1923" s="153" t="s">
        <v>91</v>
      </c>
      <c r="D1923" s="154">
        <v>7020</v>
      </c>
      <c r="E1923" s="155">
        <v>44762</v>
      </c>
      <c r="F1923" s="154">
        <v>7020</v>
      </c>
      <c r="G1923" s="156">
        <f>Tabla18[[#This Row],[Importe]]-Tabla18[[#This Row],[Pagado]]</f>
        <v>0</v>
      </c>
      <c r="H1923" s="153" t="s">
        <v>10</v>
      </c>
    </row>
    <row r="1924" spans="1:8" x14ac:dyDescent="0.25">
      <c r="A1924" s="73">
        <v>44760</v>
      </c>
      <c r="B1924" s="74" t="s">
        <v>23256</v>
      </c>
      <c r="C1924" s="75" t="s">
        <v>845</v>
      </c>
      <c r="D1924" s="81">
        <v>1352.4</v>
      </c>
      <c r="E1924" s="151">
        <v>44760</v>
      </c>
      <c r="F1924" s="81">
        <v>1352.4</v>
      </c>
      <c r="G1924" s="156">
        <f>Tabla18[[#This Row],[Importe]]-Tabla18[[#This Row],[Pagado]]</f>
        <v>0</v>
      </c>
      <c r="H1924" s="75" t="s">
        <v>10</v>
      </c>
    </row>
    <row r="1925" spans="1:8" x14ac:dyDescent="0.25">
      <c r="A1925" s="148">
        <v>44760</v>
      </c>
      <c r="B1925" s="149" t="s">
        <v>23257</v>
      </c>
      <c r="C1925" s="153" t="s">
        <v>31</v>
      </c>
      <c r="D1925" s="154">
        <v>2363.4</v>
      </c>
      <c r="E1925" s="155">
        <v>44760</v>
      </c>
      <c r="F1925" s="154">
        <v>2363.4</v>
      </c>
      <c r="G1925" s="156">
        <f>Tabla18[[#This Row],[Importe]]-Tabla18[[#This Row],[Pagado]]</f>
        <v>0</v>
      </c>
      <c r="H1925" s="153" t="s">
        <v>10</v>
      </c>
    </row>
    <row r="1926" spans="1:8" x14ac:dyDescent="0.25">
      <c r="A1926" s="73">
        <v>44760</v>
      </c>
      <c r="B1926" s="74" t="s">
        <v>23258</v>
      </c>
      <c r="C1926" s="75" t="s">
        <v>208</v>
      </c>
      <c r="D1926" s="81">
        <v>51492.12</v>
      </c>
      <c r="E1926" s="151">
        <v>44768</v>
      </c>
      <c r="F1926" s="81">
        <v>51492.12</v>
      </c>
      <c r="G1926" s="156">
        <f>Tabla18[[#This Row],[Importe]]-Tabla18[[#This Row],[Pagado]]</f>
        <v>0</v>
      </c>
      <c r="H1926" s="75" t="s">
        <v>10</v>
      </c>
    </row>
    <row r="1927" spans="1:8" x14ac:dyDescent="0.25">
      <c r="A1927" s="148">
        <v>44760</v>
      </c>
      <c r="B1927" s="149" t="s">
        <v>23259</v>
      </c>
      <c r="C1927" s="153" t="s">
        <v>154</v>
      </c>
      <c r="D1927" s="154">
        <v>32590.799999999999</v>
      </c>
      <c r="E1927" s="155">
        <v>44763</v>
      </c>
      <c r="F1927" s="154">
        <v>32590.799999999999</v>
      </c>
      <c r="G1927" s="156">
        <f>Tabla18[[#This Row],[Importe]]-Tabla18[[#This Row],[Pagado]]</f>
        <v>0</v>
      </c>
      <c r="H1927" s="153" t="s">
        <v>10</v>
      </c>
    </row>
    <row r="1928" spans="1:8" x14ac:dyDescent="0.25">
      <c r="A1928" s="73">
        <v>44760</v>
      </c>
      <c r="B1928" s="74" t="s">
        <v>23260</v>
      </c>
      <c r="C1928" s="75" t="s">
        <v>212</v>
      </c>
      <c r="D1928" s="81">
        <v>47611.5</v>
      </c>
      <c r="E1928" s="151">
        <v>44762</v>
      </c>
      <c r="F1928" s="81">
        <v>47611.5</v>
      </c>
      <c r="G1928" s="156">
        <f>Tabla18[[#This Row],[Importe]]-Tabla18[[#This Row],[Pagado]]</f>
        <v>0</v>
      </c>
      <c r="H1928" s="75" t="s">
        <v>10</v>
      </c>
    </row>
    <row r="1929" spans="1:8" x14ac:dyDescent="0.25">
      <c r="A1929" s="148">
        <v>44760</v>
      </c>
      <c r="B1929" s="149" t="s">
        <v>23261</v>
      </c>
      <c r="C1929" s="153" t="s">
        <v>206</v>
      </c>
      <c r="D1929" s="154">
        <v>35084.699999999997</v>
      </c>
      <c r="E1929" s="155">
        <v>44763</v>
      </c>
      <c r="F1929" s="154">
        <v>35084.699999999997</v>
      </c>
      <c r="G1929" s="156">
        <f>Tabla18[[#This Row],[Importe]]-Tabla18[[#This Row],[Pagado]]</f>
        <v>0</v>
      </c>
      <c r="H1929" s="153" t="s">
        <v>10</v>
      </c>
    </row>
    <row r="1930" spans="1:8" x14ac:dyDescent="0.25">
      <c r="A1930" s="73">
        <v>44760</v>
      </c>
      <c r="B1930" s="74" t="s">
        <v>23262</v>
      </c>
      <c r="C1930" s="75" t="s">
        <v>218</v>
      </c>
      <c r="D1930" s="81">
        <v>19697.8</v>
      </c>
      <c r="E1930" s="151">
        <v>44763</v>
      </c>
      <c r="F1930" s="81">
        <v>19697.8</v>
      </c>
      <c r="G1930" s="156">
        <f>Tabla18[[#This Row],[Importe]]-Tabla18[[#This Row],[Pagado]]</f>
        <v>0</v>
      </c>
      <c r="H1930" s="75" t="s">
        <v>10</v>
      </c>
    </row>
    <row r="1931" spans="1:8" x14ac:dyDescent="0.25">
      <c r="A1931" s="148">
        <v>44760</v>
      </c>
      <c r="B1931" s="149" t="s">
        <v>23263</v>
      </c>
      <c r="C1931" s="153" t="s">
        <v>31</v>
      </c>
      <c r="D1931" s="154">
        <v>1620.1</v>
      </c>
      <c r="E1931" s="155">
        <v>44760</v>
      </c>
      <c r="F1931" s="154">
        <v>1620.1</v>
      </c>
      <c r="G1931" s="156">
        <f>Tabla18[[#This Row],[Importe]]-Tabla18[[#This Row],[Pagado]]</f>
        <v>0</v>
      </c>
      <c r="H1931" s="153" t="s">
        <v>10</v>
      </c>
    </row>
    <row r="1932" spans="1:8" x14ac:dyDescent="0.25">
      <c r="A1932" s="73">
        <v>44760</v>
      </c>
      <c r="B1932" s="74" t="s">
        <v>23264</v>
      </c>
      <c r="C1932" s="75" t="s">
        <v>698</v>
      </c>
      <c r="D1932" s="81">
        <v>9997.6</v>
      </c>
      <c r="E1932" s="151">
        <v>44760</v>
      </c>
      <c r="F1932" s="81">
        <v>9997.6</v>
      </c>
      <c r="G1932" s="156">
        <f>Tabla18[[#This Row],[Importe]]-Tabla18[[#This Row],[Pagado]]</f>
        <v>0</v>
      </c>
      <c r="H1932" s="75" t="s">
        <v>10</v>
      </c>
    </row>
    <row r="1933" spans="1:8" x14ac:dyDescent="0.25">
      <c r="A1933" s="148">
        <v>44760</v>
      </c>
      <c r="B1933" s="149" t="s">
        <v>23265</v>
      </c>
      <c r="C1933" s="153" t="s">
        <v>670</v>
      </c>
      <c r="D1933" s="154">
        <v>5066.6000000000004</v>
      </c>
      <c r="E1933" s="155">
        <v>44760</v>
      </c>
      <c r="F1933" s="154">
        <v>5066.6000000000004</v>
      </c>
      <c r="G1933" s="156">
        <f>Tabla18[[#This Row],[Importe]]-Tabla18[[#This Row],[Pagado]]</f>
        <v>0</v>
      </c>
      <c r="H1933" s="153" t="s">
        <v>10</v>
      </c>
    </row>
    <row r="1934" spans="1:8" x14ac:dyDescent="0.25">
      <c r="A1934" s="73">
        <v>44760</v>
      </c>
      <c r="B1934" s="74" t="s">
        <v>23266</v>
      </c>
      <c r="C1934" s="75" t="s">
        <v>286</v>
      </c>
      <c r="D1934" s="81">
        <v>32168</v>
      </c>
      <c r="E1934" s="151">
        <v>44760</v>
      </c>
      <c r="F1934" s="81">
        <v>32168</v>
      </c>
      <c r="G1934" s="156">
        <f>Tabla18[[#This Row],[Importe]]-Tabla18[[#This Row],[Pagado]]</f>
        <v>0</v>
      </c>
      <c r="H1934" s="75" t="s">
        <v>10</v>
      </c>
    </row>
    <row r="1935" spans="1:8" x14ac:dyDescent="0.25">
      <c r="A1935" s="148">
        <v>44760</v>
      </c>
      <c r="B1935" s="149" t="s">
        <v>23267</v>
      </c>
      <c r="C1935" s="153" t="s">
        <v>191</v>
      </c>
      <c r="D1935" s="154">
        <v>19782</v>
      </c>
      <c r="E1935" s="155">
        <v>44760</v>
      </c>
      <c r="F1935" s="154">
        <v>19782</v>
      </c>
      <c r="G1935" s="156">
        <f>Tabla18[[#This Row],[Importe]]-Tabla18[[#This Row],[Pagado]]</f>
        <v>0</v>
      </c>
      <c r="H1935" s="153" t="s">
        <v>10</v>
      </c>
    </row>
    <row r="1936" spans="1:8" x14ac:dyDescent="0.25">
      <c r="A1936" s="73">
        <v>44760</v>
      </c>
      <c r="B1936" s="74" t="s">
        <v>23268</v>
      </c>
      <c r="C1936" s="75" t="s">
        <v>200</v>
      </c>
      <c r="D1936" s="81">
        <v>1310.4000000000001</v>
      </c>
      <c r="E1936" s="151">
        <v>44760</v>
      </c>
      <c r="F1936" s="81">
        <v>1310.4000000000001</v>
      </c>
      <c r="G1936" s="156">
        <f>Tabla18[[#This Row],[Importe]]-Tabla18[[#This Row],[Pagado]]</f>
        <v>0</v>
      </c>
      <c r="H1936" s="75" t="s">
        <v>10</v>
      </c>
    </row>
    <row r="1937" spans="1:8" x14ac:dyDescent="0.25">
      <c r="A1937" s="148">
        <v>44760</v>
      </c>
      <c r="B1937" s="149" t="s">
        <v>23269</v>
      </c>
      <c r="C1937" s="153" t="s">
        <v>175</v>
      </c>
      <c r="D1937" s="154">
        <v>15598.6</v>
      </c>
      <c r="E1937" s="155">
        <v>44760</v>
      </c>
      <c r="F1937" s="154">
        <v>15598.6</v>
      </c>
      <c r="G1937" s="156">
        <f>Tabla18[[#This Row],[Importe]]-Tabla18[[#This Row],[Pagado]]</f>
        <v>0</v>
      </c>
      <c r="H1937" s="153" t="s">
        <v>10</v>
      </c>
    </row>
    <row r="1938" spans="1:8" x14ac:dyDescent="0.25">
      <c r="A1938" s="73">
        <v>44760</v>
      </c>
      <c r="B1938" s="74" t="s">
        <v>23270</v>
      </c>
      <c r="C1938" s="75" t="s">
        <v>426</v>
      </c>
      <c r="D1938" s="81">
        <v>12166.2</v>
      </c>
      <c r="E1938" s="151">
        <v>44760</v>
      </c>
      <c r="F1938" s="81">
        <v>12166.2</v>
      </c>
      <c r="G1938" s="156">
        <f>Tabla18[[#This Row],[Importe]]-Tabla18[[#This Row],[Pagado]]</f>
        <v>0</v>
      </c>
      <c r="H1938" s="75" t="s">
        <v>10</v>
      </c>
    </row>
    <row r="1939" spans="1:8" x14ac:dyDescent="0.25">
      <c r="A1939" s="148">
        <v>44760</v>
      </c>
      <c r="B1939" s="149" t="s">
        <v>23271</v>
      </c>
      <c r="C1939" s="153" t="s">
        <v>359</v>
      </c>
      <c r="D1939" s="154">
        <v>1548.3</v>
      </c>
      <c r="E1939" s="155">
        <v>44760</v>
      </c>
      <c r="F1939" s="154">
        <v>1548.3</v>
      </c>
      <c r="G1939" s="156">
        <f>Tabla18[[#This Row],[Importe]]-Tabla18[[#This Row],[Pagado]]</f>
        <v>0</v>
      </c>
      <c r="H1939" s="153" t="s">
        <v>10</v>
      </c>
    </row>
    <row r="1940" spans="1:8" x14ac:dyDescent="0.25">
      <c r="A1940" s="73">
        <v>44760</v>
      </c>
      <c r="B1940" s="74" t="s">
        <v>23272</v>
      </c>
      <c r="C1940" s="75" t="s">
        <v>181</v>
      </c>
      <c r="D1940" s="81">
        <v>11753</v>
      </c>
      <c r="E1940" s="151">
        <v>44760</v>
      </c>
      <c r="F1940" s="81">
        <v>11753</v>
      </c>
      <c r="G1940" s="156">
        <f>Tabla18[[#This Row],[Importe]]-Tabla18[[#This Row],[Pagado]]</f>
        <v>0</v>
      </c>
      <c r="H1940" s="75" t="s">
        <v>10</v>
      </c>
    </row>
    <row r="1941" spans="1:8" x14ac:dyDescent="0.25">
      <c r="A1941" s="148">
        <v>44760</v>
      </c>
      <c r="B1941" s="149" t="s">
        <v>23273</v>
      </c>
      <c r="C1941" s="153" t="s">
        <v>9827</v>
      </c>
      <c r="D1941" s="154">
        <v>3751.8</v>
      </c>
      <c r="E1941" s="155">
        <v>44760</v>
      </c>
      <c r="F1941" s="154">
        <v>3751.8</v>
      </c>
      <c r="G1941" s="156">
        <f>Tabla18[[#This Row],[Importe]]-Tabla18[[#This Row],[Pagado]]</f>
        <v>0</v>
      </c>
      <c r="H1941" s="153" t="s">
        <v>10</v>
      </c>
    </row>
    <row r="1942" spans="1:8" x14ac:dyDescent="0.25">
      <c r="A1942" s="73">
        <v>44760</v>
      </c>
      <c r="B1942" s="74" t="s">
        <v>23274</v>
      </c>
      <c r="C1942" s="75" t="s">
        <v>4523</v>
      </c>
      <c r="D1942" s="81">
        <v>4602</v>
      </c>
      <c r="E1942" s="151">
        <v>44760</v>
      </c>
      <c r="F1942" s="81">
        <v>4602</v>
      </c>
      <c r="G1942" s="156">
        <f>Tabla18[[#This Row],[Importe]]-Tabla18[[#This Row],[Pagado]]</f>
        <v>0</v>
      </c>
      <c r="H1942" s="75" t="s">
        <v>10</v>
      </c>
    </row>
    <row r="1943" spans="1:8" x14ac:dyDescent="0.25">
      <c r="A1943" s="148">
        <v>44760</v>
      </c>
      <c r="B1943" s="149" t="s">
        <v>23275</v>
      </c>
      <c r="C1943" s="153" t="s">
        <v>284</v>
      </c>
      <c r="D1943" s="154">
        <v>8197.7999999999993</v>
      </c>
      <c r="E1943" s="155">
        <v>44761</v>
      </c>
      <c r="F1943" s="154">
        <v>8197.7999999999993</v>
      </c>
      <c r="G1943" s="156">
        <f>Tabla18[[#This Row],[Importe]]-Tabla18[[#This Row],[Pagado]]</f>
        <v>0</v>
      </c>
      <c r="H1943" s="153" t="s">
        <v>10</v>
      </c>
    </row>
    <row r="1944" spans="1:8" x14ac:dyDescent="0.25">
      <c r="A1944" s="73">
        <v>44760</v>
      </c>
      <c r="B1944" s="74" t="s">
        <v>23276</v>
      </c>
      <c r="C1944" s="75" t="s">
        <v>5345</v>
      </c>
      <c r="D1944" s="81">
        <v>3010.8</v>
      </c>
      <c r="E1944" s="151">
        <v>44761</v>
      </c>
      <c r="F1944" s="81">
        <v>3010.8</v>
      </c>
      <c r="G1944" s="156">
        <f>Tabla18[[#This Row],[Importe]]-Tabla18[[#This Row],[Pagado]]</f>
        <v>0</v>
      </c>
      <c r="H1944" s="75" t="s">
        <v>10</v>
      </c>
    </row>
    <row r="1945" spans="1:8" x14ac:dyDescent="0.25">
      <c r="A1945" s="148">
        <v>44760</v>
      </c>
      <c r="B1945" s="149" t="s">
        <v>23277</v>
      </c>
      <c r="C1945" s="153" t="s">
        <v>10819</v>
      </c>
      <c r="D1945" s="154">
        <v>827.8</v>
      </c>
      <c r="E1945" s="155">
        <v>44761</v>
      </c>
      <c r="F1945" s="154">
        <v>827.8</v>
      </c>
      <c r="G1945" s="156">
        <f>Tabla18[[#This Row],[Importe]]-Tabla18[[#This Row],[Pagado]]</f>
        <v>0</v>
      </c>
      <c r="H1945" s="153" t="s">
        <v>10</v>
      </c>
    </row>
    <row r="1946" spans="1:8" x14ac:dyDescent="0.25">
      <c r="A1946" s="73">
        <v>44760</v>
      </c>
      <c r="B1946" s="74" t="s">
        <v>23278</v>
      </c>
      <c r="C1946" s="75" t="s">
        <v>280</v>
      </c>
      <c r="D1946" s="81">
        <v>1224.5999999999999</v>
      </c>
      <c r="E1946" s="151">
        <v>44761</v>
      </c>
      <c r="F1946" s="81">
        <v>1224.5999999999999</v>
      </c>
      <c r="G1946" s="156">
        <f>Tabla18[[#This Row],[Importe]]-Tabla18[[#This Row],[Pagado]]</f>
        <v>0</v>
      </c>
      <c r="H1946" s="75" t="s">
        <v>10</v>
      </c>
    </row>
    <row r="1947" spans="1:8" x14ac:dyDescent="0.25">
      <c r="A1947" s="148">
        <v>44760</v>
      </c>
      <c r="B1947" s="149" t="s">
        <v>23279</v>
      </c>
      <c r="C1947" s="153" t="s">
        <v>282</v>
      </c>
      <c r="D1947" s="154">
        <v>2223</v>
      </c>
      <c r="E1947" s="155">
        <v>44761</v>
      </c>
      <c r="F1947" s="154">
        <v>2223</v>
      </c>
      <c r="G1947" s="156">
        <f>Tabla18[[#This Row],[Importe]]-Tabla18[[#This Row],[Pagado]]</f>
        <v>0</v>
      </c>
      <c r="H1947" s="153" t="s">
        <v>10</v>
      </c>
    </row>
    <row r="1948" spans="1:8" x14ac:dyDescent="0.25">
      <c r="A1948" s="73">
        <v>44760</v>
      </c>
      <c r="B1948" s="74" t="s">
        <v>23280</v>
      </c>
      <c r="C1948" s="75" t="s">
        <v>450</v>
      </c>
      <c r="D1948" s="81">
        <v>7784</v>
      </c>
      <c r="E1948" s="151">
        <v>44760</v>
      </c>
      <c r="F1948" s="81">
        <v>7784</v>
      </c>
      <c r="G1948" s="156">
        <f>Tabla18[[#This Row],[Importe]]-Tabla18[[#This Row],[Pagado]]</f>
        <v>0</v>
      </c>
      <c r="H1948" s="75" t="s">
        <v>10</v>
      </c>
    </row>
    <row r="1949" spans="1:8" x14ac:dyDescent="0.25">
      <c r="A1949" s="148">
        <v>44760</v>
      </c>
      <c r="B1949" s="149" t="s">
        <v>23281</v>
      </c>
      <c r="C1949" s="153" t="s">
        <v>365</v>
      </c>
      <c r="D1949" s="154">
        <v>1002</v>
      </c>
      <c r="E1949" s="155">
        <v>44760</v>
      </c>
      <c r="F1949" s="154">
        <v>1002</v>
      </c>
      <c r="G1949" s="156">
        <f>Tabla18[[#This Row],[Importe]]-Tabla18[[#This Row],[Pagado]]</f>
        <v>0</v>
      </c>
      <c r="H1949" s="153" t="s">
        <v>10</v>
      </c>
    </row>
    <row r="1950" spans="1:8" x14ac:dyDescent="0.25">
      <c r="A1950" s="73">
        <v>44760</v>
      </c>
      <c r="B1950" s="74" t="s">
        <v>23282</v>
      </c>
      <c r="C1950" s="75" t="s">
        <v>1174</v>
      </c>
      <c r="D1950" s="81">
        <v>22480.799999999999</v>
      </c>
      <c r="E1950" s="151">
        <v>44760</v>
      </c>
      <c r="F1950" s="81">
        <v>22480.799999999999</v>
      </c>
      <c r="G1950" s="156">
        <f>Tabla18[[#This Row],[Importe]]-Tabla18[[#This Row],[Pagado]]</f>
        <v>0</v>
      </c>
      <c r="H1950" s="75" t="s">
        <v>10</v>
      </c>
    </row>
    <row r="1951" spans="1:8" x14ac:dyDescent="0.25">
      <c r="A1951" s="148">
        <v>44760</v>
      </c>
      <c r="B1951" s="149" t="s">
        <v>23283</v>
      </c>
      <c r="C1951" s="153" t="s">
        <v>421</v>
      </c>
      <c r="D1951" s="154">
        <v>2948.4</v>
      </c>
      <c r="E1951" s="155">
        <v>44760</v>
      </c>
      <c r="F1951" s="154">
        <v>2948.4</v>
      </c>
      <c r="G1951" s="156">
        <f>Tabla18[[#This Row],[Importe]]-Tabla18[[#This Row],[Pagado]]</f>
        <v>0</v>
      </c>
      <c r="H1951" s="153" t="s">
        <v>10</v>
      </c>
    </row>
    <row r="1952" spans="1:8" x14ac:dyDescent="0.25">
      <c r="A1952" s="73">
        <v>44760</v>
      </c>
      <c r="B1952" s="74" t="s">
        <v>23284</v>
      </c>
      <c r="C1952" s="75" t="s">
        <v>22</v>
      </c>
      <c r="D1952" s="81">
        <v>2360.6999999999998</v>
      </c>
      <c r="E1952" s="151">
        <v>44760</v>
      </c>
      <c r="F1952" s="81">
        <v>2360.6999999999998</v>
      </c>
      <c r="G1952" s="156">
        <f>Tabla18[[#This Row],[Importe]]-Tabla18[[#This Row],[Pagado]]</f>
        <v>0</v>
      </c>
      <c r="H1952" s="75" t="s">
        <v>10</v>
      </c>
    </row>
    <row r="1953" spans="1:8" x14ac:dyDescent="0.25">
      <c r="A1953" s="148">
        <v>44760</v>
      </c>
      <c r="B1953" s="149" t="s">
        <v>23285</v>
      </c>
      <c r="C1953" s="153" t="s">
        <v>31</v>
      </c>
      <c r="D1953" s="154">
        <v>7400</v>
      </c>
      <c r="E1953" s="155">
        <v>44760</v>
      </c>
      <c r="F1953" s="154">
        <v>7400</v>
      </c>
      <c r="G1953" s="156">
        <f>Tabla18[[#This Row],[Importe]]-Tabla18[[#This Row],[Pagado]]</f>
        <v>0</v>
      </c>
      <c r="H1953" s="153" t="s">
        <v>10</v>
      </c>
    </row>
    <row r="1954" spans="1:8" x14ac:dyDescent="0.25">
      <c r="A1954" s="73">
        <v>44760</v>
      </c>
      <c r="B1954" s="74" t="s">
        <v>23286</v>
      </c>
      <c r="C1954" s="75" t="s">
        <v>53</v>
      </c>
      <c r="D1954" s="81">
        <v>1336.5</v>
      </c>
      <c r="E1954" s="151">
        <v>44760</v>
      </c>
      <c r="F1954" s="81">
        <v>1336.5</v>
      </c>
      <c r="G1954" s="156">
        <f>Tabla18[[#This Row],[Importe]]-Tabla18[[#This Row],[Pagado]]</f>
        <v>0</v>
      </c>
      <c r="H1954" s="75" t="s">
        <v>10</v>
      </c>
    </row>
    <row r="1955" spans="1:8" x14ac:dyDescent="0.25">
      <c r="A1955" s="148">
        <v>44760</v>
      </c>
      <c r="B1955" s="149" t="s">
        <v>23287</v>
      </c>
      <c r="C1955" s="153" t="s">
        <v>10678</v>
      </c>
      <c r="D1955" s="154">
        <v>5161</v>
      </c>
      <c r="E1955" s="155">
        <v>44760</v>
      </c>
      <c r="F1955" s="154">
        <v>5161</v>
      </c>
      <c r="G1955" s="156">
        <f>Tabla18[[#This Row],[Importe]]-Tabla18[[#This Row],[Pagado]]</f>
        <v>0</v>
      </c>
      <c r="H1955" s="153" t="s">
        <v>10</v>
      </c>
    </row>
    <row r="1956" spans="1:8" x14ac:dyDescent="0.25">
      <c r="A1956" s="73">
        <v>44760</v>
      </c>
      <c r="B1956" s="74" t="s">
        <v>23288</v>
      </c>
      <c r="C1956" s="75" t="s">
        <v>2139</v>
      </c>
      <c r="D1956" s="81">
        <v>2641.8</v>
      </c>
      <c r="E1956" s="151">
        <v>44760</v>
      </c>
      <c r="F1956" s="81">
        <v>2641.8</v>
      </c>
      <c r="G1956" s="156">
        <f>Tabla18[[#This Row],[Importe]]-Tabla18[[#This Row],[Pagado]]</f>
        <v>0</v>
      </c>
      <c r="H1956" s="75" t="s">
        <v>10</v>
      </c>
    </row>
    <row r="1957" spans="1:8" x14ac:dyDescent="0.25">
      <c r="A1957" s="148">
        <v>44760</v>
      </c>
      <c r="B1957" s="149" t="s">
        <v>23289</v>
      </c>
      <c r="C1957" s="153" t="s">
        <v>296</v>
      </c>
      <c r="D1957" s="154">
        <v>3094.2</v>
      </c>
      <c r="E1957" s="155">
        <v>44760</v>
      </c>
      <c r="F1957" s="154">
        <v>3094.2</v>
      </c>
      <c r="G1957" s="156">
        <f>Tabla18[[#This Row],[Importe]]-Tabla18[[#This Row],[Pagado]]</f>
        <v>0</v>
      </c>
      <c r="H1957" s="153" t="s">
        <v>10</v>
      </c>
    </row>
    <row r="1958" spans="1:8" x14ac:dyDescent="0.25">
      <c r="A1958" s="73">
        <v>44760</v>
      </c>
      <c r="B1958" s="74" t="s">
        <v>23290</v>
      </c>
      <c r="C1958" s="75" t="s">
        <v>373</v>
      </c>
      <c r="D1958" s="81">
        <v>2091</v>
      </c>
      <c r="E1958" s="151">
        <v>44760</v>
      </c>
      <c r="F1958" s="81">
        <v>2091</v>
      </c>
      <c r="G1958" s="156">
        <f>Tabla18[[#This Row],[Importe]]-Tabla18[[#This Row],[Pagado]]</f>
        <v>0</v>
      </c>
      <c r="H1958" s="75" t="s">
        <v>10</v>
      </c>
    </row>
    <row r="1959" spans="1:8" x14ac:dyDescent="0.25">
      <c r="A1959" s="148">
        <v>44760</v>
      </c>
      <c r="B1959" s="149" t="s">
        <v>23291</v>
      </c>
      <c r="C1959" s="153" t="s">
        <v>520</v>
      </c>
      <c r="D1959" s="154">
        <v>7795.8</v>
      </c>
      <c r="E1959" s="155">
        <v>44761</v>
      </c>
      <c r="F1959" s="154">
        <v>7795.8</v>
      </c>
      <c r="G1959" s="156">
        <f>Tabla18[[#This Row],[Importe]]-Tabla18[[#This Row],[Pagado]]</f>
        <v>0</v>
      </c>
      <c r="H1959" s="153" t="s">
        <v>10</v>
      </c>
    </row>
    <row r="1960" spans="1:8" x14ac:dyDescent="0.25">
      <c r="A1960" s="73">
        <v>44760</v>
      </c>
      <c r="B1960" s="74" t="s">
        <v>23292</v>
      </c>
      <c r="C1960" s="75" t="s">
        <v>414</v>
      </c>
      <c r="D1960" s="81">
        <v>26418</v>
      </c>
      <c r="E1960" s="151">
        <v>44763</v>
      </c>
      <c r="F1960" s="81">
        <v>26418</v>
      </c>
      <c r="G1960" s="156">
        <f>Tabla18[[#This Row],[Importe]]-Tabla18[[#This Row],[Pagado]]</f>
        <v>0</v>
      </c>
      <c r="H1960" s="75" t="s">
        <v>10</v>
      </c>
    </row>
    <row r="1961" spans="1:8" x14ac:dyDescent="0.25">
      <c r="A1961" s="148">
        <v>44760</v>
      </c>
      <c r="B1961" s="149" t="s">
        <v>23293</v>
      </c>
      <c r="C1961" s="153" t="s">
        <v>10840</v>
      </c>
      <c r="D1961" s="154">
        <v>35310</v>
      </c>
      <c r="E1961" s="155">
        <v>44767</v>
      </c>
      <c r="F1961" s="154">
        <v>35310</v>
      </c>
      <c r="G1961" s="156">
        <f>Tabla18[[#This Row],[Importe]]-Tabla18[[#This Row],[Pagado]]</f>
        <v>0</v>
      </c>
      <c r="H1961" s="153" t="s">
        <v>10</v>
      </c>
    </row>
    <row r="1962" spans="1:8" x14ac:dyDescent="0.25">
      <c r="A1962" s="73">
        <v>44761</v>
      </c>
      <c r="B1962" s="74" t="s">
        <v>23294</v>
      </c>
      <c r="C1962" s="75" t="s">
        <v>887</v>
      </c>
      <c r="D1962" s="81">
        <v>17585.099999999999</v>
      </c>
      <c r="E1962" s="151">
        <v>44761</v>
      </c>
      <c r="F1962" s="81">
        <v>17585.099999999999</v>
      </c>
      <c r="G1962" s="156">
        <f>Tabla18[[#This Row],[Importe]]-Tabla18[[#This Row],[Pagado]]</f>
        <v>0</v>
      </c>
      <c r="H1962" s="75" t="s">
        <v>10</v>
      </c>
    </row>
    <row r="1963" spans="1:8" x14ac:dyDescent="0.25">
      <c r="A1963" s="148">
        <v>44761</v>
      </c>
      <c r="B1963" s="149" t="s">
        <v>23295</v>
      </c>
      <c r="C1963" s="153" t="s">
        <v>31</v>
      </c>
      <c r="D1963" s="154">
        <v>7254</v>
      </c>
      <c r="E1963" s="155">
        <v>44761</v>
      </c>
      <c r="F1963" s="154">
        <v>7254</v>
      </c>
      <c r="G1963" s="156">
        <f>Tabla18[[#This Row],[Importe]]-Tabla18[[#This Row],[Pagado]]</f>
        <v>0</v>
      </c>
      <c r="H1963" s="153" t="s">
        <v>10</v>
      </c>
    </row>
    <row r="1964" spans="1:8" x14ac:dyDescent="0.25">
      <c r="A1964" s="73">
        <v>44761</v>
      </c>
      <c r="B1964" s="74" t="s">
        <v>23296</v>
      </c>
      <c r="C1964" s="75" t="s">
        <v>83</v>
      </c>
      <c r="D1964" s="81">
        <v>6001.4</v>
      </c>
      <c r="E1964" s="151">
        <v>44761</v>
      </c>
      <c r="F1964" s="81">
        <v>6001.4</v>
      </c>
      <c r="G1964" s="156">
        <f>Tabla18[[#This Row],[Importe]]-Tabla18[[#This Row],[Pagado]]</f>
        <v>0</v>
      </c>
      <c r="H1964" s="75" t="s">
        <v>10</v>
      </c>
    </row>
    <row r="1965" spans="1:8" x14ac:dyDescent="0.25">
      <c r="A1965" s="148">
        <v>44761</v>
      </c>
      <c r="B1965" s="149" t="s">
        <v>23297</v>
      </c>
      <c r="C1965" s="153" t="s">
        <v>79</v>
      </c>
      <c r="D1965" s="154">
        <v>23114.400000000001</v>
      </c>
      <c r="E1965" s="155">
        <v>44761</v>
      </c>
      <c r="F1965" s="154">
        <v>23114.400000000001</v>
      </c>
      <c r="G1965" s="156">
        <f>Tabla18[[#This Row],[Importe]]-Tabla18[[#This Row],[Pagado]]</f>
        <v>0</v>
      </c>
      <c r="H1965" s="153" t="s">
        <v>10</v>
      </c>
    </row>
    <row r="1966" spans="1:8" x14ac:dyDescent="0.25">
      <c r="A1966" s="73">
        <v>44761</v>
      </c>
      <c r="B1966" s="74" t="s">
        <v>23298</v>
      </c>
      <c r="C1966" s="75" t="s">
        <v>87</v>
      </c>
      <c r="D1966" s="81">
        <v>2516.8000000000002</v>
      </c>
      <c r="E1966" s="151">
        <v>44761</v>
      </c>
      <c r="F1966" s="81">
        <v>2516.8000000000002</v>
      </c>
      <c r="G1966" s="156">
        <f>Tabla18[[#This Row],[Importe]]-Tabla18[[#This Row],[Pagado]]</f>
        <v>0</v>
      </c>
      <c r="H1966" s="75" t="s">
        <v>10</v>
      </c>
    </row>
    <row r="1967" spans="1:8" x14ac:dyDescent="0.25">
      <c r="A1967" s="148">
        <v>44761</v>
      </c>
      <c r="B1967" s="149" t="s">
        <v>23299</v>
      </c>
      <c r="C1967" s="153" t="s">
        <v>1350</v>
      </c>
      <c r="D1967" s="154">
        <v>811.5</v>
      </c>
      <c r="E1967" s="155">
        <v>44761</v>
      </c>
      <c r="F1967" s="154">
        <v>811.5</v>
      </c>
      <c r="G1967" s="156">
        <f>Tabla18[[#This Row],[Importe]]-Tabla18[[#This Row],[Pagado]]</f>
        <v>0</v>
      </c>
      <c r="H1967" s="153" t="s">
        <v>10</v>
      </c>
    </row>
    <row r="1968" spans="1:8" x14ac:dyDescent="0.25">
      <c r="A1968" s="73">
        <v>44761</v>
      </c>
      <c r="B1968" s="74" t="s">
        <v>23300</v>
      </c>
      <c r="C1968" s="75" t="s">
        <v>314</v>
      </c>
      <c r="D1968" s="81">
        <v>3299.4</v>
      </c>
      <c r="E1968" s="151">
        <v>44761</v>
      </c>
      <c r="F1968" s="81">
        <v>3299.4</v>
      </c>
      <c r="G1968" s="156">
        <f>Tabla18[[#This Row],[Importe]]-Tabla18[[#This Row],[Pagado]]</f>
        <v>0</v>
      </c>
      <c r="H1968" s="75" t="s">
        <v>10</v>
      </c>
    </row>
    <row r="1969" spans="1:8" x14ac:dyDescent="0.25">
      <c r="A1969" s="148">
        <v>44761</v>
      </c>
      <c r="B1969" s="149" t="s">
        <v>23301</v>
      </c>
      <c r="C1969" s="153" t="s">
        <v>179</v>
      </c>
      <c r="D1969" s="154">
        <v>1692.6</v>
      </c>
      <c r="E1969" s="155">
        <v>44761</v>
      </c>
      <c r="F1969" s="154">
        <v>1692.6</v>
      </c>
      <c r="G1969" s="156">
        <f>Tabla18[[#This Row],[Importe]]-Tabla18[[#This Row],[Pagado]]</f>
        <v>0</v>
      </c>
      <c r="H1969" s="153" t="s">
        <v>10</v>
      </c>
    </row>
    <row r="1970" spans="1:8" x14ac:dyDescent="0.25">
      <c r="A1970" s="73">
        <v>44761</v>
      </c>
      <c r="B1970" s="74" t="s">
        <v>23302</v>
      </c>
      <c r="C1970" s="75" t="s">
        <v>135</v>
      </c>
      <c r="D1970" s="81">
        <v>2655.6</v>
      </c>
      <c r="E1970" s="151">
        <v>44761</v>
      </c>
      <c r="F1970" s="81">
        <v>2655.6</v>
      </c>
      <c r="G1970" s="156">
        <f>Tabla18[[#This Row],[Importe]]-Tabla18[[#This Row],[Pagado]]</f>
        <v>0</v>
      </c>
      <c r="H1970" s="75" t="s">
        <v>10</v>
      </c>
    </row>
    <row r="1971" spans="1:8" x14ac:dyDescent="0.25">
      <c r="A1971" s="148">
        <v>44761</v>
      </c>
      <c r="B1971" s="149" t="s">
        <v>23303</v>
      </c>
      <c r="C1971" s="153" t="s">
        <v>91</v>
      </c>
      <c r="D1971" s="154">
        <v>6240</v>
      </c>
      <c r="E1971" s="155">
        <v>44763</v>
      </c>
      <c r="F1971" s="154">
        <v>6240</v>
      </c>
      <c r="G1971" s="156">
        <f>Tabla18[[#This Row],[Importe]]-Tabla18[[#This Row],[Pagado]]</f>
        <v>0</v>
      </c>
      <c r="H1971" s="153" t="s">
        <v>10</v>
      </c>
    </row>
    <row r="1972" spans="1:8" x14ac:dyDescent="0.25">
      <c r="A1972" s="73">
        <v>44761</v>
      </c>
      <c r="B1972" s="74" t="s">
        <v>23304</v>
      </c>
      <c r="C1972" s="75" t="s">
        <v>114</v>
      </c>
      <c r="D1972" s="81">
        <v>5808.1</v>
      </c>
      <c r="E1972" s="151">
        <v>44763</v>
      </c>
      <c r="F1972" s="81">
        <v>5808.1</v>
      </c>
      <c r="G1972" s="156">
        <f>Tabla18[[#This Row],[Importe]]-Tabla18[[#This Row],[Pagado]]</f>
        <v>0</v>
      </c>
      <c r="H1972" s="75" t="s">
        <v>10</v>
      </c>
    </row>
    <row r="1973" spans="1:8" x14ac:dyDescent="0.25">
      <c r="A1973" s="148">
        <v>44761</v>
      </c>
      <c r="B1973" s="149" t="s">
        <v>23305</v>
      </c>
      <c r="C1973" s="153" t="s">
        <v>5043</v>
      </c>
      <c r="D1973" s="154">
        <v>3190.3</v>
      </c>
      <c r="E1973" s="155">
        <v>44763</v>
      </c>
      <c r="F1973" s="154">
        <v>3190.3</v>
      </c>
      <c r="G1973" s="156">
        <f>Tabla18[[#This Row],[Importe]]-Tabla18[[#This Row],[Pagado]]</f>
        <v>0</v>
      </c>
      <c r="H1973" s="153" t="s">
        <v>10</v>
      </c>
    </row>
    <row r="1974" spans="1:8" x14ac:dyDescent="0.25">
      <c r="A1974" s="73">
        <v>44761</v>
      </c>
      <c r="B1974" s="74" t="s">
        <v>23306</v>
      </c>
      <c r="C1974" s="75" t="s">
        <v>64</v>
      </c>
      <c r="D1974" s="81">
        <v>5471.4</v>
      </c>
      <c r="E1974" s="151">
        <v>44762</v>
      </c>
      <c r="F1974" s="81">
        <v>5471.4</v>
      </c>
      <c r="G1974" s="156">
        <f>Tabla18[[#This Row],[Importe]]-Tabla18[[#This Row],[Pagado]]</f>
        <v>0</v>
      </c>
      <c r="H1974" s="75" t="s">
        <v>10</v>
      </c>
    </row>
    <row r="1975" spans="1:8" x14ac:dyDescent="0.25">
      <c r="A1975" s="148">
        <v>44761</v>
      </c>
      <c r="B1975" s="149" t="s">
        <v>23307</v>
      </c>
      <c r="C1975" s="153" t="s">
        <v>2151</v>
      </c>
      <c r="D1975" s="154">
        <v>25290.1</v>
      </c>
      <c r="E1975" s="155">
        <v>44761</v>
      </c>
      <c r="F1975" s="154">
        <v>25290.1</v>
      </c>
      <c r="G1975" s="156">
        <f>Tabla18[[#This Row],[Importe]]-Tabla18[[#This Row],[Pagado]]</f>
        <v>0</v>
      </c>
      <c r="H1975" s="153" t="s">
        <v>10</v>
      </c>
    </row>
    <row r="1976" spans="1:8" x14ac:dyDescent="0.25">
      <c r="A1976" s="73">
        <v>44761</v>
      </c>
      <c r="B1976" s="74" t="s">
        <v>23308</v>
      </c>
      <c r="C1976" s="75" t="s">
        <v>105</v>
      </c>
      <c r="D1976" s="81">
        <v>5657.6</v>
      </c>
      <c r="E1976" s="151">
        <v>44762</v>
      </c>
      <c r="F1976" s="81">
        <v>5657.6</v>
      </c>
      <c r="G1976" s="156">
        <f>Tabla18[[#This Row],[Importe]]-Tabla18[[#This Row],[Pagado]]</f>
        <v>0</v>
      </c>
      <c r="H1976" s="75" t="s">
        <v>10</v>
      </c>
    </row>
    <row r="1977" spans="1:8" x14ac:dyDescent="0.25">
      <c r="A1977" s="148">
        <v>44761</v>
      </c>
      <c r="B1977" s="149" t="s">
        <v>23309</v>
      </c>
      <c r="C1977" s="153" t="s">
        <v>99</v>
      </c>
      <c r="D1977" s="154">
        <v>2336.3000000000002</v>
      </c>
      <c r="E1977" s="155">
        <v>44763</v>
      </c>
      <c r="F1977" s="154">
        <v>2336.3000000000002</v>
      </c>
      <c r="G1977" s="156">
        <f>Tabla18[[#This Row],[Importe]]-Tabla18[[#This Row],[Pagado]]</f>
        <v>0</v>
      </c>
      <c r="H1977" s="153" t="s">
        <v>10</v>
      </c>
    </row>
    <row r="1978" spans="1:8" x14ac:dyDescent="0.25">
      <c r="A1978" s="73">
        <v>44761</v>
      </c>
      <c r="B1978" s="74" t="s">
        <v>23310</v>
      </c>
      <c r="C1978" s="75" t="s">
        <v>111</v>
      </c>
      <c r="D1978" s="81">
        <v>5632</v>
      </c>
      <c r="E1978" s="151">
        <v>44763</v>
      </c>
      <c r="F1978" s="81">
        <v>5632</v>
      </c>
      <c r="G1978" s="156">
        <f>Tabla18[[#This Row],[Importe]]-Tabla18[[#This Row],[Pagado]]</f>
        <v>0</v>
      </c>
      <c r="H1978" s="75" t="s">
        <v>10</v>
      </c>
    </row>
    <row r="1979" spans="1:8" x14ac:dyDescent="0.25">
      <c r="A1979" s="148">
        <v>44761</v>
      </c>
      <c r="B1979" s="149" t="s">
        <v>23311</v>
      </c>
      <c r="C1979" s="153" t="s">
        <v>89</v>
      </c>
      <c r="D1979" s="154">
        <v>10143.799999999999</v>
      </c>
      <c r="E1979" s="155">
        <v>44762</v>
      </c>
      <c r="F1979" s="154">
        <v>10143.799999999999</v>
      </c>
      <c r="G1979" s="156">
        <f>Tabla18[[#This Row],[Importe]]-Tabla18[[#This Row],[Pagado]]</f>
        <v>0</v>
      </c>
      <c r="H1979" s="153" t="s">
        <v>10</v>
      </c>
    </row>
    <row r="1980" spans="1:8" ht="31.5" x14ac:dyDescent="0.25">
      <c r="A1980" s="73">
        <v>44761</v>
      </c>
      <c r="B1980" s="74" t="s">
        <v>23312</v>
      </c>
      <c r="C1980" s="75" t="s">
        <v>93</v>
      </c>
      <c r="D1980" s="81">
        <v>11424</v>
      </c>
      <c r="E1980" s="147" t="s">
        <v>23313</v>
      </c>
      <c r="F1980" s="81">
        <f>1800+9624</f>
        <v>11424</v>
      </c>
      <c r="G1980" s="156">
        <f>Tabla18[[#This Row],[Importe]]-Tabla18[[#This Row],[Pagado]]</f>
        <v>0</v>
      </c>
      <c r="H1980" s="75" t="s">
        <v>10</v>
      </c>
    </row>
    <row r="1981" spans="1:8" x14ac:dyDescent="0.25">
      <c r="A1981" s="148">
        <v>44761</v>
      </c>
      <c r="B1981" s="149" t="s">
        <v>23314</v>
      </c>
      <c r="C1981" s="153" t="s">
        <v>345</v>
      </c>
      <c r="D1981" s="154">
        <v>1512</v>
      </c>
      <c r="E1981" s="155">
        <v>44761</v>
      </c>
      <c r="F1981" s="154">
        <v>1512</v>
      </c>
      <c r="G1981" s="156">
        <f>Tabla18[[#This Row],[Importe]]-Tabla18[[#This Row],[Pagado]]</f>
        <v>0</v>
      </c>
      <c r="H1981" s="153" t="s">
        <v>10</v>
      </c>
    </row>
    <row r="1982" spans="1:8" x14ac:dyDescent="0.25">
      <c r="A1982" s="73">
        <v>44761</v>
      </c>
      <c r="B1982" s="74" t="s">
        <v>23315</v>
      </c>
      <c r="C1982" s="75" t="s">
        <v>918</v>
      </c>
      <c r="D1982" s="81">
        <v>1666</v>
      </c>
      <c r="E1982" s="151">
        <v>44761</v>
      </c>
      <c r="F1982" s="81">
        <v>1666</v>
      </c>
      <c r="G1982" s="156">
        <f>Tabla18[[#This Row],[Importe]]-Tabla18[[#This Row],[Pagado]]</f>
        <v>0</v>
      </c>
      <c r="H1982" s="75" t="s">
        <v>10</v>
      </c>
    </row>
    <row r="1983" spans="1:8" x14ac:dyDescent="0.25">
      <c r="A1983" s="148">
        <v>44761</v>
      </c>
      <c r="B1983" s="149" t="s">
        <v>23316</v>
      </c>
      <c r="C1983" s="153" t="s">
        <v>9</v>
      </c>
      <c r="D1983" s="154">
        <v>8000.4</v>
      </c>
      <c r="E1983" s="155">
        <v>44761</v>
      </c>
      <c r="F1983" s="154">
        <v>8000.4</v>
      </c>
      <c r="G1983" s="156">
        <f>Tabla18[[#This Row],[Importe]]-Tabla18[[#This Row],[Pagado]]</f>
        <v>0</v>
      </c>
      <c r="H1983" s="153" t="s">
        <v>10</v>
      </c>
    </row>
    <row r="1984" spans="1:8" x14ac:dyDescent="0.25">
      <c r="A1984" s="73">
        <v>44761</v>
      </c>
      <c r="B1984" s="74" t="s">
        <v>23317</v>
      </c>
      <c r="C1984" s="75" t="s">
        <v>481</v>
      </c>
      <c r="D1984" s="81">
        <v>802.8</v>
      </c>
      <c r="E1984" s="151">
        <v>44761</v>
      </c>
      <c r="F1984" s="81">
        <v>802.8</v>
      </c>
      <c r="G1984" s="156">
        <f>Tabla18[[#This Row],[Importe]]-Tabla18[[#This Row],[Pagado]]</f>
        <v>0</v>
      </c>
      <c r="H1984" s="75" t="s">
        <v>10</v>
      </c>
    </row>
    <row r="1985" spans="1:8" x14ac:dyDescent="0.25">
      <c r="A1985" s="148">
        <v>44761</v>
      </c>
      <c r="B1985" s="149" t="s">
        <v>23318</v>
      </c>
      <c r="C1985" s="153" t="s">
        <v>275</v>
      </c>
      <c r="D1985" s="154">
        <v>100155.05</v>
      </c>
      <c r="E1985" s="155">
        <v>44778</v>
      </c>
      <c r="F1985" s="154">
        <v>100155.05</v>
      </c>
      <c r="G1985" s="156">
        <f>Tabla18[[#This Row],[Importe]]-Tabla18[[#This Row],[Pagado]]</f>
        <v>0</v>
      </c>
      <c r="H1985" s="153" t="s">
        <v>10</v>
      </c>
    </row>
    <row r="1986" spans="1:8" x14ac:dyDescent="0.25">
      <c r="A1986" s="73">
        <v>44761</v>
      </c>
      <c r="B1986" s="74" t="s">
        <v>23319</v>
      </c>
      <c r="C1986" s="75" t="s">
        <v>142</v>
      </c>
      <c r="D1986" s="81">
        <v>70509.3</v>
      </c>
      <c r="E1986" s="151">
        <v>44799</v>
      </c>
      <c r="F1986" s="81">
        <v>70509.3</v>
      </c>
      <c r="G1986" s="156">
        <f>Tabla18[[#This Row],[Importe]]-Tabla18[[#This Row],[Pagado]]</f>
        <v>0</v>
      </c>
      <c r="H1986" s="75" t="s">
        <v>10</v>
      </c>
    </row>
    <row r="1987" spans="1:8" x14ac:dyDescent="0.25">
      <c r="A1987" s="148">
        <v>44761</v>
      </c>
      <c r="B1987" s="149" t="s">
        <v>23320</v>
      </c>
      <c r="C1987" s="153" t="s">
        <v>840</v>
      </c>
      <c r="D1987" s="154">
        <v>23688.3</v>
      </c>
      <c r="E1987" s="155">
        <v>44761</v>
      </c>
      <c r="F1987" s="154">
        <v>23688.3</v>
      </c>
      <c r="G1987" s="156">
        <f>Tabla18[[#This Row],[Importe]]-Tabla18[[#This Row],[Pagado]]</f>
        <v>0</v>
      </c>
      <c r="H1987" s="153" t="s">
        <v>10</v>
      </c>
    </row>
    <row r="1988" spans="1:8" x14ac:dyDescent="0.25">
      <c r="A1988" s="73">
        <v>44761</v>
      </c>
      <c r="B1988" s="74" t="s">
        <v>23321</v>
      </c>
      <c r="C1988" s="75" t="s">
        <v>11033</v>
      </c>
      <c r="D1988" s="81">
        <v>1950.5</v>
      </c>
      <c r="E1988" s="151">
        <v>44761</v>
      </c>
      <c r="F1988" s="81">
        <v>1950.5</v>
      </c>
      <c r="G1988" s="156">
        <f>Tabla18[[#This Row],[Importe]]-Tabla18[[#This Row],[Pagado]]</f>
        <v>0</v>
      </c>
      <c r="H1988" s="75" t="s">
        <v>10</v>
      </c>
    </row>
    <row r="1989" spans="1:8" ht="31.5" x14ac:dyDescent="0.25">
      <c r="A1989" s="148">
        <v>44761</v>
      </c>
      <c r="B1989" s="149" t="s">
        <v>23322</v>
      </c>
      <c r="C1989" s="153" t="s">
        <v>22</v>
      </c>
      <c r="D1989" s="154">
        <v>35159.1</v>
      </c>
      <c r="E1989" s="150" t="s">
        <v>23323</v>
      </c>
      <c r="F1989" s="154">
        <f>32000+3159.1</f>
        <v>35159.1</v>
      </c>
      <c r="G1989" s="156">
        <f>Tabla18[[#This Row],[Importe]]-Tabla18[[#This Row],[Pagado]]</f>
        <v>0</v>
      </c>
      <c r="H1989" s="153" t="s">
        <v>10</v>
      </c>
    </row>
    <row r="1990" spans="1:8" x14ac:dyDescent="0.25">
      <c r="A1990" s="73">
        <v>44761</v>
      </c>
      <c r="B1990" s="74" t="s">
        <v>23324</v>
      </c>
      <c r="C1990" s="75" t="s">
        <v>840</v>
      </c>
      <c r="D1990" s="81">
        <v>823.5</v>
      </c>
      <c r="E1990" s="151">
        <v>44761</v>
      </c>
      <c r="F1990" s="81">
        <v>823.5</v>
      </c>
      <c r="G1990" s="156">
        <f>Tabla18[[#This Row],[Importe]]-Tabla18[[#This Row],[Pagado]]</f>
        <v>0</v>
      </c>
      <c r="H1990" s="75" t="s">
        <v>10</v>
      </c>
    </row>
    <row r="1991" spans="1:8" x14ac:dyDescent="0.25">
      <c r="A1991" s="148">
        <v>44761</v>
      </c>
      <c r="B1991" s="149" t="s">
        <v>23325</v>
      </c>
      <c r="C1991" s="153" t="s">
        <v>16</v>
      </c>
      <c r="D1991" s="154">
        <v>6992.2</v>
      </c>
      <c r="E1991" s="155">
        <v>44761</v>
      </c>
      <c r="F1991" s="154">
        <v>6992.2</v>
      </c>
      <c r="G1991" s="156">
        <f>Tabla18[[#This Row],[Importe]]-Tabla18[[#This Row],[Pagado]]</f>
        <v>0</v>
      </c>
      <c r="H1991" s="153" t="s">
        <v>10</v>
      </c>
    </row>
    <row r="1992" spans="1:8" x14ac:dyDescent="0.25">
      <c r="A1992" s="73">
        <v>44761</v>
      </c>
      <c r="B1992" s="74" t="s">
        <v>23326</v>
      </c>
      <c r="C1992" s="75" t="s">
        <v>56</v>
      </c>
      <c r="D1992" s="81">
        <v>4890.6000000000004</v>
      </c>
      <c r="E1992" s="151">
        <v>44761</v>
      </c>
      <c r="F1992" s="81">
        <v>4890.6000000000004</v>
      </c>
      <c r="G1992" s="156">
        <f>Tabla18[[#This Row],[Importe]]-Tabla18[[#This Row],[Pagado]]</f>
        <v>0</v>
      </c>
      <c r="H1992" s="75" t="s">
        <v>10</v>
      </c>
    </row>
    <row r="1993" spans="1:8" x14ac:dyDescent="0.25">
      <c r="A1993" s="148">
        <v>44761</v>
      </c>
      <c r="B1993" s="149" t="s">
        <v>23327</v>
      </c>
      <c r="C1993" s="153" t="s">
        <v>196</v>
      </c>
      <c r="D1993" s="154">
        <v>16361.3</v>
      </c>
      <c r="E1993" s="155">
        <v>44765</v>
      </c>
      <c r="F1993" s="154">
        <v>16361.3</v>
      </c>
      <c r="G1993" s="156">
        <f>Tabla18[[#This Row],[Importe]]-Tabla18[[#This Row],[Pagado]]</f>
        <v>0</v>
      </c>
      <c r="H1993" s="153" t="s">
        <v>10</v>
      </c>
    </row>
    <row r="1994" spans="1:8" x14ac:dyDescent="0.25">
      <c r="A1994" s="73">
        <v>44761</v>
      </c>
      <c r="B1994" s="74" t="s">
        <v>23328</v>
      </c>
      <c r="C1994" s="75" t="s">
        <v>53</v>
      </c>
      <c r="D1994" s="81">
        <v>2304.6999999999998</v>
      </c>
      <c r="E1994" s="151">
        <v>44761</v>
      </c>
      <c r="F1994" s="81">
        <v>2304.6999999999998</v>
      </c>
      <c r="G1994" s="156">
        <f>Tabla18[[#This Row],[Importe]]-Tabla18[[#This Row],[Pagado]]</f>
        <v>0</v>
      </c>
      <c r="H1994" s="75" t="s">
        <v>10</v>
      </c>
    </row>
    <row r="1995" spans="1:8" x14ac:dyDescent="0.25">
      <c r="A1995" s="148">
        <v>44761</v>
      </c>
      <c r="B1995" s="149" t="s">
        <v>23329</v>
      </c>
      <c r="C1995" s="153" t="s">
        <v>45</v>
      </c>
      <c r="D1995" s="154">
        <v>14350.8</v>
      </c>
      <c r="E1995" s="155">
        <v>44761</v>
      </c>
      <c r="F1995" s="154">
        <v>14350.8</v>
      </c>
      <c r="G1995" s="156">
        <f>Tabla18[[#This Row],[Importe]]-Tabla18[[#This Row],[Pagado]]</f>
        <v>0</v>
      </c>
      <c r="H1995" s="153" t="s">
        <v>10</v>
      </c>
    </row>
    <row r="1996" spans="1:8" x14ac:dyDescent="0.25">
      <c r="A1996" s="73">
        <v>44761</v>
      </c>
      <c r="B1996" s="74" t="s">
        <v>23330</v>
      </c>
      <c r="C1996" s="75" t="s">
        <v>24</v>
      </c>
      <c r="D1996" s="81">
        <v>4954.7</v>
      </c>
      <c r="E1996" s="151">
        <v>44761</v>
      </c>
      <c r="F1996" s="81">
        <v>4954.7</v>
      </c>
      <c r="G1996" s="156">
        <f>Tabla18[[#This Row],[Importe]]-Tabla18[[#This Row],[Pagado]]</f>
        <v>0</v>
      </c>
      <c r="H1996" s="75" t="s">
        <v>10</v>
      </c>
    </row>
    <row r="1997" spans="1:8" x14ac:dyDescent="0.25">
      <c r="A1997" s="148">
        <v>44761</v>
      </c>
      <c r="B1997" s="149" t="s">
        <v>23331</v>
      </c>
      <c r="C1997" s="153" t="s">
        <v>49</v>
      </c>
      <c r="D1997" s="154">
        <v>3757</v>
      </c>
      <c r="E1997" s="155">
        <v>44761</v>
      </c>
      <c r="F1997" s="154">
        <v>3757</v>
      </c>
      <c r="G1997" s="156">
        <f>Tabla18[[#This Row],[Importe]]-Tabla18[[#This Row],[Pagado]]</f>
        <v>0</v>
      </c>
      <c r="H1997" s="153" t="s">
        <v>10</v>
      </c>
    </row>
    <row r="1998" spans="1:8" x14ac:dyDescent="0.25">
      <c r="A1998" s="73">
        <v>44761</v>
      </c>
      <c r="B1998" s="74" t="s">
        <v>23332</v>
      </c>
      <c r="C1998" s="75" t="s">
        <v>214</v>
      </c>
      <c r="D1998" s="81">
        <v>1396.2</v>
      </c>
      <c r="E1998" s="151">
        <v>44761</v>
      </c>
      <c r="F1998" s="81">
        <v>1396.2</v>
      </c>
      <c r="G1998" s="156">
        <f>Tabla18[[#This Row],[Importe]]-Tabla18[[#This Row],[Pagado]]</f>
        <v>0</v>
      </c>
      <c r="H1998" s="75" t="s">
        <v>10</v>
      </c>
    </row>
    <row r="1999" spans="1:8" x14ac:dyDescent="0.25">
      <c r="A1999" s="148">
        <v>44761</v>
      </c>
      <c r="B1999" s="149" t="s">
        <v>23333</v>
      </c>
      <c r="C1999" s="153" t="s">
        <v>129</v>
      </c>
      <c r="D1999" s="154">
        <v>5140.2</v>
      </c>
      <c r="E1999" s="155">
        <v>44761</v>
      </c>
      <c r="F1999" s="154">
        <v>5140.2</v>
      </c>
      <c r="G1999" s="156">
        <f>Tabla18[[#This Row],[Importe]]-Tabla18[[#This Row],[Pagado]]</f>
        <v>0</v>
      </c>
      <c r="H1999" s="153" t="s">
        <v>10</v>
      </c>
    </row>
    <row r="2000" spans="1:8" x14ac:dyDescent="0.25">
      <c r="A2000" s="73">
        <v>44761</v>
      </c>
      <c r="B2000" s="74" t="s">
        <v>23334</v>
      </c>
      <c r="C2000" s="75" t="s">
        <v>91</v>
      </c>
      <c r="D2000" s="81">
        <v>3900</v>
      </c>
      <c r="E2000" s="151">
        <v>44765</v>
      </c>
      <c r="F2000" s="81">
        <v>3900</v>
      </c>
      <c r="G2000" s="156">
        <f>Tabla18[[#This Row],[Importe]]-Tabla18[[#This Row],[Pagado]]</f>
        <v>0</v>
      </c>
      <c r="H2000" s="75" t="s">
        <v>10</v>
      </c>
    </row>
    <row r="2001" spans="1:8" x14ac:dyDescent="0.25">
      <c r="A2001" s="148">
        <v>44761</v>
      </c>
      <c r="B2001" s="149" t="s">
        <v>23335</v>
      </c>
      <c r="C2001" s="153" t="s">
        <v>466</v>
      </c>
      <c r="D2001" s="154">
        <v>15802.8</v>
      </c>
      <c r="E2001" s="155">
        <v>44761</v>
      </c>
      <c r="F2001" s="154">
        <v>15802.8</v>
      </c>
      <c r="G2001" s="156">
        <f>Tabla18[[#This Row],[Importe]]-Tabla18[[#This Row],[Pagado]]</f>
        <v>0</v>
      </c>
      <c r="H2001" s="153" t="s">
        <v>10</v>
      </c>
    </row>
    <row r="2002" spans="1:8" x14ac:dyDescent="0.25">
      <c r="A2002" s="73">
        <v>44761</v>
      </c>
      <c r="B2002" s="74" t="s">
        <v>23336</v>
      </c>
      <c r="C2002" s="75" t="s">
        <v>107</v>
      </c>
      <c r="D2002" s="81">
        <v>11986.9</v>
      </c>
      <c r="E2002" s="151">
        <v>44761</v>
      </c>
      <c r="F2002" s="81">
        <v>11986.9</v>
      </c>
      <c r="G2002" s="156">
        <f>Tabla18[[#This Row],[Importe]]-Tabla18[[#This Row],[Pagado]]</f>
        <v>0</v>
      </c>
      <c r="H2002" s="75" t="s">
        <v>10</v>
      </c>
    </row>
    <row r="2003" spans="1:8" x14ac:dyDescent="0.25">
      <c r="A2003" s="148">
        <v>44761</v>
      </c>
      <c r="B2003" s="149" t="s">
        <v>23337</v>
      </c>
      <c r="C2003" s="153" t="s">
        <v>357</v>
      </c>
      <c r="D2003" s="154">
        <v>4843.8</v>
      </c>
      <c r="E2003" s="155">
        <v>44761</v>
      </c>
      <c r="F2003" s="154">
        <v>4843.8</v>
      </c>
      <c r="G2003" s="156">
        <f>Tabla18[[#This Row],[Importe]]-Tabla18[[#This Row],[Pagado]]</f>
        <v>0</v>
      </c>
      <c r="H2003" s="153" t="s">
        <v>10</v>
      </c>
    </row>
    <row r="2004" spans="1:8" x14ac:dyDescent="0.25">
      <c r="A2004" s="73">
        <v>44761</v>
      </c>
      <c r="B2004" s="74" t="s">
        <v>23338</v>
      </c>
      <c r="C2004" s="75" t="s">
        <v>140</v>
      </c>
      <c r="D2004" s="81">
        <v>1417.5</v>
      </c>
      <c r="E2004" s="151">
        <v>44761</v>
      </c>
      <c r="F2004" s="81">
        <v>1417.5</v>
      </c>
      <c r="G2004" s="156">
        <f>Tabla18[[#This Row],[Importe]]-Tabla18[[#This Row],[Pagado]]</f>
        <v>0</v>
      </c>
      <c r="H2004" s="75" t="s">
        <v>10</v>
      </c>
    </row>
    <row r="2005" spans="1:8" x14ac:dyDescent="0.25">
      <c r="A2005" s="148">
        <v>44761</v>
      </c>
      <c r="B2005" s="149" t="s">
        <v>23339</v>
      </c>
      <c r="C2005" s="153" t="s">
        <v>1362</v>
      </c>
      <c r="D2005" s="154">
        <v>2778.2</v>
      </c>
      <c r="E2005" s="155">
        <v>44761</v>
      </c>
      <c r="F2005" s="154">
        <v>2778.2</v>
      </c>
      <c r="G2005" s="156">
        <f>Tabla18[[#This Row],[Importe]]-Tabla18[[#This Row],[Pagado]]</f>
        <v>0</v>
      </c>
      <c r="H2005" s="153" t="s">
        <v>10</v>
      </c>
    </row>
    <row r="2006" spans="1:8" x14ac:dyDescent="0.25">
      <c r="A2006" s="73">
        <v>44761</v>
      </c>
      <c r="B2006" s="74" t="s">
        <v>23340</v>
      </c>
      <c r="C2006" s="75" t="s">
        <v>339</v>
      </c>
      <c r="D2006" s="81">
        <v>660</v>
      </c>
      <c r="E2006" s="151">
        <v>44761</v>
      </c>
      <c r="F2006" s="81">
        <v>660</v>
      </c>
      <c r="G2006" s="156">
        <f>Tabla18[[#This Row],[Importe]]-Tabla18[[#This Row],[Pagado]]</f>
        <v>0</v>
      </c>
      <c r="H2006" s="75" t="s">
        <v>10</v>
      </c>
    </row>
    <row r="2007" spans="1:8" x14ac:dyDescent="0.25">
      <c r="A2007" s="148">
        <v>44761</v>
      </c>
      <c r="B2007" s="149" t="s">
        <v>23341</v>
      </c>
      <c r="C2007" s="153" t="s">
        <v>698</v>
      </c>
      <c r="D2007" s="154">
        <v>6296.7</v>
      </c>
      <c r="E2007" s="155">
        <v>44761</v>
      </c>
      <c r="F2007" s="154">
        <v>6296.7</v>
      </c>
      <c r="G2007" s="156">
        <f>Tabla18[[#This Row],[Importe]]-Tabla18[[#This Row],[Pagado]]</f>
        <v>0</v>
      </c>
      <c r="H2007" s="153" t="s">
        <v>10</v>
      </c>
    </row>
    <row r="2008" spans="1:8" x14ac:dyDescent="0.25">
      <c r="A2008" s="73">
        <v>44761</v>
      </c>
      <c r="B2008" s="74" t="s">
        <v>23342</v>
      </c>
      <c r="C2008" s="75" t="s">
        <v>392</v>
      </c>
      <c r="D2008" s="81">
        <v>1591.2</v>
      </c>
      <c r="E2008" s="151">
        <v>44761</v>
      </c>
      <c r="F2008" s="81">
        <v>1591.2</v>
      </c>
      <c r="G2008" s="156">
        <f>Tabla18[[#This Row],[Importe]]-Tabla18[[#This Row],[Pagado]]</f>
        <v>0</v>
      </c>
      <c r="H2008" s="75" t="s">
        <v>10</v>
      </c>
    </row>
    <row r="2009" spans="1:8" x14ac:dyDescent="0.25">
      <c r="A2009" s="148">
        <v>44761</v>
      </c>
      <c r="B2009" s="149" t="s">
        <v>23343</v>
      </c>
      <c r="C2009" s="153" t="s">
        <v>520</v>
      </c>
      <c r="D2009" s="154">
        <v>26100</v>
      </c>
      <c r="E2009" s="155">
        <v>44761</v>
      </c>
      <c r="F2009" s="154">
        <v>26100</v>
      </c>
      <c r="G2009" s="156">
        <f>Tabla18[[#This Row],[Importe]]-Tabla18[[#This Row],[Pagado]]</f>
        <v>0</v>
      </c>
      <c r="H2009" s="153" t="s">
        <v>10</v>
      </c>
    </row>
    <row r="2010" spans="1:8" x14ac:dyDescent="0.25">
      <c r="A2010" s="73">
        <v>44761</v>
      </c>
      <c r="B2010" s="74" t="s">
        <v>23344</v>
      </c>
      <c r="C2010" s="75" t="s">
        <v>296</v>
      </c>
      <c r="D2010" s="81">
        <v>4945.3999999999996</v>
      </c>
      <c r="E2010" s="151">
        <v>44761</v>
      </c>
      <c r="F2010" s="81">
        <v>4945.3999999999996</v>
      </c>
      <c r="G2010" s="156">
        <f>Tabla18[[#This Row],[Importe]]-Tabla18[[#This Row],[Pagado]]</f>
        <v>0</v>
      </c>
      <c r="H2010" s="75" t="s">
        <v>10</v>
      </c>
    </row>
    <row r="2011" spans="1:8" x14ac:dyDescent="0.25">
      <c r="A2011" s="148">
        <v>44761</v>
      </c>
      <c r="B2011" s="149" t="s">
        <v>23345</v>
      </c>
      <c r="C2011" s="153" t="s">
        <v>191</v>
      </c>
      <c r="D2011" s="154">
        <v>2158</v>
      </c>
      <c r="E2011" s="155">
        <v>44761</v>
      </c>
      <c r="F2011" s="154">
        <v>2158</v>
      </c>
      <c r="G2011" s="156">
        <f>Tabla18[[#This Row],[Importe]]-Tabla18[[#This Row],[Pagado]]</f>
        <v>0</v>
      </c>
      <c r="H2011" s="153" t="s">
        <v>10</v>
      </c>
    </row>
    <row r="2012" spans="1:8" x14ac:dyDescent="0.25">
      <c r="A2012" s="73">
        <v>44761</v>
      </c>
      <c r="B2012" s="74" t="s">
        <v>23346</v>
      </c>
      <c r="C2012" s="75" t="s">
        <v>319</v>
      </c>
      <c r="D2012" s="81">
        <v>10165</v>
      </c>
      <c r="E2012" s="151">
        <v>44761</v>
      </c>
      <c r="F2012" s="81">
        <v>10165</v>
      </c>
      <c r="G2012" s="156">
        <f>Tabla18[[#This Row],[Importe]]-Tabla18[[#This Row],[Pagado]]</f>
        <v>0</v>
      </c>
      <c r="H2012" s="75" t="s">
        <v>10</v>
      </c>
    </row>
    <row r="2013" spans="1:8" x14ac:dyDescent="0.25">
      <c r="A2013" s="148">
        <v>44761</v>
      </c>
      <c r="B2013" s="149" t="s">
        <v>23347</v>
      </c>
      <c r="C2013" s="153" t="s">
        <v>151</v>
      </c>
      <c r="D2013" s="154">
        <v>31178.6</v>
      </c>
      <c r="E2013" s="155">
        <v>44761</v>
      </c>
      <c r="F2013" s="154">
        <v>31178.6</v>
      </c>
      <c r="G2013" s="156">
        <f>Tabla18[[#This Row],[Importe]]-Tabla18[[#This Row],[Pagado]]</f>
        <v>0</v>
      </c>
      <c r="H2013" s="153" t="s">
        <v>10</v>
      </c>
    </row>
    <row r="2014" spans="1:8" x14ac:dyDescent="0.25">
      <c r="A2014" s="73">
        <v>44761</v>
      </c>
      <c r="B2014" s="74" t="s">
        <v>23348</v>
      </c>
      <c r="C2014" s="75" t="s">
        <v>214</v>
      </c>
      <c r="D2014" s="81">
        <v>11456.2</v>
      </c>
      <c r="E2014" s="151">
        <v>44761</v>
      </c>
      <c r="F2014" s="81">
        <v>11456.2</v>
      </c>
      <c r="G2014" s="156">
        <f>Tabla18[[#This Row],[Importe]]-Tabla18[[#This Row],[Pagado]]</f>
        <v>0</v>
      </c>
      <c r="H2014" s="75" t="s">
        <v>10</v>
      </c>
    </row>
    <row r="2015" spans="1:8" x14ac:dyDescent="0.25">
      <c r="A2015" s="148">
        <v>44761</v>
      </c>
      <c r="B2015" s="149" t="s">
        <v>23349</v>
      </c>
      <c r="C2015" s="153" t="s">
        <v>127</v>
      </c>
      <c r="D2015" s="154">
        <v>1394.4</v>
      </c>
      <c r="E2015" s="155">
        <v>44761</v>
      </c>
      <c r="F2015" s="154">
        <v>1394.4</v>
      </c>
      <c r="G2015" s="156">
        <f>Tabla18[[#This Row],[Importe]]-Tabla18[[#This Row],[Pagado]]</f>
        <v>0</v>
      </c>
      <c r="H2015" s="153" t="s">
        <v>10</v>
      </c>
    </row>
    <row r="2016" spans="1:8" x14ac:dyDescent="0.25">
      <c r="A2016" s="73">
        <v>44761</v>
      </c>
      <c r="B2016" s="74" t="s">
        <v>23350</v>
      </c>
      <c r="C2016" s="75" t="s">
        <v>146</v>
      </c>
      <c r="D2016" s="81">
        <v>2284.8000000000002</v>
      </c>
      <c r="E2016" s="151">
        <v>44761</v>
      </c>
      <c r="F2016" s="81">
        <v>2284.8000000000002</v>
      </c>
      <c r="G2016" s="156">
        <f>Tabla18[[#This Row],[Importe]]-Tabla18[[#This Row],[Pagado]]</f>
        <v>0</v>
      </c>
      <c r="H2016" s="75" t="s">
        <v>10</v>
      </c>
    </row>
    <row r="2017" spans="1:8" x14ac:dyDescent="0.25">
      <c r="A2017" s="148">
        <v>44761</v>
      </c>
      <c r="B2017" s="149" t="s">
        <v>23351</v>
      </c>
      <c r="C2017" s="153" t="s">
        <v>157</v>
      </c>
      <c r="D2017" s="154">
        <v>5302</v>
      </c>
      <c r="E2017" s="155">
        <v>44761</v>
      </c>
      <c r="F2017" s="154">
        <v>5302</v>
      </c>
      <c r="G2017" s="156">
        <f>Tabla18[[#This Row],[Importe]]-Tabla18[[#This Row],[Pagado]]</f>
        <v>0</v>
      </c>
      <c r="H2017" s="153" t="s">
        <v>10</v>
      </c>
    </row>
    <row r="2018" spans="1:8" x14ac:dyDescent="0.25">
      <c r="A2018" s="73">
        <v>44761</v>
      </c>
      <c r="B2018" s="74" t="s">
        <v>23352</v>
      </c>
      <c r="C2018" s="75" t="s">
        <v>520</v>
      </c>
      <c r="D2018" s="81">
        <v>13225.02</v>
      </c>
      <c r="E2018" s="151">
        <v>44761</v>
      </c>
      <c r="F2018" s="81">
        <v>13225.02</v>
      </c>
      <c r="G2018" s="156">
        <f>Tabla18[[#This Row],[Importe]]-Tabla18[[#This Row],[Pagado]]</f>
        <v>0</v>
      </c>
      <c r="H2018" s="75" t="s">
        <v>10</v>
      </c>
    </row>
    <row r="2019" spans="1:8" x14ac:dyDescent="0.25">
      <c r="A2019" s="148">
        <v>44761</v>
      </c>
      <c r="B2019" s="149" t="s">
        <v>23353</v>
      </c>
      <c r="C2019" s="153" t="s">
        <v>10190</v>
      </c>
      <c r="D2019" s="154">
        <v>19860.599999999999</v>
      </c>
      <c r="E2019" s="155">
        <v>44761</v>
      </c>
      <c r="F2019" s="154">
        <v>19860.599999999999</v>
      </c>
      <c r="G2019" s="156">
        <f>Tabla18[[#This Row],[Importe]]-Tabla18[[#This Row],[Pagado]]</f>
        <v>0</v>
      </c>
      <c r="H2019" s="153" t="s">
        <v>10</v>
      </c>
    </row>
    <row r="2020" spans="1:8" x14ac:dyDescent="0.25">
      <c r="A2020" s="73">
        <v>44761</v>
      </c>
      <c r="B2020" s="74" t="s">
        <v>23354</v>
      </c>
      <c r="C2020" s="75" t="s">
        <v>159</v>
      </c>
      <c r="D2020" s="81">
        <v>2576.6999999999998</v>
      </c>
      <c r="E2020" s="151">
        <v>44761</v>
      </c>
      <c r="F2020" s="81">
        <v>2576.6999999999998</v>
      </c>
      <c r="G2020" s="156">
        <f>Tabla18[[#This Row],[Importe]]-Tabla18[[#This Row],[Pagado]]</f>
        <v>0</v>
      </c>
      <c r="H2020" s="75" t="s">
        <v>10</v>
      </c>
    </row>
    <row r="2021" spans="1:8" x14ac:dyDescent="0.25">
      <c r="A2021" s="148">
        <v>44761</v>
      </c>
      <c r="B2021" s="149" t="s">
        <v>23355</v>
      </c>
      <c r="C2021" s="153" t="s">
        <v>31</v>
      </c>
      <c r="D2021" s="154">
        <v>1443</v>
      </c>
      <c r="E2021" s="155">
        <v>44761</v>
      </c>
      <c r="F2021" s="154">
        <v>1443</v>
      </c>
      <c r="G2021" s="156">
        <f>Tabla18[[#This Row],[Importe]]-Tabla18[[#This Row],[Pagado]]</f>
        <v>0</v>
      </c>
      <c r="H2021" s="153" t="s">
        <v>10</v>
      </c>
    </row>
    <row r="2022" spans="1:8" x14ac:dyDescent="0.25">
      <c r="A2022" s="73">
        <v>44761</v>
      </c>
      <c r="B2022" s="74" t="s">
        <v>23356</v>
      </c>
      <c r="C2022" s="75" t="s">
        <v>175</v>
      </c>
      <c r="D2022" s="81">
        <v>10870.2</v>
      </c>
      <c r="E2022" s="151">
        <v>44761</v>
      </c>
      <c r="F2022" s="81">
        <v>10870.2</v>
      </c>
      <c r="G2022" s="156">
        <f>Tabla18[[#This Row],[Importe]]-Tabla18[[#This Row],[Pagado]]</f>
        <v>0</v>
      </c>
      <c r="H2022" s="75" t="s">
        <v>10</v>
      </c>
    </row>
    <row r="2023" spans="1:8" x14ac:dyDescent="0.25">
      <c r="A2023" s="148">
        <v>44761</v>
      </c>
      <c r="B2023" s="149" t="s">
        <v>23357</v>
      </c>
      <c r="C2023" s="153" t="s">
        <v>426</v>
      </c>
      <c r="D2023" s="154">
        <v>5086.8</v>
      </c>
      <c r="E2023" s="155">
        <v>44761</v>
      </c>
      <c r="F2023" s="154">
        <v>5086.8</v>
      </c>
      <c r="G2023" s="156">
        <f>Tabla18[[#This Row],[Importe]]-Tabla18[[#This Row],[Pagado]]</f>
        <v>0</v>
      </c>
      <c r="H2023" s="153" t="s">
        <v>10</v>
      </c>
    </row>
    <row r="2024" spans="1:8" x14ac:dyDescent="0.25">
      <c r="A2024" s="73">
        <v>44761</v>
      </c>
      <c r="B2024" s="74" t="s">
        <v>23358</v>
      </c>
      <c r="C2024" s="75" t="s">
        <v>359</v>
      </c>
      <c r="D2024" s="81">
        <v>408</v>
      </c>
      <c r="E2024" s="151">
        <v>44761</v>
      </c>
      <c r="F2024" s="81">
        <v>408</v>
      </c>
      <c r="G2024" s="156">
        <f>Tabla18[[#This Row],[Importe]]-Tabla18[[#This Row],[Pagado]]</f>
        <v>0</v>
      </c>
      <c r="H2024" s="75" t="s">
        <v>10</v>
      </c>
    </row>
    <row r="2025" spans="1:8" x14ac:dyDescent="0.25">
      <c r="A2025" s="148">
        <v>44761</v>
      </c>
      <c r="B2025" s="149" t="s">
        <v>23359</v>
      </c>
      <c r="C2025" s="153" t="s">
        <v>419</v>
      </c>
      <c r="D2025" s="154">
        <v>4419.3999999999996</v>
      </c>
      <c r="E2025" s="155">
        <v>44761</v>
      </c>
      <c r="F2025" s="154">
        <v>4419.3999999999996</v>
      </c>
      <c r="G2025" s="156">
        <f>Tabla18[[#This Row],[Importe]]-Tabla18[[#This Row],[Pagado]]</f>
        <v>0</v>
      </c>
      <c r="H2025" s="153" t="s">
        <v>10</v>
      </c>
    </row>
    <row r="2026" spans="1:8" x14ac:dyDescent="0.25">
      <c r="A2026" s="73">
        <v>44761</v>
      </c>
      <c r="B2026" s="74" t="s">
        <v>23360</v>
      </c>
      <c r="C2026" s="75" t="s">
        <v>58</v>
      </c>
      <c r="D2026" s="81">
        <v>2324.1</v>
      </c>
      <c r="E2026" s="151">
        <v>44761</v>
      </c>
      <c r="F2026" s="81">
        <v>2324.1</v>
      </c>
      <c r="G2026" s="156">
        <f>Tabla18[[#This Row],[Importe]]-Tabla18[[#This Row],[Pagado]]</f>
        <v>0</v>
      </c>
      <c r="H2026" s="75" t="s">
        <v>10</v>
      </c>
    </row>
    <row r="2027" spans="1:8" x14ac:dyDescent="0.25">
      <c r="A2027" s="148">
        <v>44761</v>
      </c>
      <c r="B2027" s="149" t="s">
        <v>23361</v>
      </c>
      <c r="C2027" s="153" t="s">
        <v>296</v>
      </c>
      <c r="D2027" s="154">
        <v>948</v>
      </c>
      <c r="E2027" s="155">
        <v>44761</v>
      </c>
      <c r="F2027" s="154">
        <v>948</v>
      </c>
      <c r="G2027" s="156">
        <f>Tabla18[[#This Row],[Importe]]-Tabla18[[#This Row],[Pagado]]</f>
        <v>0</v>
      </c>
      <c r="H2027" s="153" t="s">
        <v>10</v>
      </c>
    </row>
    <row r="2028" spans="1:8" x14ac:dyDescent="0.25">
      <c r="A2028" s="73">
        <v>44761</v>
      </c>
      <c r="B2028" s="74" t="s">
        <v>23362</v>
      </c>
      <c r="C2028" s="75" t="s">
        <v>67</v>
      </c>
      <c r="D2028" s="81">
        <v>1435.2</v>
      </c>
      <c r="E2028" s="151">
        <v>44761</v>
      </c>
      <c r="F2028" s="81">
        <v>1435.2</v>
      </c>
      <c r="G2028" s="156">
        <f>Tabla18[[#This Row],[Importe]]-Tabla18[[#This Row],[Pagado]]</f>
        <v>0</v>
      </c>
      <c r="H2028" s="75" t="s">
        <v>10</v>
      </c>
    </row>
    <row r="2029" spans="1:8" x14ac:dyDescent="0.25">
      <c r="A2029" s="148">
        <v>44761</v>
      </c>
      <c r="B2029" s="149" t="s">
        <v>23363</v>
      </c>
      <c r="C2029" s="153" t="s">
        <v>31</v>
      </c>
      <c r="D2029" s="154">
        <v>1973.4</v>
      </c>
      <c r="E2029" s="155">
        <v>44761</v>
      </c>
      <c r="F2029" s="154">
        <v>1973.4</v>
      </c>
      <c r="G2029" s="156">
        <f>Tabla18[[#This Row],[Importe]]-Tabla18[[#This Row],[Pagado]]</f>
        <v>0</v>
      </c>
      <c r="H2029" s="153" t="s">
        <v>10</v>
      </c>
    </row>
    <row r="2030" spans="1:8" x14ac:dyDescent="0.25">
      <c r="A2030" s="73">
        <v>44761</v>
      </c>
      <c r="B2030" s="74" t="s">
        <v>23364</v>
      </c>
      <c r="C2030" s="75" t="s">
        <v>440</v>
      </c>
      <c r="D2030" s="81">
        <v>10525.24</v>
      </c>
      <c r="E2030" s="151">
        <v>44768</v>
      </c>
      <c r="F2030" s="81">
        <v>10525.24</v>
      </c>
      <c r="G2030" s="156">
        <f>Tabla18[[#This Row],[Importe]]-Tabla18[[#This Row],[Pagado]]</f>
        <v>0</v>
      </c>
      <c r="H2030" s="75" t="s">
        <v>10</v>
      </c>
    </row>
    <row r="2031" spans="1:8" x14ac:dyDescent="0.25">
      <c r="A2031" s="148">
        <v>44761</v>
      </c>
      <c r="B2031" s="149" t="s">
        <v>23365</v>
      </c>
      <c r="C2031" s="153" t="s">
        <v>433</v>
      </c>
      <c r="D2031" s="154">
        <v>31200</v>
      </c>
      <c r="E2031" s="155">
        <v>44761</v>
      </c>
      <c r="F2031" s="154">
        <v>31200</v>
      </c>
      <c r="G2031" s="156">
        <f>Tabla18[[#This Row],[Importe]]-Tabla18[[#This Row],[Pagado]]</f>
        <v>0</v>
      </c>
      <c r="H2031" s="153" t="s">
        <v>10</v>
      </c>
    </row>
    <row r="2032" spans="1:8" x14ac:dyDescent="0.25">
      <c r="A2032" s="73">
        <v>44761</v>
      </c>
      <c r="B2032" s="74" t="s">
        <v>23366</v>
      </c>
      <c r="C2032" s="75" t="s">
        <v>452</v>
      </c>
      <c r="D2032" s="81">
        <v>4080</v>
      </c>
      <c r="E2032" s="151">
        <v>44761</v>
      </c>
      <c r="F2032" s="81">
        <v>4080</v>
      </c>
      <c r="G2032" s="156">
        <f>Tabla18[[#This Row],[Importe]]-Tabla18[[#This Row],[Pagado]]</f>
        <v>0</v>
      </c>
      <c r="H2032" s="75" t="s">
        <v>10</v>
      </c>
    </row>
    <row r="2033" spans="1:8" x14ac:dyDescent="0.25">
      <c r="A2033" s="148">
        <v>44761</v>
      </c>
      <c r="B2033" s="149" t="s">
        <v>23367</v>
      </c>
      <c r="C2033" s="153" t="s">
        <v>31</v>
      </c>
      <c r="D2033" s="154">
        <v>336</v>
      </c>
      <c r="E2033" s="155">
        <v>44761</v>
      </c>
      <c r="F2033" s="154">
        <v>336</v>
      </c>
      <c r="G2033" s="156">
        <f>Tabla18[[#This Row],[Importe]]-Tabla18[[#This Row],[Pagado]]</f>
        <v>0</v>
      </c>
      <c r="H2033" s="153" t="s">
        <v>10</v>
      </c>
    </row>
    <row r="2034" spans="1:8" x14ac:dyDescent="0.25">
      <c r="A2034" s="73">
        <v>44761</v>
      </c>
      <c r="B2034" s="74" t="s">
        <v>23368</v>
      </c>
      <c r="C2034" s="75" t="s">
        <v>647</v>
      </c>
      <c r="D2034" s="81">
        <v>1155</v>
      </c>
      <c r="E2034" s="151">
        <v>44761</v>
      </c>
      <c r="F2034" s="81">
        <v>1155</v>
      </c>
      <c r="G2034" s="156">
        <f>Tabla18[[#This Row],[Importe]]-Tabla18[[#This Row],[Pagado]]</f>
        <v>0</v>
      </c>
      <c r="H2034" s="75" t="s">
        <v>10</v>
      </c>
    </row>
    <row r="2035" spans="1:8" x14ac:dyDescent="0.25">
      <c r="A2035" s="148">
        <v>44761</v>
      </c>
      <c r="B2035" s="149" t="s">
        <v>23369</v>
      </c>
      <c r="C2035" s="153" t="s">
        <v>484</v>
      </c>
      <c r="D2035" s="154">
        <v>1600</v>
      </c>
      <c r="E2035" s="155">
        <v>44761</v>
      </c>
      <c r="F2035" s="154">
        <v>1600</v>
      </c>
      <c r="G2035" s="156">
        <f>Tabla18[[#This Row],[Importe]]-Tabla18[[#This Row],[Pagado]]</f>
        <v>0</v>
      </c>
      <c r="H2035" s="153" t="s">
        <v>10</v>
      </c>
    </row>
    <row r="2036" spans="1:8" x14ac:dyDescent="0.25">
      <c r="A2036" s="73">
        <v>44761</v>
      </c>
      <c r="B2036" s="74" t="s">
        <v>23370</v>
      </c>
      <c r="C2036" s="75" t="s">
        <v>7801</v>
      </c>
      <c r="D2036" s="81">
        <v>11200</v>
      </c>
      <c r="E2036" s="151">
        <v>44761</v>
      </c>
      <c r="F2036" s="81">
        <v>11200</v>
      </c>
      <c r="G2036" s="156">
        <f>Tabla18[[#This Row],[Importe]]-Tabla18[[#This Row],[Pagado]]</f>
        <v>0</v>
      </c>
      <c r="H2036" s="75" t="s">
        <v>10</v>
      </c>
    </row>
    <row r="2037" spans="1:8" x14ac:dyDescent="0.25">
      <c r="A2037" s="148">
        <v>44761</v>
      </c>
      <c r="B2037" s="149" t="s">
        <v>23371</v>
      </c>
      <c r="C2037" s="153" t="s">
        <v>9415</v>
      </c>
      <c r="D2037" s="154">
        <v>17286.400000000001</v>
      </c>
      <c r="E2037" s="155">
        <v>44762</v>
      </c>
      <c r="F2037" s="154">
        <v>17286.400000000001</v>
      </c>
      <c r="G2037" s="156">
        <f>Tabla18[[#This Row],[Importe]]-Tabla18[[#This Row],[Pagado]]</f>
        <v>0</v>
      </c>
      <c r="H2037" s="153" t="s">
        <v>10</v>
      </c>
    </row>
    <row r="2038" spans="1:8" x14ac:dyDescent="0.25">
      <c r="A2038" s="73">
        <v>44761</v>
      </c>
      <c r="B2038" s="74" t="s">
        <v>23372</v>
      </c>
      <c r="C2038" s="75" t="s">
        <v>9993</v>
      </c>
      <c r="D2038" s="81">
        <v>57000</v>
      </c>
      <c r="E2038" s="151">
        <v>44761</v>
      </c>
      <c r="F2038" s="81">
        <v>57000</v>
      </c>
      <c r="G2038" s="156">
        <f>Tabla18[[#This Row],[Importe]]-Tabla18[[#This Row],[Pagado]]</f>
        <v>0</v>
      </c>
      <c r="H2038" s="75" t="s">
        <v>10</v>
      </c>
    </row>
    <row r="2039" spans="1:8" x14ac:dyDescent="0.25">
      <c r="A2039" s="148">
        <v>44761</v>
      </c>
      <c r="B2039" s="149" t="s">
        <v>23373</v>
      </c>
      <c r="C2039" s="153" t="s">
        <v>10678</v>
      </c>
      <c r="D2039" s="154">
        <v>1047.2</v>
      </c>
      <c r="E2039" s="155">
        <v>44761</v>
      </c>
      <c r="F2039" s="154">
        <v>1047.2</v>
      </c>
      <c r="G2039" s="156">
        <f>Tabla18[[#This Row],[Importe]]-Tabla18[[#This Row],[Pagado]]</f>
        <v>0</v>
      </c>
      <c r="H2039" s="153" t="s">
        <v>10</v>
      </c>
    </row>
    <row r="2040" spans="1:8" x14ac:dyDescent="0.25">
      <c r="A2040" s="73">
        <v>44761</v>
      </c>
      <c r="B2040" s="74" t="s">
        <v>23374</v>
      </c>
      <c r="C2040" s="75" t="s">
        <v>6252</v>
      </c>
      <c r="D2040" s="81">
        <v>0</v>
      </c>
      <c r="E2040" s="157" t="s">
        <v>189</v>
      </c>
      <c r="F2040" s="81">
        <v>0</v>
      </c>
      <c r="G2040" s="156">
        <f>Tabla18[[#This Row],[Importe]]-Tabla18[[#This Row],[Pagado]]</f>
        <v>0</v>
      </c>
      <c r="H2040" s="161" t="s">
        <v>23375</v>
      </c>
    </row>
    <row r="2041" spans="1:8" x14ac:dyDescent="0.25">
      <c r="A2041" s="148">
        <v>44761</v>
      </c>
      <c r="B2041" s="149" t="s">
        <v>23376</v>
      </c>
      <c r="C2041" s="153" t="s">
        <v>31</v>
      </c>
      <c r="D2041" s="154">
        <v>1231.2</v>
      </c>
      <c r="E2041" s="155">
        <v>44761</v>
      </c>
      <c r="F2041" s="154">
        <v>1231.2</v>
      </c>
      <c r="G2041" s="156">
        <f>Tabla18[[#This Row],[Importe]]-Tabla18[[#This Row],[Pagado]]</f>
        <v>0</v>
      </c>
      <c r="H2041" s="153" t="s">
        <v>10</v>
      </c>
    </row>
    <row r="2042" spans="1:8" x14ac:dyDescent="0.25">
      <c r="A2042" s="73">
        <v>44761</v>
      </c>
      <c r="B2042" s="74" t="s">
        <v>23377</v>
      </c>
      <c r="C2042" s="75" t="s">
        <v>450</v>
      </c>
      <c r="D2042" s="81">
        <v>8402.6</v>
      </c>
      <c r="E2042" s="151">
        <v>44761</v>
      </c>
      <c r="F2042" s="81">
        <v>8402.6</v>
      </c>
      <c r="G2042" s="156">
        <f>Tabla18[[#This Row],[Importe]]-Tabla18[[#This Row],[Pagado]]</f>
        <v>0</v>
      </c>
      <c r="H2042" s="75" t="s">
        <v>10</v>
      </c>
    </row>
    <row r="2043" spans="1:8" x14ac:dyDescent="0.25">
      <c r="A2043" s="148">
        <v>44761</v>
      </c>
      <c r="B2043" s="149" t="s">
        <v>23378</v>
      </c>
      <c r="C2043" s="153" t="s">
        <v>284</v>
      </c>
      <c r="D2043" s="154">
        <v>9898.2000000000007</v>
      </c>
      <c r="E2043" s="155">
        <v>44762</v>
      </c>
      <c r="F2043" s="154">
        <v>9898.2000000000007</v>
      </c>
      <c r="G2043" s="156">
        <f>Tabla18[[#This Row],[Importe]]-Tabla18[[#This Row],[Pagado]]</f>
        <v>0</v>
      </c>
      <c r="H2043" s="153" t="s">
        <v>10</v>
      </c>
    </row>
    <row r="2044" spans="1:8" x14ac:dyDescent="0.25">
      <c r="A2044" s="73">
        <v>44761</v>
      </c>
      <c r="B2044" s="74" t="s">
        <v>23379</v>
      </c>
      <c r="C2044" s="75" t="s">
        <v>10819</v>
      </c>
      <c r="D2044" s="81">
        <v>1271.4000000000001</v>
      </c>
      <c r="E2044" s="151">
        <v>44762</v>
      </c>
      <c r="F2044" s="81">
        <v>1271.4000000000001</v>
      </c>
      <c r="G2044" s="156">
        <f>Tabla18[[#This Row],[Importe]]-Tabla18[[#This Row],[Pagado]]</f>
        <v>0</v>
      </c>
      <c r="H2044" s="75" t="s">
        <v>10</v>
      </c>
    </row>
    <row r="2045" spans="1:8" x14ac:dyDescent="0.25">
      <c r="A2045" s="148">
        <v>44761</v>
      </c>
      <c r="B2045" s="149" t="s">
        <v>23380</v>
      </c>
      <c r="C2045" s="153" t="s">
        <v>10819</v>
      </c>
      <c r="D2045" s="154">
        <v>40</v>
      </c>
      <c r="E2045" s="155">
        <v>44762</v>
      </c>
      <c r="F2045" s="154">
        <v>40</v>
      </c>
      <c r="G2045" s="156">
        <f>Tabla18[[#This Row],[Importe]]-Tabla18[[#This Row],[Pagado]]</f>
        <v>0</v>
      </c>
      <c r="H2045" s="153" t="s">
        <v>10</v>
      </c>
    </row>
    <row r="2046" spans="1:8" x14ac:dyDescent="0.25">
      <c r="A2046" s="73">
        <v>44761</v>
      </c>
      <c r="B2046" s="74" t="s">
        <v>23381</v>
      </c>
      <c r="C2046" s="75" t="s">
        <v>280</v>
      </c>
      <c r="D2046" s="81">
        <v>803.4</v>
      </c>
      <c r="E2046" s="151">
        <v>44762</v>
      </c>
      <c r="F2046" s="81">
        <v>803.4</v>
      </c>
      <c r="G2046" s="156">
        <f>Tabla18[[#This Row],[Importe]]-Tabla18[[#This Row],[Pagado]]</f>
        <v>0</v>
      </c>
      <c r="H2046" s="75" t="s">
        <v>10</v>
      </c>
    </row>
    <row r="2047" spans="1:8" x14ac:dyDescent="0.25">
      <c r="A2047" s="148">
        <v>44761</v>
      </c>
      <c r="B2047" s="149" t="s">
        <v>23382</v>
      </c>
      <c r="C2047" s="153" t="s">
        <v>282</v>
      </c>
      <c r="D2047" s="154">
        <v>1482</v>
      </c>
      <c r="E2047" s="155">
        <v>44762</v>
      </c>
      <c r="F2047" s="154">
        <v>1482</v>
      </c>
      <c r="G2047" s="156">
        <f>Tabla18[[#This Row],[Importe]]-Tabla18[[#This Row],[Pagado]]</f>
        <v>0</v>
      </c>
      <c r="H2047" s="153" t="s">
        <v>10</v>
      </c>
    </row>
    <row r="2048" spans="1:8" x14ac:dyDescent="0.25">
      <c r="A2048" s="73">
        <v>44761</v>
      </c>
      <c r="B2048" s="74" t="s">
        <v>23383</v>
      </c>
      <c r="C2048" s="75" t="s">
        <v>291</v>
      </c>
      <c r="D2048" s="81">
        <v>2244</v>
      </c>
      <c r="E2048" s="151">
        <v>44762</v>
      </c>
      <c r="F2048" s="81">
        <v>2244</v>
      </c>
      <c r="G2048" s="156">
        <f>Tabla18[[#This Row],[Importe]]-Tabla18[[#This Row],[Pagado]]</f>
        <v>0</v>
      </c>
      <c r="H2048" s="75" t="s">
        <v>10</v>
      </c>
    </row>
    <row r="2049" spans="1:8" x14ac:dyDescent="0.25">
      <c r="A2049" s="148">
        <v>44761</v>
      </c>
      <c r="B2049" s="149" t="s">
        <v>23384</v>
      </c>
      <c r="C2049" s="153" t="s">
        <v>69</v>
      </c>
      <c r="D2049" s="154">
        <v>4890.6000000000004</v>
      </c>
      <c r="E2049" s="155">
        <v>44761</v>
      </c>
      <c r="F2049" s="154">
        <v>4890.6000000000004</v>
      </c>
      <c r="G2049" s="156">
        <f>Tabla18[[#This Row],[Importe]]-Tabla18[[#This Row],[Pagado]]</f>
        <v>0</v>
      </c>
      <c r="H2049" s="153" t="s">
        <v>10</v>
      </c>
    </row>
    <row r="2050" spans="1:8" x14ac:dyDescent="0.25">
      <c r="A2050" s="73">
        <v>44761</v>
      </c>
      <c r="B2050" s="74" t="s">
        <v>23385</v>
      </c>
      <c r="C2050" s="75" t="s">
        <v>31</v>
      </c>
      <c r="D2050" s="81">
        <v>546</v>
      </c>
      <c r="E2050" s="151">
        <v>44761</v>
      </c>
      <c r="F2050" s="81">
        <v>546</v>
      </c>
      <c r="G2050" s="156">
        <f>Tabla18[[#This Row],[Importe]]-Tabla18[[#This Row],[Pagado]]</f>
        <v>0</v>
      </c>
      <c r="H2050" s="75" t="s">
        <v>10</v>
      </c>
    </row>
    <row r="2051" spans="1:8" x14ac:dyDescent="0.25">
      <c r="A2051" s="148">
        <v>44761</v>
      </c>
      <c r="B2051" s="149" t="s">
        <v>23386</v>
      </c>
      <c r="C2051" s="153" t="s">
        <v>612</v>
      </c>
      <c r="D2051" s="154">
        <v>130</v>
      </c>
      <c r="E2051" s="155">
        <v>44761</v>
      </c>
      <c r="F2051" s="154">
        <v>130</v>
      </c>
      <c r="G2051" s="156">
        <f>Tabla18[[#This Row],[Importe]]-Tabla18[[#This Row],[Pagado]]</f>
        <v>0</v>
      </c>
      <c r="H2051" s="153" t="s">
        <v>10</v>
      </c>
    </row>
    <row r="2052" spans="1:8" x14ac:dyDescent="0.25">
      <c r="A2052" s="73">
        <v>44762</v>
      </c>
      <c r="B2052" s="74" t="s">
        <v>23387</v>
      </c>
      <c r="C2052" s="75" t="s">
        <v>887</v>
      </c>
      <c r="D2052" s="81">
        <v>16656.8</v>
      </c>
      <c r="E2052" s="151">
        <v>44762</v>
      </c>
      <c r="F2052" s="81">
        <v>16656.8</v>
      </c>
      <c r="G2052" s="156">
        <f>Tabla18[[#This Row],[Importe]]-Tabla18[[#This Row],[Pagado]]</f>
        <v>0</v>
      </c>
      <c r="H2052" s="75" t="s">
        <v>10</v>
      </c>
    </row>
    <row r="2053" spans="1:8" ht="31.5" x14ac:dyDescent="0.25">
      <c r="A2053" s="148">
        <v>44762</v>
      </c>
      <c r="B2053" s="149" t="s">
        <v>23388</v>
      </c>
      <c r="C2053" s="153" t="s">
        <v>475</v>
      </c>
      <c r="D2053" s="154">
        <v>88893.8</v>
      </c>
      <c r="E2053" s="150" t="s">
        <v>23313</v>
      </c>
      <c r="F2053" s="154">
        <f>80500+8393.8</f>
        <v>88893.8</v>
      </c>
      <c r="G2053" s="156">
        <f>Tabla18[[#This Row],[Importe]]-Tabla18[[#This Row],[Pagado]]</f>
        <v>0</v>
      </c>
      <c r="H2053" s="153" t="s">
        <v>10</v>
      </c>
    </row>
    <row r="2054" spans="1:8" x14ac:dyDescent="0.25">
      <c r="A2054" s="73">
        <v>44762</v>
      </c>
      <c r="B2054" s="74" t="s">
        <v>23389</v>
      </c>
      <c r="C2054" s="75" t="s">
        <v>85</v>
      </c>
      <c r="D2054" s="81">
        <v>1427.4</v>
      </c>
      <c r="E2054" s="151">
        <v>44762</v>
      </c>
      <c r="F2054" s="81">
        <v>1427.4</v>
      </c>
      <c r="G2054" s="156">
        <f>Tabla18[[#This Row],[Importe]]-Tabla18[[#This Row],[Pagado]]</f>
        <v>0</v>
      </c>
      <c r="H2054" s="75" t="s">
        <v>10</v>
      </c>
    </row>
    <row r="2055" spans="1:8" x14ac:dyDescent="0.25">
      <c r="A2055" s="148">
        <v>44762</v>
      </c>
      <c r="B2055" s="149" t="s">
        <v>23390</v>
      </c>
      <c r="C2055" s="153" t="s">
        <v>75</v>
      </c>
      <c r="D2055" s="154">
        <v>4087.2</v>
      </c>
      <c r="E2055" s="155">
        <v>44762</v>
      </c>
      <c r="F2055" s="154">
        <v>4087.2</v>
      </c>
      <c r="G2055" s="156">
        <f>Tabla18[[#This Row],[Importe]]-Tabla18[[#This Row],[Pagado]]</f>
        <v>0</v>
      </c>
      <c r="H2055" s="153" t="s">
        <v>10</v>
      </c>
    </row>
    <row r="2056" spans="1:8" x14ac:dyDescent="0.25">
      <c r="A2056" s="73">
        <v>44762</v>
      </c>
      <c r="B2056" s="74" t="s">
        <v>23391</v>
      </c>
      <c r="C2056" s="75" t="s">
        <v>179</v>
      </c>
      <c r="D2056" s="81">
        <v>1318.2</v>
      </c>
      <c r="E2056" s="151">
        <v>44762</v>
      </c>
      <c r="F2056" s="81">
        <v>1318.2</v>
      </c>
      <c r="G2056" s="156">
        <f>Tabla18[[#This Row],[Importe]]-Tabla18[[#This Row],[Pagado]]</f>
        <v>0</v>
      </c>
      <c r="H2056" s="75" t="s">
        <v>10</v>
      </c>
    </row>
    <row r="2057" spans="1:8" x14ac:dyDescent="0.25">
      <c r="A2057" s="148">
        <v>44762</v>
      </c>
      <c r="B2057" s="149" t="s">
        <v>23392</v>
      </c>
      <c r="C2057" s="153" t="s">
        <v>2563</v>
      </c>
      <c r="D2057" s="154">
        <v>6771.6</v>
      </c>
      <c r="E2057" s="155">
        <v>44763</v>
      </c>
      <c r="F2057" s="154">
        <v>6771.6</v>
      </c>
      <c r="G2057" s="156">
        <f>Tabla18[[#This Row],[Importe]]-Tabla18[[#This Row],[Pagado]]</f>
        <v>0</v>
      </c>
      <c r="H2057" s="153" t="s">
        <v>10</v>
      </c>
    </row>
    <row r="2058" spans="1:8" x14ac:dyDescent="0.25">
      <c r="A2058" s="73">
        <v>44762</v>
      </c>
      <c r="B2058" s="74" t="s">
        <v>23393</v>
      </c>
      <c r="C2058" s="75" t="s">
        <v>60</v>
      </c>
      <c r="D2058" s="81">
        <v>5154.6000000000004</v>
      </c>
      <c r="E2058" s="151">
        <v>44765</v>
      </c>
      <c r="F2058" s="81">
        <v>5154.6000000000004</v>
      </c>
      <c r="G2058" s="156">
        <f>Tabla18[[#This Row],[Importe]]-Tabla18[[#This Row],[Pagado]]</f>
        <v>0</v>
      </c>
      <c r="H2058" s="75" t="s">
        <v>10</v>
      </c>
    </row>
    <row r="2059" spans="1:8" x14ac:dyDescent="0.25">
      <c r="A2059" s="148">
        <v>44762</v>
      </c>
      <c r="B2059" s="149" t="s">
        <v>23394</v>
      </c>
      <c r="C2059" s="153" t="s">
        <v>64</v>
      </c>
      <c r="D2059" s="154">
        <v>5662.8</v>
      </c>
      <c r="E2059" s="155">
        <v>44763</v>
      </c>
      <c r="F2059" s="154">
        <v>5662.8</v>
      </c>
      <c r="G2059" s="156">
        <f>Tabla18[[#This Row],[Importe]]-Tabla18[[#This Row],[Pagado]]</f>
        <v>0</v>
      </c>
      <c r="H2059" s="153" t="s">
        <v>10</v>
      </c>
    </row>
    <row r="2060" spans="1:8" x14ac:dyDescent="0.25">
      <c r="A2060" s="73">
        <v>44762</v>
      </c>
      <c r="B2060" s="74" t="s">
        <v>23395</v>
      </c>
      <c r="C2060" s="75" t="s">
        <v>97</v>
      </c>
      <c r="D2060" s="81">
        <v>5082</v>
      </c>
      <c r="E2060" s="151">
        <v>44763</v>
      </c>
      <c r="F2060" s="81">
        <v>5082</v>
      </c>
      <c r="G2060" s="156">
        <f>Tabla18[[#This Row],[Importe]]-Tabla18[[#This Row],[Pagado]]</f>
        <v>0</v>
      </c>
      <c r="H2060" s="75" t="s">
        <v>10</v>
      </c>
    </row>
    <row r="2061" spans="1:8" x14ac:dyDescent="0.25">
      <c r="A2061" s="148">
        <v>44762</v>
      </c>
      <c r="B2061" s="149" t="s">
        <v>23396</v>
      </c>
      <c r="C2061" s="153" t="s">
        <v>93</v>
      </c>
      <c r="D2061" s="154">
        <v>5241.6000000000004</v>
      </c>
      <c r="E2061" s="155">
        <v>44763</v>
      </c>
      <c r="F2061" s="154">
        <v>5241.6000000000004</v>
      </c>
      <c r="G2061" s="156">
        <f>Tabla18[[#This Row],[Importe]]-Tabla18[[#This Row],[Pagado]]</f>
        <v>0</v>
      </c>
      <c r="H2061" s="153" t="s">
        <v>10</v>
      </c>
    </row>
    <row r="2062" spans="1:8" x14ac:dyDescent="0.25">
      <c r="A2062" s="73">
        <v>44762</v>
      </c>
      <c r="B2062" s="74" t="s">
        <v>23397</v>
      </c>
      <c r="C2062" s="75" t="s">
        <v>5043</v>
      </c>
      <c r="D2062" s="81">
        <v>5669.4</v>
      </c>
      <c r="E2062" s="151">
        <v>44764</v>
      </c>
      <c r="F2062" s="81">
        <v>5669.4</v>
      </c>
      <c r="G2062" s="156">
        <f>Tabla18[[#This Row],[Importe]]-Tabla18[[#This Row],[Pagado]]</f>
        <v>0</v>
      </c>
      <c r="H2062" s="75" t="s">
        <v>10</v>
      </c>
    </row>
    <row r="2063" spans="1:8" x14ac:dyDescent="0.25">
      <c r="A2063" s="148">
        <v>44762</v>
      </c>
      <c r="B2063" s="149" t="s">
        <v>23398</v>
      </c>
      <c r="C2063" s="153" t="s">
        <v>105</v>
      </c>
      <c r="D2063" s="154">
        <v>11976</v>
      </c>
      <c r="E2063" s="155">
        <v>44763</v>
      </c>
      <c r="F2063" s="154">
        <v>11976</v>
      </c>
      <c r="G2063" s="156">
        <f>Tabla18[[#This Row],[Importe]]-Tabla18[[#This Row],[Pagado]]</f>
        <v>0</v>
      </c>
      <c r="H2063" s="153" t="s">
        <v>10</v>
      </c>
    </row>
    <row r="2064" spans="1:8" x14ac:dyDescent="0.25">
      <c r="A2064" s="73">
        <v>44762</v>
      </c>
      <c r="B2064" s="74" t="s">
        <v>23399</v>
      </c>
      <c r="C2064" s="75" t="s">
        <v>99</v>
      </c>
      <c r="D2064" s="81">
        <v>2752</v>
      </c>
      <c r="E2064" s="151">
        <v>44763</v>
      </c>
      <c r="F2064" s="81">
        <v>2752</v>
      </c>
      <c r="G2064" s="156">
        <f>Tabla18[[#This Row],[Importe]]-Tabla18[[#This Row],[Pagado]]</f>
        <v>0</v>
      </c>
      <c r="H2064" s="75" t="s">
        <v>10</v>
      </c>
    </row>
    <row r="2065" spans="1:8" x14ac:dyDescent="0.25">
      <c r="A2065" s="148">
        <v>44762</v>
      </c>
      <c r="B2065" s="149" t="s">
        <v>23400</v>
      </c>
      <c r="C2065" s="153" t="s">
        <v>89</v>
      </c>
      <c r="D2065" s="154">
        <v>8252.2000000000007</v>
      </c>
      <c r="E2065" s="155">
        <v>44763</v>
      </c>
      <c r="F2065" s="154">
        <v>8252.2000000000007</v>
      </c>
      <c r="G2065" s="156">
        <f>Tabla18[[#This Row],[Importe]]-Tabla18[[#This Row],[Pagado]]</f>
        <v>0</v>
      </c>
      <c r="H2065" s="153" t="s">
        <v>10</v>
      </c>
    </row>
    <row r="2066" spans="1:8" x14ac:dyDescent="0.25">
      <c r="A2066" s="73">
        <v>44762</v>
      </c>
      <c r="B2066" s="74" t="s">
        <v>23401</v>
      </c>
      <c r="C2066" s="75" t="s">
        <v>348</v>
      </c>
      <c r="D2066" s="81">
        <v>6069.5</v>
      </c>
      <c r="E2066" s="151">
        <v>44762</v>
      </c>
      <c r="F2066" s="81">
        <v>6069.5</v>
      </c>
      <c r="G2066" s="156">
        <f>Tabla18[[#This Row],[Importe]]-Tabla18[[#This Row],[Pagado]]</f>
        <v>0</v>
      </c>
      <c r="H2066" s="75" t="s">
        <v>10</v>
      </c>
    </row>
    <row r="2067" spans="1:8" x14ac:dyDescent="0.25">
      <c r="A2067" s="148">
        <v>44762</v>
      </c>
      <c r="B2067" s="149" t="s">
        <v>23402</v>
      </c>
      <c r="C2067" s="153" t="s">
        <v>326</v>
      </c>
      <c r="D2067" s="154">
        <v>7665.9</v>
      </c>
      <c r="E2067" s="155">
        <v>44764</v>
      </c>
      <c r="F2067" s="154">
        <v>7665.9</v>
      </c>
      <c r="G2067" s="156">
        <f>Tabla18[[#This Row],[Importe]]-Tabla18[[#This Row],[Pagado]]</f>
        <v>0</v>
      </c>
      <c r="H2067" s="153" t="s">
        <v>10</v>
      </c>
    </row>
    <row r="2068" spans="1:8" x14ac:dyDescent="0.25">
      <c r="A2068" s="73">
        <v>44762</v>
      </c>
      <c r="B2068" s="74" t="s">
        <v>23403</v>
      </c>
      <c r="C2068" s="75" t="s">
        <v>2151</v>
      </c>
      <c r="D2068" s="81">
        <v>8222.2000000000007</v>
      </c>
      <c r="E2068" s="151">
        <v>44762</v>
      </c>
      <c r="F2068" s="81">
        <v>8222.2000000000007</v>
      </c>
      <c r="G2068" s="156">
        <f>Tabla18[[#This Row],[Importe]]-Tabla18[[#This Row],[Pagado]]</f>
        <v>0</v>
      </c>
      <c r="H2068" s="75" t="s">
        <v>10</v>
      </c>
    </row>
    <row r="2069" spans="1:8" x14ac:dyDescent="0.25">
      <c r="A2069" s="148">
        <v>44762</v>
      </c>
      <c r="B2069" s="149" t="s">
        <v>23404</v>
      </c>
      <c r="C2069" s="153" t="s">
        <v>1187</v>
      </c>
      <c r="D2069" s="154">
        <v>2304.8000000000002</v>
      </c>
      <c r="E2069" s="155">
        <v>44762</v>
      </c>
      <c r="F2069" s="154">
        <v>2304.8000000000002</v>
      </c>
      <c r="G2069" s="156">
        <f>Tabla18[[#This Row],[Importe]]-Tabla18[[#This Row],[Pagado]]</f>
        <v>0</v>
      </c>
      <c r="H2069" s="153" t="s">
        <v>10</v>
      </c>
    </row>
    <row r="2070" spans="1:8" x14ac:dyDescent="0.25">
      <c r="A2070" s="73">
        <v>44762</v>
      </c>
      <c r="B2070" s="74" t="s">
        <v>23405</v>
      </c>
      <c r="C2070" s="75" t="s">
        <v>9</v>
      </c>
      <c r="D2070" s="81">
        <v>8117</v>
      </c>
      <c r="E2070" s="151">
        <v>44762</v>
      </c>
      <c r="F2070" s="81">
        <v>8117</v>
      </c>
      <c r="G2070" s="156">
        <f>Tabla18[[#This Row],[Importe]]-Tabla18[[#This Row],[Pagado]]</f>
        <v>0</v>
      </c>
      <c r="H2070" s="75" t="s">
        <v>10</v>
      </c>
    </row>
    <row r="2071" spans="1:8" x14ac:dyDescent="0.25">
      <c r="A2071" s="148">
        <v>44762</v>
      </c>
      <c r="B2071" s="149" t="s">
        <v>23406</v>
      </c>
      <c r="C2071" s="153" t="s">
        <v>83</v>
      </c>
      <c r="D2071" s="154">
        <v>12225</v>
      </c>
      <c r="E2071" s="155">
        <v>44762</v>
      </c>
      <c r="F2071" s="154">
        <v>12225</v>
      </c>
      <c r="G2071" s="156">
        <f>Tabla18[[#This Row],[Importe]]-Tabla18[[#This Row],[Pagado]]</f>
        <v>0</v>
      </c>
      <c r="H2071" s="153" t="s">
        <v>10</v>
      </c>
    </row>
    <row r="2072" spans="1:8" x14ac:dyDescent="0.25">
      <c r="A2072" s="73">
        <v>44762</v>
      </c>
      <c r="B2072" s="74" t="s">
        <v>23407</v>
      </c>
      <c r="C2072" s="75" t="s">
        <v>87</v>
      </c>
      <c r="D2072" s="81">
        <v>3109.4</v>
      </c>
      <c r="E2072" s="151">
        <v>44762</v>
      </c>
      <c r="F2072" s="81">
        <v>3109.4</v>
      </c>
      <c r="G2072" s="156">
        <f>Tabla18[[#This Row],[Importe]]-Tabla18[[#This Row],[Pagado]]</f>
        <v>0</v>
      </c>
      <c r="H2072" s="75" t="s">
        <v>10</v>
      </c>
    </row>
    <row r="2073" spans="1:8" x14ac:dyDescent="0.25">
      <c r="A2073" s="148">
        <v>44762</v>
      </c>
      <c r="B2073" s="149" t="s">
        <v>23408</v>
      </c>
      <c r="C2073" s="153" t="s">
        <v>91</v>
      </c>
      <c r="D2073" s="154">
        <v>6240</v>
      </c>
      <c r="E2073" s="155">
        <v>44763</v>
      </c>
      <c r="F2073" s="154">
        <v>6240</v>
      </c>
      <c r="G2073" s="156">
        <f>Tabla18[[#This Row],[Importe]]-Tabla18[[#This Row],[Pagado]]</f>
        <v>0</v>
      </c>
      <c r="H2073" s="153" t="s">
        <v>10</v>
      </c>
    </row>
    <row r="2074" spans="1:8" x14ac:dyDescent="0.25">
      <c r="A2074" s="73">
        <v>44762</v>
      </c>
      <c r="B2074" s="74" t="s">
        <v>23409</v>
      </c>
      <c r="C2074" s="75" t="s">
        <v>95</v>
      </c>
      <c r="D2074" s="81">
        <v>20770.8</v>
      </c>
      <c r="E2074" s="151">
        <v>44762</v>
      </c>
      <c r="F2074" s="81">
        <v>20770.8</v>
      </c>
      <c r="G2074" s="156">
        <f>Tabla18[[#This Row],[Importe]]-Tabla18[[#This Row],[Pagado]]</f>
        <v>0</v>
      </c>
      <c r="H2074" s="75" t="s">
        <v>10</v>
      </c>
    </row>
    <row r="2075" spans="1:8" x14ac:dyDescent="0.25">
      <c r="A2075" s="148">
        <v>44762</v>
      </c>
      <c r="B2075" s="149" t="s">
        <v>23410</v>
      </c>
      <c r="C2075" s="153" t="s">
        <v>142</v>
      </c>
      <c r="D2075" s="154">
        <v>72783.5</v>
      </c>
      <c r="E2075" s="155">
        <v>44799</v>
      </c>
      <c r="F2075" s="154">
        <v>72783.5</v>
      </c>
      <c r="G2075" s="156">
        <f>Tabla18[[#This Row],[Importe]]-Tabla18[[#This Row],[Pagado]]</f>
        <v>0</v>
      </c>
      <c r="H2075" s="153" t="s">
        <v>10</v>
      </c>
    </row>
    <row r="2076" spans="1:8" x14ac:dyDescent="0.25">
      <c r="A2076" s="73">
        <v>44762</v>
      </c>
      <c r="B2076" s="74" t="s">
        <v>23411</v>
      </c>
      <c r="C2076" s="75" t="s">
        <v>56</v>
      </c>
      <c r="D2076" s="81">
        <v>8719.7999999999993</v>
      </c>
      <c r="E2076" s="151">
        <v>44762</v>
      </c>
      <c r="F2076" s="81">
        <v>8719.7999999999993</v>
      </c>
      <c r="G2076" s="156">
        <f>Tabla18[[#This Row],[Importe]]-Tabla18[[#This Row],[Pagado]]</f>
        <v>0</v>
      </c>
      <c r="H2076" s="75" t="s">
        <v>10</v>
      </c>
    </row>
    <row r="2077" spans="1:8" x14ac:dyDescent="0.25">
      <c r="A2077" s="148">
        <v>44762</v>
      </c>
      <c r="B2077" s="149" t="s">
        <v>23412</v>
      </c>
      <c r="C2077" s="153" t="s">
        <v>16</v>
      </c>
      <c r="D2077" s="154">
        <v>6639.9</v>
      </c>
      <c r="E2077" s="155">
        <v>44762</v>
      </c>
      <c r="F2077" s="154">
        <v>6639.9</v>
      </c>
      <c r="G2077" s="156">
        <f>Tabla18[[#This Row],[Importe]]-Tabla18[[#This Row],[Pagado]]</f>
        <v>0</v>
      </c>
      <c r="H2077" s="153" t="s">
        <v>10</v>
      </c>
    </row>
    <row r="2078" spans="1:8" x14ac:dyDescent="0.25">
      <c r="A2078" s="73">
        <v>44762</v>
      </c>
      <c r="B2078" s="74" t="s">
        <v>23413</v>
      </c>
      <c r="C2078" s="75" t="s">
        <v>1378</v>
      </c>
      <c r="D2078" s="81">
        <v>85993.8</v>
      </c>
      <c r="E2078" s="151">
        <v>44763</v>
      </c>
      <c r="F2078" s="81">
        <v>85993.8</v>
      </c>
      <c r="G2078" s="156">
        <f>Tabla18[[#This Row],[Importe]]-Tabla18[[#This Row],[Pagado]]</f>
        <v>0</v>
      </c>
      <c r="H2078" s="75" t="s">
        <v>10</v>
      </c>
    </row>
    <row r="2079" spans="1:8" x14ac:dyDescent="0.25">
      <c r="A2079" s="148">
        <v>44762</v>
      </c>
      <c r="B2079" s="149" t="s">
        <v>23414</v>
      </c>
      <c r="C2079" s="153" t="s">
        <v>1676</v>
      </c>
      <c r="D2079" s="154">
        <v>9984</v>
      </c>
      <c r="E2079" s="155">
        <v>44762</v>
      </c>
      <c r="F2079" s="154">
        <v>9984</v>
      </c>
      <c r="G2079" s="156">
        <f>Tabla18[[#This Row],[Importe]]-Tabla18[[#This Row],[Pagado]]</f>
        <v>0</v>
      </c>
      <c r="H2079" s="153" t="s">
        <v>10</v>
      </c>
    </row>
    <row r="2080" spans="1:8" x14ac:dyDescent="0.25">
      <c r="A2080" s="73">
        <v>44762</v>
      </c>
      <c r="B2080" s="74" t="s">
        <v>23415</v>
      </c>
      <c r="C2080" s="75" t="s">
        <v>11033</v>
      </c>
      <c r="D2080" s="81">
        <v>2025.2</v>
      </c>
      <c r="E2080" s="151">
        <v>44762</v>
      </c>
      <c r="F2080" s="81">
        <v>2025.2</v>
      </c>
      <c r="G2080" s="156">
        <f>Tabla18[[#This Row],[Importe]]-Tabla18[[#This Row],[Pagado]]</f>
        <v>0</v>
      </c>
      <c r="H2080" s="75" t="s">
        <v>10</v>
      </c>
    </row>
    <row r="2081" spans="1:8" ht="31.5" x14ac:dyDescent="0.25">
      <c r="A2081" s="148">
        <v>44762</v>
      </c>
      <c r="B2081" s="149" t="s">
        <v>23416</v>
      </c>
      <c r="C2081" s="153" t="s">
        <v>22</v>
      </c>
      <c r="D2081" s="154">
        <v>35382.400000000001</v>
      </c>
      <c r="E2081" s="150" t="s">
        <v>23313</v>
      </c>
      <c r="F2081" s="154">
        <f>25000+10382.4</f>
        <v>35382.400000000001</v>
      </c>
      <c r="G2081" s="156">
        <f>Tabla18[[#This Row],[Importe]]-Tabla18[[#This Row],[Pagado]]</f>
        <v>0</v>
      </c>
      <c r="H2081" s="153" t="s">
        <v>10</v>
      </c>
    </row>
    <row r="2082" spans="1:8" x14ac:dyDescent="0.25">
      <c r="A2082" s="73">
        <v>44762</v>
      </c>
      <c r="B2082" s="74" t="s">
        <v>23417</v>
      </c>
      <c r="C2082" s="75" t="s">
        <v>196</v>
      </c>
      <c r="D2082" s="81">
        <v>162807.84</v>
      </c>
      <c r="E2082" s="151">
        <v>44765</v>
      </c>
      <c r="F2082" s="81">
        <v>162807.84</v>
      </c>
      <c r="G2082" s="156">
        <f>Tabla18[[#This Row],[Importe]]-Tabla18[[#This Row],[Pagado]]</f>
        <v>0</v>
      </c>
      <c r="H2082" s="75" t="s">
        <v>10</v>
      </c>
    </row>
    <row r="2083" spans="1:8" x14ac:dyDescent="0.25">
      <c r="A2083" s="148">
        <v>44762</v>
      </c>
      <c r="B2083" s="149" t="s">
        <v>23418</v>
      </c>
      <c r="C2083" s="153" t="s">
        <v>161</v>
      </c>
      <c r="D2083" s="154">
        <v>4466</v>
      </c>
      <c r="E2083" s="155">
        <v>44762</v>
      </c>
      <c r="F2083" s="154">
        <v>4466</v>
      </c>
      <c r="G2083" s="156">
        <f>Tabla18[[#This Row],[Importe]]-Tabla18[[#This Row],[Pagado]]</f>
        <v>0</v>
      </c>
      <c r="H2083" s="153" t="s">
        <v>10</v>
      </c>
    </row>
    <row r="2084" spans="1:8" x14ac:dyDescent="0.25">
      <c r="A2084" s="73">
        <v>44762</v>
      </c>
      <c r="B2084" s="74" t="s">
        <v>23419</v>
      </c>
      <c r="C2084" s="75" t="s">
        <v>45</v>
      </c>
      <c r="D2084" s="81">
        <v>14050.2</v>
      </c>
      <c r="E2084" s="151">
        <v>44762</v>
      </c>
      <c r="F2084" s="81">
        <v>14050.2</v>
      </c>
      <c r="G2084" s="156">
        <f>Tabla18[[#This Row],[Importe]]-Tabla18[[#This Row],[Pagado]]</f>
        <v>0</v>
      </c>
      <c r="H2084" s="75" t="s">
        <v>10</v>
      </c>
    </row>
    <row r="2085" spans="1:8" x14ac:dyDescent="0.25">
      <c r="A2085" s="148">
        <v>44762</v>
      </c>
      <c r="B2085" s="149" t="s">
        <v>23420</v>
      </c>
      <c r="C2085" s="153" t="s">
        <v>49</v>
      </c>
      <c r="D2085" s="154">
        <v>2744.8</v>
      </c>
      <c r="E2085" s="155">
        <v>44762</v>
      </c>
      <c r="F2085" s="154">
        <v>2744.8</v>
      </c>
      <c r="G2085" s="156">
        <f>Tabla18[[#This Row],[Importe]]-Tabla18[[#This Row],[Pagado]]</f>
        <v>0</v>
      </c>
      <c r="H2085" s="153" t="s">
        <v>10</v>
      </c>
    </row>
    <row r="2086" spans="1:8" x14ac:dyDescent="0.25">
      <c r="A2086" s="73">
        <v>44762</v>
      </c>
      <c r="B2086" s="74" t="s">
        <v>23421</v>
      </c>
      <c r="C2086" s="75" t="s">
        <v>664</v>
      </c>
      <c r="D2086" s="81">
        <v>15777.6</v>
      </c>
      <c r="E2086" s="151">
        <v>44762</v>
      </c>
      <c r="F2086" s="81">
        <v>15777.6</v>
      </c>
      <c r="G2086" s="156">
        <f>Tabla18[[#This Row],[Importe]]-Tabla18[[#This Row],[Pagado]]</f>
        <v>0</v>
      </c>
      <c r="H2086" s="75" t="s">
        <v>10</v>
      </c>
    </row>
    <row r="2087" spans="1:8" x14ac:dyDescent="0.25">
      <c r="A2087" s="148">
        <v>44762</v>
      </c>
      <c r="B2087" s="149" t="s">
        <v>23422</v>
      </c>
      <c r="C2087" s="153" t="s">
        <v>27</v>
      </c>
      <c r="D2087" s="154">
        <v>1023</v>
      </c>
      <c r="E2087" s="155">
        <v>44762</v>
      </c>
      <c r="F2087" s="154">
        <v>1023</v>
      </c>
      <c r="G2087" s="156">
        <f>Tabla18[[#This Row],[Importe]]-Tabla18[[#This Row],[Pagado]]</f>
        <v>0</v>
      </c>
      <c r="H2087" s="153" t="s">
        <v>10</v>
      </c>
    </row>
    <row r="2088" spans="1:8" x14ac:dyDescent="0.25">
      <c r="A2088" s="73">
        <v>44762</v>
      </c>
      <c r="B2088" s="74" t="s">
        <v>23423</v>
      </c>
      <c r="C2088" s="75" t="s">
        <v>91</v>
      </c>
      <c r="D2088" s="81">
        <v>5460</v>
      </c>
      <c r="E2088" s="151">
        <v>44763</v>
      </c>
      <c r="F2088" s="81">
        <v>5460</v>
      </c>
      <c r="G2088" s="156">
        <f>Tabla18[[#This Row],[Importe]]-Tabla18[[#This Row],[Pagado]]</f>
        <v>0</v>
      </c>
      <c r="H2088" s="75" t="s">
        <v>10</v>
      </c>
    </row>
    <row r="2089" spans="1:8" x14ac:dyDescent="0.25">
      <c r="A2089" s="148">
        <v>44762</v>
      </c>
      <c r="B2089" s="149" t="s">
        <v>23424</v>
      </c>
      <c r="C2089" s="153" t="s">
        <v>23425</v>
      </c>
      <c r="D2089" s="154">
        <v>0</v>
      </c>
      <c r="E2089" s="158" t="s">
        <v>189</v>
      </c>
      <c r="F2089" s="154">
        <v>0</v>
      </c>
      <c r="G2089" s="156">
        <f>Tabla18[[#This Row],[Importe]]-Tabla18[[#This Row],[Pagado]]</f>
        <v>0</v>
      </c>
      <c r="H2089" s="153" t="s">
        <v>189</v>
      </c>
    </row>
    <row r="2090" spans="1:8" x14ac:dyDescent="0.25">
      <c r="A2090" s="73">
        <v>44762</v>
      </c>
      <c r="B2090" s="74" t="s">
        <v>23426</v>
      </c>
      <c r="C2090" s="75" t="s">
        <v>664</v>
      </c>
      <c r="D2090" s="81">
        <v>4334.3999999999996</v>
      </c>
      <c r="E2090" s="151">
        <v>44762</v>
      </c>
      <c r="F2090" s="81">
        <v>4334.3999999999996</v>
      </c>
      <c r="G2090" s="156">
        <f>Tabla18[[#This Row],[Importe]]-Tabla18[[#This Row],[Pagado]]</f>
        <v>0</v>
      </c>
      <c r="H2090" s="75" t="s">
        <v>10</v>
      </c>
    </row>
    <row r="2091" spans="1:8" x14ac:dyDescent="0.25">
      <c r="A2091" s="148">
        <v>44762</v>
      </c>
      <c r="B2091" s="149" t="s">
        <v>23427</v>
      </c>
      <c r="C2091" s="153" t="s">
        <v>107</v>
      </c>
      <c r="D2091" s="154">
        <v>16174.7</v>
      </c>
      <c r="E2091" s="155">
        <v>44762</v>
      </c>
      <c r="F2091" s="154">
        <v>16174.7</v>
      </c>
      <c r="G2091" s="156">
        <f>Tabla18[[#This Row],[Importe]]-Tabla18[[#This Row],[Pagado]]</f>
        <v>0</v>
      </c>
      <c r="H2091" s="153" t="s">
        <v>10</v>
      </c>
    </row>
    <row r="2092" spans="1:8" x14ac:dyDescent="0.25">
      <c r="A2092" s="73">
        <v>44762</v>
      </c>
      <c r="B2092" s="74" t="s">
        <v>23428</v>
      </c>
      <c r="C2092" s="75" t="s">
        <v>146</v>
      </c>
      <c r="D2092" s="81">
        <v>1797.6</v>
      </c>
      <c r="E2092" s="151">
        <v>44762</v>
      </c>
      <c r="F2092" s="81">
        <v>1797.6</v>
      </c>
      <c r="G2092" s="156">
        <f>Tabla18[[#This Row],[Importe]]-Tabla18[[#This Row],[Pagado]]</f>
        <v>0</v>
      </c>
      <c r="H2092" s="75" t="s">
        <v>10</v>
      </c>
    </row>
    <row r="2093" spans="1:8" x14ac:dyDescent="0.25">
      <c r="A2093" s="148">
        <v>44762</v>
      </c>
      <c r="B2093" s="149" t="s">
        <v>23429</v>
      </c>
      <c r="C2093" s="153" t="s">
        <v>1362</v>
      </c>
      <c r="D2093" s="154">
        <v>5384.4</v>
      </c>
      <c r="E2093" s="155">
        <v>44762</v>
      </c>
      <c r="F2093" s="154">
        <v>5384.4</v>
      </c>
      <c r="G2093" s="156">
        <f>Tabla18[[#This Row],[Importe]]-Tabla18[[#This Row],[Pagado]]</f>
        <v>0</v>
      </c>
      <c r="H2093" s="153" t="s">
        <v>10</v>
      </c>
    </row>
    <row r="2094" spans="1:8" x14ac:dyDescent="0.25">
      <c r="A2094" s="73">
        <v>44762</v>
      </c>
      <c r="B2094" s="74" t="s">
        <v>23430</v>
      </c>
      <c r="C2094" s="75" t="s">
        <v>562</v>
      </c>
      <c r="D2094" s="81">
        <v>3852</v>
      </c>
      <c r="E2094" s="151">
        <v>44762</v>
      </c>
      <c r="F2094" s="81">
        <v>3852</v>
      </c>
      <c r="G2094" s="156">
        <f>Tabla18[[#This Row],[Importe]]-Tabla18[[#This Row],[Pagado]]</f>
        <v>0</v>
      </c>
      <c r="H2094" s="75" t="s">
        <v>10</v>
      </c>
    </row>
    <row r="2095" spans="1:8" x14ac:dyDescent="0.25">
      <c r="A2095" s="148">
        <v>44762</v>
      </c>
      <c r="B2095" s="149" t="s">
        <v>23431</v>
      </c>
      <c r="C2095" s="153" t="s">
        <v>91</v>
      </c>
      <c r="D2095" s="154">
        <v>390</v>
      </c>
      <c r="E2095" s="155">
        <v>44763</v>
      </c>
      <c r="F2095" s="154">
        <v>390</v>
      </c>
      <c r="G2095" s="156">
        <f>Tabla18[[#This Row],[Importe]]-Tabla18[[#This Row],[Pagado]]</f>
        <v>0</v>
      </c>
      <c r="H2095" s="153" t="s">
        <v>10</v>
      </c>
    </row>
    <row r="2096" spans="1:8" x14ac:dyDescent="0.25">
      <c r="A2096" s="73">
        <v>44762</v>
      </c>
      <c r="B2096" s="74" t="s">
        <v>23432</v>
      </c>
      <c r="C2096" s="75" t="s">
        <v>339</v>
      </c>
      <c r="D2096" s="81">
        <v>1307.4000000000001</v>
      </c>
      <c r="E2096" s="151">
        <v>44762</v>
      </c>
      <c r="F2096" s="81">
        <v>1307.4000000000001</v>
      </c>
      <c r="G2096" s="156">
        <f>Tabla18[[#This Row],[Importe]]-Tabla18[[#This Row],[Pagado]]</f>
        <v>0</v>
      </c>
      <c r="H2096" s="75" t="s">
        <v>10</v>
      </c>
    </row>
    <row r="2097" spans="1:8" x14ac:dyDescent="0.25">
      <c r="A2097" s="148">
        <v>44762</v>
      </c>
      <c r="B2097" s="149" t="s">
        <v>23433</v>
      </c>
      <c r="C2097" s="153" t="s">
        <v>144</v>
      </c>
      <c r="D2097" s="154">
        <v>3012</v>
      </c>
      <c r="E2097" s="155">
        <v>44762</v>
      </c>
      <c r="F2097" s="154">
        <v>3012</v>
      </c>
      <c r="G2097" s="156">
        <f>Tabla18[[#This Row],[Importe]]-Tabla18[[#This Row],[Pagado]]</f>
        <v>0</v>
      </c>
      <c r="H2097" s="153" t="s">
        <v>10</v>
      </c>
    </row>
    <row r="2098" spans="1:8" x14ac:dyDescent="0.25">
      <c r="A2098" s="73">
        <v>44762</v>
      </c>
      <c r="B2098" s="74" t="s">
        <v>23434</v>
      </c>
      <c r="C2098" s="75" t="s">
        <v>140</v>
      </c>
      <c r="D2098" s="81">
        <v>2246.5</v>
      </c>
      <c r="E2098" s="151">
        <v>44762</v>
      </c>
      <c r="F2098" s="81">
        <v>2246.5</v>
      </c>
      <c r="G2098" s="156">
        <f>Tabla18[[#This Row],[Importe]]-Tabla18[[#This Row],[Pagado]]</f>
        <v>0</v>
      </c>
      <c r="H2098" s="75" t="s">
        <v>10</v>
      </c>
    </row>
    <row r="2099" spans="1:8" x14ac:dyDescent="0.25">
      <c r="A2099" s="148">
        <v>44762</v>
      </c>
      <c r="B2099" s="149" t="s">
        <v>23435</v>
      </c>
      <c r="C2099" s="153" t="s">
        <v>129</v>
      </c>
      <c r="D2099" s="154">
        <v>1360.8</v>
      </c>
      <c r="E2099" s="155">
        <v>44762</v>
      </c>
      <c r="F2099" s="154">
        <v>1360.8</v>
      </c>
      <c r="G2099" s="156">
        <f>Tabla18[[#This Row],[Importe]]-Tabla18[[#This Row],[Pagado]]</f>
        <v>0</v>
      </c>
      <c r="H2099" s="153" t="s">
        <v>10</v>
      </c>
    </row>
    <row r="2100" spans="1:8" x14ac:dyDescent="0.25">
      <c r="A2100" s="73">
        <v>44762</v>
      </c>
      <c r="B2100" s="74" t="s">
        <v>23436</v>
      </c>
      <c r="C2100" s="75" t="s">
        <v>275</v>
      </c>
      <c r="D2100" s="81">
        <v>75689.600000000006</v>
      </c>
      <c r="E2100" s="151">
        <v>44778</v>
      </c>
      <c r="F2100" s="81">
        <v>75689.600000000006</v>
      </c>
      <c r="G2100" s="156">
        <f>Tabla18[[#This Row],[Importe]]-Tabla18[[#This Row],[Pagado]]</f>
        <v>0</v>
      </c>
      <c r="H2100" s="75" t="s">
        <v>10</v>
      </c>
    </row>
    <row r="2101" spans="1:8" x14ac:dyDescent="0.25">
      <c r="A2101" s="148">
        <v>44762</v>
      </c>
      <c r="B2101" s="149" t="s">
        <v>23437</v>
      </c>
      <c r="C2101" s="153" t="s">
        <v>670</v>
      </c>
      <c r="D2101" s="154">
        <v>4835.6000000000004</v>
      </c>
      <c r="E2101" s="155">
        <v>44762</v>
      </c>
      <c r="F2101" s="154">
        <v>4835.6000000000004</v>
      </c>
      <c r="G2101" s="156">
        <f>Tabla18[[#This Row],[Importe]]-Tabla18[[#This Row],[Pagado]]</f>
        <v>0</v>
      </c>
      <c r="H2101" s="153" t="s">
        <v>10</v>
      </c>
    </row>
    <row r="2102" spans="1:8" x14ac:dyDescent="0.25">
      <c r="A2102" s="73">
        <v>44762</v>
      </c>
      <c r="B2102" s="74" t="s">
        <v>23438</v>
      </c>
      <c r="C2102" s="75" t="s">
        <v>23439</v>
      </c>
      <c r="D2102" s="81">
        <v>0</v>
      </c>
      <c r="E2102" s="157" t="s">
        <v>189</v>
      </c>
      <c r="F2102" s="81">
        <v>0</v>
      </c>
      <c r="G2102" s="156">
        <f>Tabla18[[#This Row],[Importe]]-Tabla18[[#This Row],[Pagado]]</f>
        <v>0</v>
      </c>
      <c r="H2102" s="161" t="s">
        <v>23440</v>
      </c>
    </row>
    <row r="2103" spans="1:8" x14ac:dyDescent="0.25">
      <c r="A2103" s="148">
        <v>44762</v>
      </c>
      <c r="B2103" s="149" t="s">
        <v>23441</v>
      </c>
      <c r="C2103" s="153" t="s">
        <v>224</v>
      </c>
      <c r="D2103" s="154">
        <v>920</v>
      </c>
      <c r="E2103" s="155">
        <v>44762</v>
      </c>
      <c r="F2103" s="154">
        <v>920</v>
      </c>
      <c r="G2103" s="156">
        <f>Tabla18[[#This Row],[Importe]]-Tabla18[[#This Row],[Pagado]]</f>
        <v>0</v>
      </c>
      <c r="H2103" s="153" t="s">
        <v>10</v>
      </c>
    </row>
    <row r="2104" spans="1:8" x14ac:dyDescent="0.25">
      <c r="A2104" s="73">
        <v>44762</v>
      </c>
      <c r="B2104" s="74" t="s">
        <v>23442</v>
      </c>
      <c r="C2104" s="75" t="s">
        <v>191</v>
      </c>
      <c r="D2104" s="81">
        <v>1842.6</v>
      </c>
      <c r="E2104" s="151">
        <v>44762</v>
      </c>
      <c r="F2104" s="81">
        <v>1842.6</v>
      </c>
      <c r="G2104" s="156">
        <f>Tabla18[[#This Row],[Importe]]-Tabla18[[#This Row],[Pagado]]</f>
        <v>0</v>
      </c>
      <c r="H2104" s="75" t="s">
        <v>10</v>
      </c>
    </row>
    <row r="2105" spans="1:8" x14ac:dyDescent="0.25">
      <c r="A2105" s="148">
        <v>44762</v>
      </c>
      <c r="B2105" s="149" t="s">
        <v>23443</v>
      </c>
      <c r="C2105" s="153" t="s">
        <v>555</v>
      </c>
      <c r="D2105" s="154">
        <v>28344</v>
      </c>
      <c r="E2105" s="155">
        <v>44763</v>
      </c>
      <c r="F2105" s="154">
        <v>28344</v>
      </c>
      <c r="G2105" s="156">
        <f>Tabla18[[#This Row],[Importe]]-Tabla18[[#This Row],[Pagado]]</f>
        <v>0</v>
      </c>
      <c r="H2105" s="153" t="s">
        <v>10</v>
      </c>
    </row>
    <row r="2106" spans="1:8" x14ac:dyDescent="0.25">
      <c r="A2106" s="73">
        <v>44762</v>
      </c>
      <c r="B2106" s="74" t="s">
        <v>23444</v>
      </c>
      <c r="C2106" s="75" t="s">
        <v>555</v>
      </c>
      <c r="D2106" s="81">
        <v>1852.32</v>
      </c>
      <c r="E2106" s="151">
        <v>44763</v>
      </c>
      <c r="F2106" s="81">
        <v>1852.32</v>
      </c>
      <c r="G2106" s="156">
        <f>Tabla18[[#This Row],[Importe]]-Tabla18[[#This Row],[Pagado]]</f>
        <v>0</v>
      </c>
      <c r="H2106" s="75" t="s">
        <v>10</v>
      </c>
    </row>
    <row r="2107" spans="1:8" x14ac:dyDescent="0.25">
      <c r="A2107" s="148">
        <v>44762</v>
      </c>
      <c r="B2107" s="149" t="s">
        <v>23445</v>
      </c>
      <c r="C2107" s="153" t="s">
        <v>233</v>
      </c>
      <c r="D2107" s="154">
        <v>4712.7</v>
      </c>
      <c r="E2107" s="155">
        <v>44762</v>
      </c>
      <c r="F2107" s="154">
        <v>4712.7</v>
      </c>
      <c r="G2107" s="156">
        <f>Tabla18[[#This Row],[Importe]]-Tabla18[[#This Row],[Pagado]]</f>
        <v>0</v>
      </c>
      <c r="H2107" s="153" t="s">
        <v>10</v>
      </c>
    </row>
    <row r="2108" spans="1:8" x14ac:dyDescent="0.25">
      <c r="A2108" s="73">
        <v>44762</v>
      </c>
      <c r="B2108" s="74" t="s">
        <v>23446</v>
      </c>
      <c r="C2108" s="75" t="s">
        <v>31</v>
      </c>
      <c r="D2108" s="81">
        <v>1372.8</v>
      </c>
      <c r="E2108" s="151">
        <v>44762</v>
      </c>
      <c r="F2108" s="81">
        <v>1372.8</v>
      </c>
      <c r="G2108" s="156">
        <f>Tabla18[[#This Row],[Importe]]-Tabla18[[#This Row],[Pagado]]</f>
        <v>0</v>
      </c>
      <c r="H2108" s="75" t="s">
        <v>10</v>
      </c>
    </row>
    <row r="2109" spans="1:8" x14ac:dyDescent="0.25">
      <c r="A2109" s="148">
        <v>44762</v>
      </c>
      <c r="B2109" s="149" t="s">
        <v>23447</v>
      </c>
      <c r="C2109" s="153" t="s">
        <v>5816</v>
      </c>
      <c r="D2109" s="154">
        <v>12492</v>
      </c>
      <c r="E2109" s="155">
        <v>44763</v>
      </c>
      <c r="F2109" s="154">
        <v>12492</v>
      </c>
      <c r="G2109" s="156">
        <f>Tabla18[[#This Row],[Importe]]-Tabla18[[#This Row],[Pagado]]</f>
        <v>0</v>
      </c>
      <c r="H2109" s="153" t="s">
        <v>10</v>
      </c>
    </row>
    <row r="2110" spans="1:8" x14ac:dyDescent="0.25">
      <c r="A2110" s="73">
        <v>44762</v>
      </c>
      <c r="B2110" s="74" t="s">
        <v>23448</v>
      </c>
      <c r="C2110" s="75" t="s">
        <v>2139</v>
      </c>
      <c r="D2110" s="81">
        <v>5694</v>
      </c>
      <c r="E2110" s="151">
        <v>44762</v>
      </c>
      <c r="F2110" s="81">
        <v>5694</v>
      </c>
      <c r="G2110" s="156">
        <f>Tabla18[[#This Row],[Importe]]-Tabla18[[#This Row],[Pagado]]</f>
        <v>0</v>
      </c>
      <c r="H2110" s="75" t="s">
        <v>10</v>
      </c>
    </row>
    <row r="2111" spans="1:8" x14ac:dyDescent="0.25">
      <c r="A2111" s="148">
        <v>44762</v>
      </c>
      <c r="B2111" s="149" t="s">
        <v>23449</v>
      </c>
      <c r="C2111" s="153" t="s">
        <v>698</v>
      </c>
      <c r="D2111" s="154">
        <v>6462</v>
      </c>
      <c r="E2111" s="155">
        <v>44762</v>
      </c>
      <c r="F2111" s="154">
        <v>6462</v>
      </c>
      <c r="G2111" s="156">
        <f>Tabla18[[#This Row],[Importe]]-Tabla18[[#This Row],[Pagado]]</f>
        <v>0</v>
      </c>
      <c r="H2111" s="153" t="s">
        <v>10</v>
      </c>
    </row>
    <row r="2112" spans="1:8" x14ac:dyDescent="0.25">
      <c r="A2112" s="73">
        <v>44762</v>
      </c>
      <c r="B2112" s="74" t="s">
        <v>23450</v>
      </c>
      <c r="C2112" s="75" t="s">
        <v>541</v>
      </c>
      <c r="D2112" s="81">
        <v>97139.4</v>
      </c>
      <c r="E2112" s="151">
        <v>44763</v>
      </c>
      <c r="F2112" s="81">
        <v>97139.4</v>
      </c>
      <c r="G2112" s="156">
        <f>Tabla18[[#This Row],[Importe]]-Tabla18[[#This Row],[Pagado]]</f>
        <v>0</v>
      </c>
      <c r="H2112" s="75" t="s">
        <v>10</v>
      </c>
    </row>
    <row r="2113" spans="1:8" x14ac:dyDescent="0.25">
      <c r="A2113" s="148">
        <v>44762</v>
      </c>
      <c r="B2113" s="149" t="s">
        <v>23451</v>
      </c>
      <c r="C2113" s="153" t="s">
        <v>484</v>
      </c>
      <c r="D2113" s="154">
        <v>6037.2</v>
      </c>
      <c r="E2113" s="155">
        <v>44762</v>
      </c>
      <c r="F2113" s="154">
        <v>6037.2</v>
      </c>
      <c r="G2113" s="156">
        <f>Tabla18[[#This Row],[Importe]]-Tabla18[[#This Row],[Pagado]]</f>
        <v>0</v>
      </c>
      <c r="H2113" s="153" t="s">
        <v>10</v>
      </c>
    </row>
    <row r="2114" spans="1:8" x14ac:dyDescent="0.25">
      <c r="A2114" s="73">
        <v>44762</v>
      </c>
      <c r="B2114" s="74" t="s">
        <v>23452</v>
      </c>
      <c r="C2114" s="75" t="s">
        <v>212</v>
      </c>
      <c r="D2114" s="81">
        <v>51606.1</v>
      </c>
      <c r="E2114" s="151">
        <v>44765</v>
      </c>
      <c r="F2114" s="81">
        <v>51606.1</v>
      </c>
      <c r="G2114" s="156">
        <f>Tabla18[[#This Row],[Importe]]-Tabla18[[#This Row],[Pagado]]</f>
        <v>0</v>
      </c>
      <c r="H2114" s="75" t="s">
        <v>10</v>
      </c>
    </row>
    <row r="2115" spans="1:8" x14ac:dyDescent="0.25">
      <c r="A2115" s="148">
        <v>44762</v>
      </c>
      <c r="B2115" s="149" t="s">
        <v>23453</v>
      </c>
      <c r="C2115" s="153" t="s">
        <v>10954</v>
      </c>
      <c r="D2115" s="154">
        <v>0</v>
      </c>
      <c r="E2115" s="158" t="s">
        <v>189</v>
      </c>
      <c r="F2115" s="154">
        <v>0</v>
      </c>
      <c r="G2115" s="156">
        <f>Tabla18[[#This Row],[Importe]]-Tabla18[[#This Row],[Pagado]]</f>
        <v>0</v>
      </c>
      <c r="H2115" s="159" t="s">
        <v>23454</v>
      </c>
    </row>
    <row r="2116" spans="1:8" x14ac:dyDescent="0.25">
      <c r="A2116" s="73">
        <v>44762</v>
      </c>
      <c r="B2116" s="74" t="s">
        <v>23455</v>
      </c>
      <c r="C2116" s="75" t="s">
        <v>206</v>
      </c>
      <c r="D2116" s="81">
        <v>31969.1</v>
      </c>
      <c r="E2116" s="151">
        <v>44765</v>
      </c>
      <c r="F2116" s="81">
        <v>31969.1</v>
      </c>
      <c r="G2116" s="156">
        <f>Tabla18[[#This Row],[Importe]]-Tabla18[[#This Row],[Pagado]]</f>
        <v>0</v>
      </c>
      <c r="H2116" s="75" t="s">
        <v>10</v>
      </c>
    </row>
    <row r="2117" spans="1:8" x14ac:dyDescent="0.25">
      <c r="A2117" s="148">
        <v>44762</v>
      </c>
      <c r="B2117" s="149" t="s">
        <v>23456</v>
      </c>
      <c r="C2117" s="153" t="s">
        <v>218</v>
      </c>
      <c r="D2117" s="154">
        <v>16171.6</v>
      </c>
      <c r="E2117" s="155">
        <v>44765</v>
      </c>
      <c r="F2117" s="154">
        <v>16171.6</v>
      </c>
      <c r="G2117" s="156">
        <f>Tabla18[[#This Row],[Importe]]-Tabla18[[#This Row],[Pagado]]</f>
        <v>0</v>
      </c>
      <c r="H2117" s="153" t="s">
        <v>10</v>
      </c>
    </row>
    <row r="2118" spans="1:8" x14ac:dyDescent="0.25">
      <c r="A2118" s="73">
        <v>44762</v>
      </c>
      <c r="B2118" s="74" t="s">
        <v>23457</v>
      </c>
      <c r="C2118" s="75" t="s">
        <v>58</v>
      </c>
      <c r="D2118" s="81">
        <v>2934.1</v>
      </c>
      <c r="E2118" s="151">
        <v>44762</v>
      </c>
      <c r="F2118" s="81">
        <v>2934.1</v>
      </c>
      <c r="G2118" s="156">
        <f>Tabla18[[#This Row],[Importe]]-Tabla18[[#This Row],[Pagado]]</f>
        <v>0</v>
      </c>
      <c r="H2118" s="75" t="s">
        <v>10</v>
      </c>
    </row>
    <row r="2119" spans="1:8" x14ac:dyDescent="0.25">
      <c r="A2119" s="148">
        <v>44762</v>
      </c>
      <c r="B2119" s="149" t="s">
        <v>23458</v>
      </c>
      <c r="C2119" s="153" t="s">
        <v>133</v>
      </c>
      <c r="D2119" s="154">
        <v>13168</v>
      </c>
      <c r="E2119" s="155">
        <v>44763</v>
      </c>
      <c r="F2119" s="154">
        <v>13168</v>
      </c>
      <c r="G2119" s="156">
        <f>Tabla18[[#This Row],[Importe]]-Tabla18[[#This Row],[Pagado]]</f>
        <v>0</v>
      </c>
      <c r="H2119" s="153" t="s">
        <v>10</v>
      </c>
    </row>
    <row r="2120" spans="1:8" x14ac:dyDescent="0.25">
      <c r="A2120" s="73">
        <v>44762</v>
      </c>
      <c r="B2120" s="74" t="s">
        <v>23459</v>
      </c>
      <c r="C2120" s="75" t="s">
        <v>528</v>
      </c>
      <c r="D2120" s="81">
        <v>49760</v>
      </c>
      <c r="E2120" s="151">
        <v>44763</v>
      </c>
      <c r="F2120" s="81">
        <v>49760</v>
      </c>
      <c r="G2120" s="156">
        <f>Tabla18[[#This Row],[Importe]]-Tabla18[[#This Row],[Pagado]]</f>
        <v>0</v>
      </c>
      <c r="H2120" s="75" t="s">
        <v>10</v>
      </c>
    </row>
    <row r="2121" spans="1:8" x14ac:dyDescent="0.25">
      <c r="A2121" s="148">
        <v>44762</v>
      </c>
      <c r="B2121" s="149" t="s">
        <v>23460</v>
      </c>
      <c r="C2121" s="153" t="s">
        <v>154</v>
      </c>
      <c r="D2121" s="154">
        <v>44956.1</v>
      </c>
      <c r="E2121" s="155">
        <v>44765</v>
      </c>
      <c r="F2121" s="154">
        <v>44956.1</v>
      </c>
      <c r="G2121" s="156">
        <f>Tabla18[[#This Row],[Importe]]-Tabla18[[#This Row],[Pagado]]</f>
        <v>0</v>
      </c>
      <c r="H2121" s="153" t="s">
        <v>10</v>
      </c>
    </row>
    <row r="2122" spans="1:8" x14ac:dyDescent="0.25">
      <c r="A2122" s="73">
        <v>44762</v>
      </c>
      <c r="B2122" s="74" t="s">
        <v>23461</v>
      </c>
      <c r="C2122" s="75" t="s">
        <v>421</v>
      </c>
      <c r="D2122" s="81">
        <v>11033</v>
      </c>
      <c r="E2122" s="151">
        <v>44771</v>
      </c>
      <c r="F2122" s="81">
        <v>11033</v>
      </c>
      <c r="G2122" s="156">
        <f>Tabla18[[#This Row],[Importe]]-Tabla18[[#This Row],[Pagado]]</f>
        <v>0</v>
      </c>
      <c r="H2122" s="75" t="s">
        <v>10</v>
      </c>
    </row>
    <row r="2123" spans="1:8" x14ac:dyDescent="0.25">
      <c r="A2123" s="148">
        <v>44762</v>
      </c>
      <c r="B2123" s="149" t="s">
        <v>23462</v>
      </c>
      <c r="C2123" s="153" t="s">
        <v>15868</v>
      </c>
      <c r="D2123" s="154">
        <v>48568</v>
      </c>
      <c r="E2123" s="155">
        <v>44763</v>
      </c>
      <c r="F2123" s="154">
        <v>48568</v>
      </c>
      <c r="G2123" s="156">
        <f>Tabla18[[#This Row],[Importe]]-Tabla18[[#This Row],[Pagado]]</f>
        <v>0</v>
      </c>
      <c r="H2123" s="153" t="s">
        <v>10</v>
      </c>
    </row>
    <row r="2124" spans="1:8" x14ac:dyDescent="0.25">
      <c r="A2124" s="73">
        <v>44762</v>
      </c>
      <c r="B2124" s="74" t="s">
        <v>23463</v>
      </c>
      <c r="C2124" s="75" t="s">
        <v>22</v>
      </c>
      <c r="D2124" s="81">
        <v>7285.2</v>
      </c>
      <c r="E2124" s="151">
        <v>44763</v>
      </c>
      <c r="F2124" s="81">
        <v>7285.2</v>
      </c>
      <c r="G2124" s="156">
        <f>Tabla18[[#This Row],[Importe]]-Tabla18[[#This Row],[Pagado]]</f>
        <v>0</v>
      </c>
      <c r="H2124" s="75" t="s">
        <v>10</v>
      </c>
    </row>
    <row r="2125" spans="1:8" x14ac:dyDescent="0.25">
      <c r="A2125" s="148">
        <v>44762</v>
      </c>
      <c r="B2125" s="149" t="s">
        <v>23464</v>
      </c>
      <c r="C2125" s="153" t="s">
        <v>4136</v>
      </c>
      <c r="D2125" s="154">
        <v>2485.6999999999998</v>
      </c>
      <c r="E2125" s="155">
        <v>44762</v>
      </c>
      <c r="F2125" s="154">
        <v>2485.6999999999998</v>
      </c>
      <c r="G2125" s="156">
        <f>Tabla18[[#This Row],[Importe]]-Tabla18[[#This Row],[Pagado]]</f>
        <v>0</v>
      </c>
      <c r="H2125" s="153" t="s">
        <v>10</v>
      </c>
    </row>
    <row r="2126" spans="1:8" x14ac:dyDescent="0.25">
      <c r="A2126" s="73">
        <v>44762</v>
      </c>
      <c r="B2126" s="74" t="s">
        <v>23465</v>
      </c>
      <c r="C2126" s="75" t="s">
        <v>419</v>
      </c>
      <c r="D2126" s="81">
        <v>6574.7</v>
      </c>
      <c r="E2126" s="151">
        <v>44762</v>
      </c>
      <c r="F2126" s="81">
        <v>6574.7</v>
      </c>
      <c r="G2126" s="156">
        <f>Tabla18[[#This Row],[Importe]]-Tabla18[[#This Row],[Pagado]]</f>
        <v>0</v>
      </c>
      <c r="H2126" s="75" t="s">
        <v>10</v>
      </c>
    </row>
    <row r="2127" spans="1:8" x14ac:dyDescent="0.25">
      <c r="A2127" s="148">
        <v>44762</v>
      </c>
      <c r="B2127" s="149" t="s">
        <v>23466</v>
      </c>
      <c r="C2127" s="153" t="s">
        <v>214</v>
      </c>
      <c r="D2127" s="154">
        <v>1458.6</v>
      </c>
      <c r="E2127" s="155">
        <v>44762</v>
      </c>
      <c r="F2127" s="154">
        <v>1458.6</v>
      </c>
      <c r="G2127" s="156">
        <f>Tabla18[[#This Row],[Importe]]-Tabla18[[#This Row],[Pagado]]</f>
        <v>0</v>
      </c>
      <c r="H2127" s="153" t="s">
        <v>10</v>
      </c>
    </row>
    <row r="2128" spans="1:8" x14ac:dyDescent="0.25">
      <c r="A2128" s="73">
        <v>44762</v>
      </c>
      <c r="B2128" s="74" t="s">
        <v>23467</v>
      </c>
      <c r="C2128" s="75" t="s">
        <v>1174</v>
      </c>
      <c r="D2128" s="81">
        <v>27070.400000000001</v>
      </c>
      <c r="E2128" s="151">
        <v>44762</v>
      </c>
      <c r="F2128" s="81">
        <v>27070.400000000001</v>
      </c>
      <c r="G2128" s="156">
        <f>Tabla18[[#This Row],[Importe]]-Tabla18[[#This Row],[Pagado]]</f>
        <v>0</v>
      </c>
      <c r="H2128" s="75" t="s">
        <v>10</v>
      </c>
    </row>
    <row r="2129" spans="1:8" x14ac:dyDescent="0.25">
      <c r="A2129" s="148">
        <v>44762</v>
      </c>
      <c r="B2129" s="149" t="s">
        <v>23468</v>
      </c>
      <c r="C2129" s="153" t="s">
        <v>9827</v>
      </c>
      <c r="D2129" s="154">
        <v>3283.8</v>
      </c>
      <c r="E2129" s="155">
        <v>44762</v>
      </c>
      <c r="F2129" s="154">
        <v>3283.8</v>
      </c>
      <c r="G2129" s="156">
        <f>Tabla18[[#This Row],[Importe]]-Tabla18[[#This Row],[Pagado]]</f>
        <v>0</v>
      </c>
      <c r="H2129" s="153" t="s">
        <v>10</v>
      </c>
    </row>
    <row r="2130" spans="1:8" x14ac:dyDescent="0.25">
      <c r="A2130" s="73">
        <v>44762</v>
      </c>
      <c r="B2130" s="74" t="s">
        <v>23469</v>
      </c>
      <c r="C2130" s="75" t="s">
        <v>91</v>
      </c>
      <c r="D2130" s="81">
        <v>780</v>
      </c>
      <c r="E2130" s="151">
        <v>44765</v>
      </c>
      <c r="F2130" s="81">
        <v>780</v>
      </c>
      <c r="G2130" s="156">
        <f>Tabla18[[#This Row],[Importe]]-Tabla18[[#This Row],[Pagado]]</f>
        <v>0</v>
      </c>
      <c r="H2130" s="75" t="s">
        <v>10</v>
      </c>
    </row>
    <row r="2131" spans="1:8" x14ac:dyDescent="0.25">
      <c r="A2131" s="148">
        <v>44762</v>
      </c>
      <c r="B2131" s="149" t="s">
        <v>23470</v>
      </c>
      <c r="C2131" s="153" t="s">
        <v>181</v>
      </c>
      <c r="D2131" s="154">
        <v>16070.4</v>
      </c>
      <c r="E2131" s="155">
        <v>44763</v>
      </c>
      <c r="F2131" s="154">
        <v>16070.4</v>
      </c>
      <c r="G2131" s="156">
        <f>Tabla18[[#This Row],[Importe]]-Tabla18[[#This Row],[Pagado]]</f>
        <v>0</v>
      </c>
      <c r="H2131" s="153" t="s">
        <v>10</v>
      </c>
    </row>
    <row r="2132" spans="1:8" x14ac:dyDescent="0.25">
      <c r="A2132" s="73">
        <v>44762</v>
      </c>
      <c r="B2132" s="74" t="s">
        <v>23471</v>
      </c>
      <c r="C2132" s="75" t="s">
        <v>175</v>
      </c>
      <c r="D2132" s="81">
        <v>17757.7</v>
      </c>
      <c r="E2132" s="151">
        <v>44763</v>
      </c>
      <c r="F2132" s="81">
        <v>17757.7</v>
      </c>
      <c r="G2132" s="156">
        <f>Tabla18[[#This Row],[Importe]]-Tabla18[[#This Row],[Pagado]]</f>
        <v>0</v>
      </c>
      <c r="H2132" s="75" t="s">
        <v>10</v>
      </c>
    </row>
    <row r="2133" spans="1:8" x14ac:dyDescent="0.25">
      <c r="A2133" s="148">
        <v>44762</v>
      </c>
      <c r="B2133" s="149" t="s">
        <v>23472</v>
      </c>
      <c r="C2133" s="153" t="s">
        <v>200</v>
      </c>
      <c r="D2133" s="154">
        <v>1224.5999999999999</v>
      </c>
      <c r="E2133" s="155">
        <v>44763</v>
      </c>
      <c r="F2133" s="154">
        <v>1224.5999999999999</v>
      </c>
      <c r="G2133" s="156">
        <f>Tabla18[[#This Row],[Importe]]-Tabla18[[#This Row],[Pagado]]</f>
        <v>0</v>
      </c>
      <c r="H2133" s="153" t="s">
        <v>10</v>
      </c>
    </row>
    <row r="2134" spans="1:8" x14ac:dyDescent="0.25">
      <c r="A2134" s="73">
        <v>44762</v>
      </c>
      <c r="B2134" s="74" t="s">
        <v>23473</v>
      </c>
      <c r="C2134" s="75" t="s">
        <v>10819</v>
      </c>
      <c r="D2134" s="81">
        <v>836.2</v>
      </c>
      <c r="E2134" s="151">
        <v>44763</v>
      </c>
      <c r="F2134" s="81">
        <v>836.2</v>
      </c>
      <c r="G2134" s="156">
        <f>Tabla18[[#This Row],[Importe]]-Tabla18[[#This Row],[Pagado]]</f>
        <v>0</v>
      </c>
      <c r="H2134" s="75" t="s">
        <v>10</v>
      </c>
    </row>
    <row r="2135" spans="1:8" x14ac:dyDescent="0.25">
      <c r="A2135" s="148">
        <v>44762</v>
      </c>
      <c r="B2135" s="149" t="s">
        <v>23474</v>
      </c>
      <c r="C2135" s="153" t="s">
        <v>284</v>
      </c>
      <c r="D2135" s="154">
        <v>9204</v>
      </c>
      <c r="E2135" s="155">
        <v>44763</v>
      </c>
      <c r="F2135" s="154">
        <v>9204</v>
      </c>
      <c r="G2135" s="156">
        <f>Tabla18[[#This Row],[Importe]]-Tabla18[[#This Row],[Pagado]]</f>
        <v>0</v>
      </c>
      <c r="H2135" s="153" t="s">
        <v>10</v>
      </c>
    </row>
    <row r="2136" spans="1:8" x14ac:dyDescent="0.25">
      <c r="A2136" s="73">
        <v>44762</v>
      </c>
      <c r="B2136" s="74" t="s">
        <v>23475</v>
      </c>
      <c r="C2136" s="75" t="s">
        <v>5345</v>
      </c>
      <c r="D2136" s="81">
        <v>2792.4</v>
      </c>
      <c r="E2136" s="151">
        <v>44763</v>
      </c>
      <c r="F2136" s="81">
        <v>2792.4</v>
      </c>
      <c r="G2136" s="156">
        <f>Tabla18[[#This Row],[Importe]]-Tabla18[[#This Row],[Pagado]]</f>
        <v>0</v>
      </c>
      <c r="H2136" s="75" t="s">
        <v>10</v>
      </c>
    </row>
    <row r="2137" spans="1:8" x14ac:dyDescent="0.25">
      <c r="A2137" s="148">
        <v>44762</v>
      </c>
      <c r="B2137" s="149" t="s">
        <v>23476</v>
      </c>
      <c r="C2137" s="153" t="s">
        <v>280</v>
      </c>
      <c r="D2137" s="154">
        <v>1302.5999999999999</v>
      </c>
      <c r="E2137" s="155">
        <v>44763</v>
      </c>
      <c r="F2137" s="154">
        <v>1302.5999999999999</v>
      </c>
      <c r="G2137" s="156">
        <f>Tabla18[[#This Row],[Importe]]-Tabla18[[#This Row],[Pagado]]</f>
        <v>0</v>
      </c>
      <c r="H2137" s="153" t="s">
        <v>10</v>
      </c>
    </row>
    <row r="2138" spans="1:8" x14ac:dyDescent="0.25">
      <c r="A2138" s="73">
        <v>44762</v>
      </c>
      <c r="B2138" s="74" t="s">
        <v>23477</v>
      </c>
      <c r="C2138" s="75" t="s">
        <v>282</v>
      </c>
      <c r="D2138" s="81">
        <v>1466.4</v>
      </c>
      <c r="E2138" s="151">
        <v>44763</v>
      </c>
      <c r="F2138" s="81">
        <v>1466.4</v>
      </c>
      <c r="G2138" s="156">
        <f>Tabla18[[#This Row],[Importe]]-Tabla18[[#This Row],[Pagado]]</f>
        <v>0</v>
      </c>
      <c r="H2138" s="75" t="s">
        <v>10</v>
      </c>
    </row>
    <row r="2139" spans="1:8" x14ac:dyDescent="0.25">
      <c r="A2139" s="148">
        <v>44762</v>
      </c>
      <c r="B2139" s="149" t="s">
        <v>23478</v>
      </c>
      <c r="C2139" s="153" t="s">
        <v>1265</v>
      </c>
      <c r="D2139" s="154">
        <v>696.6</v>
      </c>
      <c r="E2139" s="155">
        <v>44762</v>
      </c>
      <c r="F2139" s="154">
        <v>696.6</v>
      </c>
      <c r="G2139" s="156">
        <f>Tabla18[[#This Row],[Importe]]-Tabla18[[#This Row],[Pagado]]</f>
        <v>0</v>
      </c>
      <c r="H2139" s="153" t="s">
        <v>10</v>
      </c>
    </row>
    <row r="2140" spans="1:8" x14ac:dyDescent="0.25">
      <c r="A2140" s="73">
        <v>44762</v>
      </c>
      <c r="B2140" s="74" t="s">
        <v>23479</v>
      </c>
      <c r="C2140" s="75" t="s">
        <v>14</v>
      </c>
      <c r="D2140" s="81">
        <v>11437</v>
      </c>
      <c r="E2140" s="151">
        <v>44762</v>
      </c>
      <c r="F2140" s="81">
        <v>11437</v>
      </c>
      <c r="G2140" s="156">
        <f>Tabla18[[#This Row],[Importe]]-Tabla18[[#This Row],[Pagado]]</f>
        <v>0</v>
      </c>
      <c r="H2140" s="75" t="s">
        <v>10</v>
      </c>
    </row>
    <row r="2141" spans="1:8" x14ac:dyDescent="0.25">
      <c r="A2141" s="148">
        <v>44762</v>
      </c>
      <c r="B2141" s="149" t="s">
        <v>23480</v>
      </c>
      <c r="C2141" s="153" t="s">
        <v>605</v>
      </c>
      <c r="D2141" s="154">
        <v>52786.400000000001</v>
      </c>
      <c r="E2141" s="155">
        <v>44763</v>
      </c>
      <c r="F2141" s="154">
        <v>52786.400000000001</v>
      </c>
      <c r="G2141" s="156">
        <f>Tabla18[[#This Row],[Importe]]-Tabla18[[#This Row],[Pagado]]</f>
        <v>0</v>
      </c>
      <c r="H2141" s="153" t="s">
        <v>10</v>
      </c>
    </row>
    <row r="2142" spans="1:8" x14ac:dyDescent="0.25">
      <c r="A2142" s="73">
        <v>44762</v>
      </c>
      <c r="B2142" s="74" t="s">
        <v>23481</v>
      </c>
      <c r="C2142" s="75" t="s">
        <v>1008</v>
      </c>
      <c r="D2142" s="81">
        <v>750</v>
      </c>
      <c r="E2142" s="151">
        <v>44762</v>
      </c>
      <c r="F2142" s="81">
        <v>750</v>
      </c>
      <c r="G2142" s="156">
        <f>Tabla18[[#This Row],[Importe]]-Tabla18[[#This Row],[Pagado]]</f>
        <v>0</v>
      </c>
      <c r="H2142" s="75" t="s">
        <v>10</v>
      </c>
    </row>
    <row r="2143" spans="1:8" x14ac:dyDescent="0.25">
      <c r="A2143" s="148">
        <v>44762</v>
      </c>
      <c r="B2143" s="149" t="s">
        <v>23482</v>
      </c>
      <c r="C2143" s="153" t="s">
        <v>463</v>
      </c>
      <c r="D2143" s="154">
        <v>67</v>
      </c>
      <c r="E2143" s="155">
        <v>44762</v>
      </c>
      <c r="F2143" s="154">
        <v>67</v>
      </c>
      <c r="G2143" s="156">
        <f>Tabla18[[#This Row],[Importe]]-Tabla18[[#This Row],[Pagado]]</f>
        <v>0</v>
      </c>
      <c r="H2143" s="153" t="s">
        <v>10</v>
      </c>
    </row>
    <row r="2144" spans="1:8" x14ac:dyDescent="0.25">
      <c r="A2144" s="73">
        <v>44762</v>
      </c>
      <c r="B2144" s="74" t="s">
        <v>23483</v>
      </c>
      <c r="C2144" s="75" t="s">
        <v>463</v>
      </c>
      <c r="D2144" s="81">
        <v>53</v>
      </c>
      <c r="E2144" s="151">
        <v>44762</v>
      </c>
      <c r="F2144" s="81">
        <v>53</v>
      </c>
      <c r="G2144" s="156">
        <f>Tabla18[[#This Row],[Importe]]-Tabla18[[#This Row],[Pagado]]</f>
        <v>0</v>
      </c>
      <c r="H2144" s="75" t="s">
        <v>10</v>
      </c>
    </row>
    <row r="2145" spans="1:8" x14ac:dyDescent="0.25">
      <c r="A2145" s="148">
        <v>44762</v>
      </c>
      <c r="B2145" s="149" t="s">
        <v>23484</v>
      </c>
      <c r="C2145" s="153" t="s">
        <v>450</v>
      </c>
      <c r="D2145" s="154">
        <v>542.79999999999995</v>
      </c>
      <c r="E2145" s="155">
        <v>44762</v>
      </c>
      <c r="F2145" s="154">
        <v>542.79999999999995</v>
      </c>
      <c r="G2145" s="156">
        <f>Tabla18[[#This Row],[Importe]]-Tabla18[[#This Row],[Pagado]]</f>
        <v>0</v>
      </c>
      <c r="H2145" s="153" t="s">
        <v>10</v>
      </c>
    </row>
    <row r="2146" spans="1:8" x14ac:dyDescent="0.25">
      <c r="A2146" s="73">
        <v>44762</v>
      </c>
      <c r="B2146" s="74" t="s">
        <v>23485</v>
      </c>
      <c r="C2146" s="75" t="s">
        <v>7313</v>
      </c>
      <c r="D2146" s="81">
        <v>58486.2</v>
      </c>
      <c r="E2146" s="151">
        <v>44762</v>
      </c>
      <c r="F2146" s="81">
        <v>58486.2</v>
      </c>
      <c r="G2146" s="156">
        <f>Tabla18[[#This Row],[Importe]]-Tabla18[[#This Row],[Pagado]]</f>
        <v>0</v>
      </c>
      <c r="H2146" s="75" t="s">
        <v>10</v>
      </c>
    </row>
    <row r="2147" spans="1:8" x14ac:dyDescent="0.25">
      <c r="A2147" s="148">
        <v>44762</v>
      </c>
      <c r="B2147" s="149" t="s">
        <v>23486</v>
      </c>
      <c r="C2147" s="153" t="s">
        <v>191</v>
      </c>
      <c r="D2147" s="154">
        <v>646.79999999999995</v>
      </c>
      <c r="E2147" s="155">
        <v>44762</v>
      </c>
      <c r="F2147" s="154">
        <v>646.79999999999995</v>
      </c>
      <c r="G2147" s="156">
        <f>Tabla18[[#This Row],[Importe]]-Tabla18[[#This Row],[Pagado]]</f>
        <v>0</v>
      </c>
      <c r="H2147" s="153" t="s">
        <v>10</v>
      </c>
    </row>
    <row r="2148" spans="1:8" x14ac:dyDescent="0.25">
      <c r="A2148" s="73">
        <v>44762</v>
      </c>
      <c r="B2148" s="74" t="s">
        <v>23487</v>
      </c>
      <c r="C2148" s="75" t="s">
        <v>31</v>
      </c>
      <c r="D2148" s="81">
        <v>91.3</v>
      </c>
      <c r="E2148" s="151">
        <v>44762</v>
      </c>
      <c r="F2148" s="81">
        <v>91.3</v>
      </c>
      <c r="G2148" s="156">
        <f>Tabla18[[#This Row],[Importe]]-Tabla18[[#This Row],[Pagado]]</f>
        <v>0</v>
      </c>
      <c r="H2148" s="75" t="s">
        <v>10</v>
      </c>
    </row>
    <row r="2149" spans="1:8" x14ac:dyDescent="0.25">
      <c r="A2149" s="148">
        <v>44762</v>
      </c>
      <c r="B2149" s="149" t="s">
        <v>23488</v>
      </c>
      <c r="C2149" s="153" t="s">
        <v>409</v>
      </c>
      <c r="D2149" s="154">
        <v>6465</v>
      </c>
      <c r="E2149" s="155">
        <v>44764</v>
      </c>
      <c r="F2149" s="154">
        <v>6465</v>
      </c>
      <c r="G2149" s="156">
        <f>Tabla18[[#This Row],[Importe]]-Tabla18[[#This Row],[Pagado]]</f>
        <v>0</v>
      </c>
      <c r="H2149" s="153" t="s">
        <v>10</v>
      </c>
    </row>
    <row r="2150" spans="1:8" x14ac:dyDescent="0.25">
      <c r="A2150" s="73">
        <v>44762</v>
      </c>
      <c r="B2150" s="74" t="s">
        <v>23489</v>
      </c>
      <c r="C2150" s="75" t="s">
        <v>127</v>
      </c>
      <c r="D2150" s="81">
        <v>4542.6000000000004</v>
      </c>
      <c r="E2150" s="151">
        <v>44762</v>
      </c>
      <c r="F2150" s="81">
        <v>4542.6000000000004</v>
      </c>
      <c r="G2150" s="156">
        <f>Tabla18[[#This Row],[Importe]]-Tabla18[[#This Row],[Pagado]]</f>
        <v>0</v>
      </c>
      <c r="H2150" s="75" t="s">
        <v>10</v>
      </c>
    </row>
    <row r="2151" spans="1:8" x14ac:dyDescent="0.25">
      <c r="A2151" s="148">
        <v>44762</v>
      </c>
      <c r="B2151" s="149" t="s">
        <v>23490</v>
      </c>
      <c r="C2151" s="153" t="s">
        <v>31</v>
      </c>
      <c r="D2151" s="154">
        <v>1808</v>
      </c>
      <c r="E2151" s="155">
        <v>44762</v>
      </c>
      <c r="F2151" s="154">
        <v>1808</v>
      </c>
      <c r="G2151" s="156">
        <f>Tabla18[[#This Row],[Importe]]-Tabla18[[#This Row],[Pagado]]</f>
        <v>0</v>
      </c>
      <c r="H2151" s="153" t="s">
        <v>10</v>
      </c>
    </row>
    <row r="2152" spans="1:8" x14ac:dyDescent="0.25">
      <c r="A2152" s="73">
        <v>44762</v>
      </c>
      <c r="B2152" s="74" t="s">
        <v>23491</v>
      </c>
      <c r="C2152" s="75" t="s">
        <v>610</v>
      </c>
      <c r="D2152" s="81">
        <v>24137.599999999999</v>
      </c>
      <c r="E2152" s="151">
        <v>44762</v>
      </c>
      <c r="F2152" s="81">
        <v>24137.599999999999</v>
      </c>
      <c r="G2152" s="156">
        <f>Tabla18[[#This Row],[Importe]]-Tabla18[[#This Row],[Pagado]]</f>
        <v>0</v>
      </c>
      <c r="H2152" s="75" t="s">
        <v>10</v>
      </c>
    </row>
    <row r="2153" spans="1:8" x14ac:dyDescent="0.25">
      <c r="A2153" s="148">
        <v>44762</v>
      </c>
      <c r="B2153" s="149" t="s">
        <v>23492</v>
      </c>
      <c r="C2153" s="153" t="s">
        <v>402</v>
      </c>
      <c r="D2153" s="154">
        <v>21194.6</v>
      </c>
      <c r="E2153" s="155">
        <v>44768</v>
      </c>
      <c r="F2153" s="154">
        <v>21194.6</v>
      </c>
      <c r="G2153" s="156">
        <f>Tabla18[[#This Row],[Importe]]-Tabla18[[#This Row],[Pagado]]</f>
        <v>0</v>
      </c>
      <c r="H2153" s="153" t="s">
        <v>10</v>
      </c>
    </row>
    <row r="2154" spans="1:8" x14ac:dyDescent="0.25">
      <c r="A2154" s="73">
        <v>44762</v>
      </c>
      <c r="B2154" s="74" t="s">
        <v>23493</v>
      </c>
      <c r="C2154" s="75" t="s">
        <v>291</v>
      </c>
      <c r="D2154" s="81">
        <v>2960</v>
      </c>
      <c r="E2154" s="151">
        <v>44763</v>
      </c>
      <c r="F2154" s="81">
        <v>2960</v>
      </c>
      <c r="G2154" s="156">
        <f>Tabla18[[#This Row],[Importe]]-Tabla18[[#This Row],[Pagado]]</f>
        <v>0</v>
      </c>
      <c r="H2154" s="75" t="s">
        <v>10</v>
      </c>
    </row>
    <row r="2155" spans="1:8" x14ac:dyDescent="0.25">
      <c r="A2155" s="148">
        <v>44762</v>
      </c>
      <c r="B2155" s="149" t="s">
        <v>23494</v>
      </c>
      <c r="C2155" s="153" t="s">
        <v>296</v>
      </c>
      <c r="D2155" s="154">
        <v>1263.5999999999999</v>
      </c>
      <c r="E2155" s="155">
        <v>44762</v>
      </c>
      <c r="F2155" s="154">
        <v>1263.5999999999999</v>
      </c>
      <c r="G2155" s="156">
        <f>Tabla18[[#This Row],[Importe]]-Tabla18[[#This Row],[Pagado]]</f>
        <v>0</v>
      </c>
      <c r="H2155" s="153" t="s">
        <v>10</v>
      </c>
    </row>
    <row r="2156" spans="1:8" x14ac:dyDescent="0.25">
      <c r="A2156" s="73">
        <v>44762</v>
      </c>
      <c r="B2156" s="74" t="s">
        <v>23495</v>
      </c>
      <c r="C2156" s="75" t="s">
        <v>9577</v>
      </c>
      <c r="D2156" s="81">
        <v>32444</v>
      </c>
      <c r="E2156" s="151">
        <v>44763</v>
      </c>
      <c r="F2156" s="81">
        <v>32444</v>
      </c>
      <c r="G2156" s="156">
        <f>Tabla18[[#This Row],[Importe]]-Tabla18[[#This Row],[Pagado]]</f>
        <v>0</v>
      </c>
      <c r="H2156" s="75" t="s">
        <v>10</v>
      </c>
    </row>
    <row r="2157" spans="1:8" x14ac:dyDescent="0.25">
      <c r="A2157" s="148">
        <v>44763</v>
      </c>
      <c r="B2157" s="149" t="s">
        <v>23496</v>
      </c>
      <c r="C2157" s="153" t="s">
        <v>20</v>
      </c>
      <c r="D2157" s="154">
        <v>3400</v>
      </c>
      <c r="E2157" s="155">
        <v>44763</v>
      </c>
      <c r="F2157" s="154">
        <v>3400</v>
      </c>
      <c r="G2157" s="156">
        <f>Tabla18[[#This Row],[Importe]]-Tabla18[[#This Row],[Pagado]]</f>
        <v>0</v>
      </c>
      <c r="H2157" s="153" t="s">
        <v>10</v>
      </c>
    </row>
    <row r="2158" spans="1:8" x14ac:dyDescent="0.25">
      <c r="A2158" s="73">
        <v>44763</v>
      </c>
      <c r="B2158" s="74" t="s">
        <v>23497</v>
      </c>
      <c r="C2158" s="75" t="s">
        <v>887</v>
      </c>
      <c r="D2158" s="81">
        <v>13827</v>
      </c>
      <c r="E2158" s="151">
        <v>44763</v>
      </c>
      <c r="F2158" s="81">
        <v>13827</v>
      </c>
      <c r="G2158" s="156">
        <f>Tabla18[[#This Row],[Importe]]-Tabla18[[#This Row],[Pagado]]</f>
        <v>0</v>
      </c>
      <c r="H2158" s="75" t="s">
        <v>10</v>
      </c>
    </row>
    <row r="2159" spans="1:8" x14ac:dyDescent="0.25">
      <c r="A2159" s="148">
        <v>44763</v>
      </c>
      <c r="B2159" s="149" t="s">
        <v>23498</v>
      </c>
      <c r="C2159" s="153" t="s">
        <v>475</v>
      </c>
      <c r="D2159" s="154">
        <v>71214.2</v>
      </c>
      <c r="E2159" s="155">
        <v>44764</v>
      </c>
      <c r="F2159" s="154">
        <v>71214.2</v>
      </c>
      <c r="G2159" s="156">
        <f>Tabla18[[#This Row],[Importe]]-Tabla18[[#This Row],[Pagado]]</f>
        <v>0</v>
      </c>
      <c r="H2159" s="153" t="s">
        <v>10</v>
      </c>
    </row>
    <row r="2160" spans="1:8" x14ac:dyDescent="0.25">
      <c r="A2160" s="73">
        <v>44763</v>
      </c>
      <c r="B2160" s="74" t="s">
        <v>23499</v>
      </c>
      <c r="C2160" s="75" t="s">
        <v>473</v>
      </c>
      <c r="D2160" s="81">
        <v>6220.5</v>
      </c>
      <c r="E2160" s="151">
        <v>44763</v>
      </c>
      <c r="F2160" s="81">
        <v>6220.5</v>
      </c>
      <c r="G2160" s="156">
        <f>Tabla18[[#This Row],[Importe]]-Tabla18[[#This Row],[Pagado]]</f>
        <v>0</v>
      </c>
      <c r="H2160" s="75" t="s">
        <v>10</v>
      </c>
    </row>
    <row r="2161" spans="1:8" x14ac:dyDescent="0.25">
      <c r="A2161" s="148">
        <v>44763</v>
      </c>
      <c r="B2161" s="149" t="s">
        <v>23500</v>
      </c>
      <c r="C2161" s="153" t="s">
        <v>618</v>
      </c>
      <c r="D2161" s="154">
        <v>10941.9</v>
      </c>
      <c r="E2161" s="155">
        <v>44763</v>
      </c>
      <c r="F2161" s="154">
        <v>10941.9</v>
      </c>
      <c r="G2161" s="156">
        <f>Tabla18[[#This Row],[Importe]]-Tabla18[[#This Row],[Pagado]]</f>
        <v>0</v>
      </c>
      <c r="H2161" s="153" t="s">
        <v>10</v>
      </c>
    </row>
    <row r="2162" spans="1:8" x14ac:dyDescent="0.25">
      <c r="A2162" s="73">
        <v>44763</v>
      </c>
      <c r="B2162" s="74" t="s">
        <v>23501</v>
      </c>
      <c r="C2162" s="75" t="s">
        <v>75</v>
      </c>
      <c r="D2162" s="81">
        <v>8576</v>
      </c>
      <c r="E2162" s="151">
        <v>44763</v>
      </c>
      <c r="F2162" s="81">
        <v>8576</v>
      </c>
      <c r="G2162" s="156">
        <f>Tabla18[[#This Row],[Importe]]-Tabla18[[#This Row],[Pagado]]</f>
        <v>0</v>
      </c>
      <c r="H2162" s="75" t="s">
        <v>10</v>
      </c>
    </row>
    <row r="2163" spans="1:8" x14ac:dyDescent="0.25">
      <c r="A2163" s="148">
        <v>44763</v>
      </c>
      <c r="B2163" s="149" t="s">
        <v>23502</v>
      </c>
      <c r="C2163" s="153" t="s">
        <v>85</v>
      </c>
      <c r="D2163" s="154">
        <v>1500</v>
      </c>
      <c r="E2163" s="155">
        <v>44763</v>
      </c>
      <c r="F2163" s="154">
        <v>1500</v>
      </c>
      <c r="G2163" s="156">
        <f>Tabla18[[#This Row],[Importe]]-Tabla18[[#This Row],[Pagado]]</f>
        <v>0</v>
      </c>
      <c r="H2163" s="153" t="s">
        <v>10</v>
      </c>
    </row>
    <row r="2164" spans="1:8" x14ac:dyDescent="0.25">
      <c r="A2164" s="73">
        <v>44763</v>
      </c>
      <c r="B2164" s="74" t="s">
        <v>23503</v>
      </c>
      <c r="C2164" s="75" t="s">
        <v>109</v>
      </c>
      <c r="D2164" s="81">
        <v>5299.2</v>
      </c>
      <c r="E2164" s="151">
        <v>44764</v>
      </c>
      <c r="F2164" s="81">
        <v>5299.2</v>
      </c>
      <c r="G2164" s="156">
        <f>Tabla18[[#This Row],[Importe]]-Tabla18[[#This Row],[Pagado]]</f>
        <v>0</v>
      </c>
      <c r="H2164" s="75" t="s">
        <v>10</v>
      </c>
    </row>
    <row r="2165" spans="1:8" x14ac:dyDescent="0.25">
      <c r="A2165" s="148">
        <v>44763</v>
      </c>
      <c r="B2165" s="149" t="s">
        <v>23504</v>
      </c>
      <c r="C2165" s="153" t="s">
        <v>97</v>
      </c>
      <c r="D2165" s="154">
        <v>5121.6000000000004</v>
      </c>
      <c r="E2165" s="155">
        <v>44764</v>
      </c>
      <c r="F2165" s="154">
        <v>5121.6000000000004</v>
      </c>
      <c r="G2165" s="156">
        <f>Tabla18[[#This Row],[Importe]]-Tabla18[[#This Row],[Pagado]]</f>
        <v>0</v>
      </c>
      <c r="H2165" s="153" t="s">
        <v>10</v>
      </c>
    </row>
    <row r="2166" spans="1:8" x14ac:dyDescent="0.25">
      <c r="A2166" s="73">
        <v>44763</v>
      </c>
      <c r="B2166" s="74" t="s">
        <v>23505</v>
      </c>
      <c r="C2166" s="75" t="s">
        <v>111</v>
      </c>
      <c r="D2166" s="81">
        <v>4883.2</v>
      </c>
      <c r="E2166" s="151">
        <v>44764</v>
      </c>
      <c r="F2166" s="81">
        <v>4883.2</v>
      </c>
      <c r="G2166" s="156">
        <f>Tabla18[[#This Row],[Importe]]-Tabla18[[#This Row],[Pagado]]</f>
        <v>0</v>
      </c>
      <c r="H2166" s="75" t="s">
        <v>10</v>
      </c>
    </row>
    <row r="2167" spans="1:8" x14ac:dyDescent="0.25">
      <c r="A2167" s="148">
        <v>44763</v>
      </c>
      <c r="B2167" s="149" t="s">
        <v>23506</v>
      </c>
      <c r="C2167" s="153" t="s">
        <v>64</v>
      </c>
      <c r="D2167" s="154">
        <v>5689.2</v>
      </c>
      <c r="E2167" s="155">
        <v>44764</v>
      </c>
      <c r="F2167" s="154">
        <v>5689.2</v>
      </c>
      <c r="G2167" s="156">
        <f>Tabla18[[#This Row],[Importe]]-Tabla18[[#This Row],[Pagado]]</f>
        <v>0</v>
      </c>
      <c r="H2167" s="153" t="s">
        <v>10</v>
      </c>
    </row>
    <row r="2168" spans="1:8" x14ac:dyDescent="0.25">
      <c r="A2168" s="73">
        <v>44763</v>
      </c>
      <c r="B2168" s="74" t="s">
        <v>23507</v>
      </c>
      <c r="C2168" s="75" t="s">
        <v>348</v>
      </c>
      <c r="D2168" s="81">
        <v>9645.6</v>
      </c>
      <c r="E2168" s="151">
        <v>44763</v>
      </c>
      <c r="F2168" s="81">
        <v>9645.6</v>
      </c>
      <c r="G2168" s="156">
        <f>Tabla18[[#This Row],[Importe]]-Tabla18[[#This Row],[Pagado]]</f>
        <v>0</v>
      </c>
      <c r="H2168" s="75" t="s">
        <v>10</v>
      </c>
    </row>
    <row r="2169" spans="1:8" x14ac:dyDescent="0.25">
      <c r="A2169" s="148">
        <v>44763</v>
      </c>
      <c r="B2169" s="149" t="s">
        <v>23508</v>
      </c>
      <c r="C2169" s="153" t="s">
        <v>93</v>
      </c>
      <c r="D2169" s="154">
        <v>8684.5</v>
      </c>
      <c r="E2169" s="155">
        <v>44765</v>
      </c>
      <c r="F2169" s="154">
        <v>8684.5</v>
      </c>
      <c r="G2169" s="156">
        <f>Tabla18[[#This Row],[Importe]]-Tabla18[[#This Row],[Pagado]]</f>
        <v>0</v>
      </c>
      <c r="H2169" s="153" t="s">
        <v>10</v>
      </c>
    </row>
    <row r="2170" spans="1:8" ht="31.5" x14ac:dyDescent="0.25">
      <c r="A2170" s="73">
        <v>44763</v>
      </c>
      <c r="B2170" s="74" t="s">
        <v>23509</v>
      </c>
      <c r="C2170" s="75" t="s">
        <v>99</v>
      </c>
      <c r="D2170" s="81">
        <v>7046</v>
      </c>
      <c r="E2170" s="147" t="s">
        <v>23510</v>
      </c>
      <c r="F2170" s="81">
        <f>5000+2046</f>
        <v>7046</v>
      </c>
      <c r="G2170" s="156">
        <f>Tabla18[[#This Row],[Importe]]-Tabla18[[#This Row],[Pagado]]</f>
        <v>0</v>
      </c>
      <c r="H2170" s="75" t="s">
        <v>10</v>
      </c>
    </row>
    <row r="2171" spans="1:8" x14ac:dyDescent="0.25">
      <c r="A2171" s="148">
        <v>44763</v>
      </c>
      <c r="B2171" s="149" t="s">
        <v>23511</v>
      </c>
      <c r="C2171" s="153" t="s">
        <v>105</v>
      </c>
      <c r="D2171" s="154">
        <v>7094.8</v>
      </c>
      <c r="E2171" s="155">
        <v>44764</v>
      </c>
      <c r="F2171" s="154">
        <v>7094.8</v>
      </c>
      <c r="G2171" s="156">
        <f>Tabla18[[#This Row],[Importe]]-Tabla18[[#This Row],[Pagado]]</f>
        <v>0</v>
      </c>
      <c r="H2171" s="153" t="s">
        <v>10</v>
      </c>
    </row>
    <row r="2172" spans="1:8" x14ac:dyDescent="0.25">
      <c r="A2172" s="73">
        <v>44763</v>
      </c>
      <c r="B2172" s="74" t="s">
        <v>23512</v>
      </c>
      <c r="C2172" s="75" t="s">
        <v>179</v>
      </c>
      <c r="D2172" s="81">
        <v>1464</v>
      </c>
      <c r="E2172" s="151">
        <v>44763</v>
      </c>
      <c r="F2172" s="81">
        <v>1464</v>
      </c>
      <c r="G2172" s="156">
        <f>Tabla18[[#This Row],[Importe]]-Tabla18[[#This Row],[Pagado]]</f>
        <v>0</v>
      </c>
      <c r="H2172" s="75" t="s">
        <v>10</v>
      </c>
    </row>
    <row r="2173" spans="1:8" x14ac:dyDescent="0.25">
      <c r="A2173" s="148">
        <v>44763</v>
      </c>
      <c r="B2173" s="149" t="s">
        <v>23513</v>
      </c>
      <c r="C2173" s="153" t="s">
        <v>326</v>
      </c>
      <c r="D2173" s="154">
        <v>6921</v>
      </c>
      <c r="E2173" s="155">
        <v>44764</v>
      </c>
      <c r="F2173" s="154">
        <v>6921</v>
      </c>
      <c r="G2173" s="156">
        <f>Tabla18[[#This Row],[Importe]]-Tabla18[[#This Row],[Pagado]]</f>
        <v>0</v>
      </c>
      <c r="H2173" s="153" t="s">
        <v>10</v>
      </c>
    </row>
    <row r="2174" spans="1:8" x14ac:dyDescent="0.25">
      <c r="A2174" s="73">
        <v>44763</v>
      </c>
      <c r="B2174" s="74" t="s">
        <v>23514</v>
      </c>
      <c r="C2174" s="75" t="s">
        <v>481</v>
      </c>
      <c r="D2174" s="81">
        <v>623.6</v>
      </c>
      <c r="E2174" s="151">
        <v>44763</v>
      </c>
      <c r="F2174" s="81">
        <v>623.6</v>
      </c>
      <c r="G2174" s="156">
        <f>Tabla18[[#This Row],[Importe]]-Tabla18[[#This Row],[Pagado]]</f>
        <v>0</v>
      </c>
      <c r="H2174" s="75" t="s">
        <v>10</v>
      </c>
    </row>
    <row r="2175" spans="1:8" x14ac:dyDescent="0.25">
      <c r="A2175" s="148">
        <v>44763</v>
      </c>
      <c r="B2175" s="149" t="s">
        <v>23515</v>
      </c>
      <c r="C2175" s="153" t="s">
        <v>89</v>
      </c>
      <c r="D2175" s="154">
        <v>8205.7000000000007</v>
      </c>
      <c r="E2175" s="155">
        <v>44764</v>
      </c>
      <c r="F2175" s="154">
        <v>8205.7000000000007</v>
      </c>
      <c r="G2175" s="156">
        <f>Tabla18[[#This Row],[Importe]]-Tabla18[[#This Row],[Pagado]]</f>
        <v>0</v>
      </c>
      <c r="H2175" s="153" t="s">
        <v>10</v>
      </c>
    </row>
    <row r="2176" spans="1:8" x14ac:dyDescent="0.25">
      <c r="A2176" s="73">
        <v>44763</v>
      </c>
      <c r="B2176" s="74" t="s">
        <v>23516</v>
      </c>
      <c r="C2176" s="75" t="s">
        <v>2151</v>
      </c>
      <c r="D2176" s="81">
        <v>20386.7</v>
      </c>
      <c r="E2176" s="151">
        <v>44763</v>
      </c>
      <c r="F2176" s="81">
        <v>20386.7</v>
      </c>
      <c r="G2176" s="156">
        <f>Tabla18[[#This Row],[Importe]]-Tabla18[[#This Row],[Pagado]]</f>
        <v>0</v>
      </c>
      <c r="H2176" s="75" t="s">
        <v>10</v>
      </c>
    </row>
    <row r="2177" spans="1:8" x14ac:dyDescent="0.25">
      <c r="A2177" s="148">
        <v>44763</v>
      </c>
      <c r="B2177" s="149" t="s">
        <v>23517</v>
      </c>
      <c r="C2177" s="153" t="s">
        <v>87</v>
      </c>
      <c r="D2177" s="154">
        <v>3072</v>
      </c>
      <c r="E2177" s="155">
        <v>44763</v>
      </c>
      <c r="F2177" s="154">
        <v>3072</v>
      </c>
      <c r="G2177" s="156">
        <f>Tabla18[[#This Row],[Importe]]-Tabla18[[#This Row],[Pagado]]</f>
        <v>0</v>
      </c>
      <c r="H2177" s="153" t="s">
        <v>10</v>
      </c>
    </row>
    <row r="2178" spans="1:8" x14ac:dyDescent="0.25">
      <c r="A2178" s="73">
        <v>44763</v>
      </c>
      <c r="B2178" s="74" t="s">
        <v>23518</v>
      </c>
      <c r="C2178" s="75" t="s">
        <v>9993</v>
      </c>
      <c r="D2178" s="81">
        <v>6367.4</v>
      </c>
      <c r="E2178" s="151">
        <v>44763</v>
      </c>
      <c r="F2178" s="81">
        <v>6367.4</v>
      </c>
      <c r="G2178" s="156">
        <f>Tabla18[[#This Row],[Importe]]-Tabla18[[#This Row],[Pagado]]</f>
        <v>0</v>
      </c>
      <c r="H2178" s="75" t="s">
        <v>10</v>
      </c>
    </row>
    <row r="2179" spans="1:8" x14ac:dyDescent="0.25">
      <c r="A2179" s="148">
        <v>44763</v>
      </c>
      <c r="B2179" s="149" t="s">
        <v>23519</v>
      </c>
      <c r="C2179" s="153" t="s">
        <v>135</v>
      </c>
      <c r="D2179" s="154">
        <v>2537.4</v>
      </c>
      <c r="E2179" s="155">
        <v>44763</v>
      </c>
      <c r="F2179" s="154">
        <v>2537.4</v>
      </c>
      <c r="G2179" s="156">
        <f>Tabla18[[#This Row],[Importe]]-Tabla18[[#This Row],[Pagado]]</f>
        <v>0</v>
      </c>
      <c r="H2179" s="153" t="s">
        <v>10</v>
      </c>
    </row>
    <row r="2180" spans="1:8" x14ac:dyDescent="0.25">
      <c r="A2180" s="73">
        <v>44763</v>
      </c>
      <c r="B2180" s="74" t="s">
        <v>23520</v>
      </c>
      <c r="C2180" s="75" t="s">
        <v>9</v>
      </c>
      <c r="D2180" s="81">
        <v>10815.6</v>
      </c>
      <c r="E2180" s="151">
        <v>44763</v>
      </c>
      <c r="F2180" s="81">
        <v>10815.6</v>
      </c>
      <c r="G2180" s="156">
        <f>Tabla18[[#This Row],[Importe]]-Tabla18[[#This Row],[Pagado]]</f>
        <v>0</v>
      </c>
      <c r="H2180" s="75" t="s">
        <v>10</v>
      </c>
    </row>
    <row r="2181" spans="1:8" x14ac:dyDescent="0.25">
      <c r="A2181" s="148">
        <v>44763</v>
      </c>
      <c r="B2181" s="149" t="s">
        <v>23521</v>
      </c>
      <c r="C2181" s="153" t="s">
        <v>1187</v>
      </c>
      <c r="D2181" s="154">
        <v>2666.6</v>
      </c>
      <c r="E2181" s="155">
        <v>44763</v>
      </c>
      <c r="F2181" s="154">
        <v>2666.6</v>
      </c>
      <c r="G2181" s="156">
        <f>Tabla18[[#This Row],[Importe]]-Tabla18[[#This Row],[Pagado]]</f>
        <v>0</v>
      </c>
      <c r="H2181" s="153" t="s">
        <v>10</v>
      </c>
    </row>
    <row r="2182" spans="1:8" x14ac:dyDescent="0.25">
      <c r="A2182" s="73">
        <v>44763</v>
      </c>
      <c r="B2182" s="74" t="s">
        <v>23522</v>
      </c>
      <c r="C2182" s="75" t="s">
        <v>91</v>
      </c>
      <c r="D2182" s="81">
        <v>9600</v>
      </c>
      <c r="E2182" s="151">
        <v>44765</v>
      </c>
      <c r="F2182" s="81">
        <v>9600</v>
      </c>
      <c r="G2182" s="156">
        <f>Tabla18[[#This Row],[Importe]]-Tabla18[[#This Row],[Pagado]]</f>
        <v>0</v>
      </c>
      <c r="H2182" s="75" t="s">
        <v>10</v>
      </c>
    </row>
    <row r="2183" spans="1:8" x14ac:dyDescent="0.25">
      <c r="A2183" s="148">
        <v>44763</v>
      </c>
      <c r="B2183" s="149" t="s">
        <v>23523</v>
      </c>
      <c r="C2183" s="153" t="s">
        <v>131</v>
      </c>
      <c r="D2183" s="154">
        <v>1353</v>
      </c>
      <c r="E2183" s="155">
        <v>44763</v>
      </c>
      <c r="F2183" s="154">
        <v>1353</v>
      </c>
      <c r="G2183" s="156">
        <f>Tabla18[[#This Row],[Importe]]-Tabla18[[#This Row],[Pagado]]</f>
        <v>0</v>
      </c>
      <c r="H2183" s="153" t="s">
        <v>10</v>
      </c>
    </row>
    <row r="2184" spans="1:8" ht="31.5" x14ac:dyDescent="0.25">
      <c r="A2184" s="73">
        <v>44763</v>
      </c>
      <c r="B2184" s="74" t="s">
        <v>23524</v>
      </c>
      <c r="C2184" s="75" t="s">
        <v>22</v>
      </c>
      <c r="D2184" s="81">
        <v>43634.6</v>
      </c>
      <c r="E2184" s="147" t="s">
        <v>23525</v>
      </c>
      <c r="F2184" s="81">
        <f>30000+13634.6</f>
        <v>43634.6</v>
      </c>
      <c r="G2184" s="156">
        <f>Tabla18[[#This Row],[Importe]]-Tabla18[[#This Row],[Pagado]]</f>
        <v>0</v>
      </c>
      <c r="H2184" s="75" t="s">
        <v>10</v>
      </c>
    </row>
    <row r="2185" spans="1:8" x14ac:dyDescent="0.25">
      <c r="A2185" s="148">
        <v>44763</v>
      </c>
      <c r="B2185" s="149" t="s">
        <v>23526</v>
      </c>
      <c r="C2185" s="153" t="s">
        <v>142</v>
      </c>
      <c r="D2185" s="154">
        <v>40894.36</v>
      </c>
      <c r="E2185" s="155">
        <v>44799</v>
      </c>
      <c r="F2185" s="154">
        <v>40894.36</v>
      </c>
      <c r="G2185" s="156">
        <f>Tabla18[[#This Row],[Importe]]-Tabla18[[#This Row],[Pagado]]</f>
        <v>0</v>
      </c>
      <c r="H2185" s="153" t="s">
        <v>10</v>
      </c>
    </row>
    <row r="2186" spans="1:8" x14ac:dyDescent="0.25">
      <c r="A2186" s="73">
        <v>44763</v>
      </c>
      <c r="B2186" s="74" t="s">
        <v>23527</v>
      </c>
      <c r="C2186" s="75" t="s">
        <v>11033</v>
      </c>
      <c r="D2186" s="81">
        <v>1892.4</v>
      </c>
      <c r="E2186" s="151">
        <v>44763</v>
      </c>
      <c r="F2186" s="81">
        <v>1892.4</v>
      </c>
      <c r="G2186" s="156">
        <f>Tabla18[[#This Row],[Importe]]-Tabla18[[#This Row],[Pagado]]</f>
        <v>0</v>
      </c>
      <c r="H2186" s="75" t="s">
        <v>10</v>
      </c>
    </row>
    <row r="2187" spans="1:8" x14ac:dyDescent="0.25">
      <c r="A2187" s="148">
        <v>44763</v>
      </c>
      <c r="B2187" s="149" t="s">
        <v>23528</v>
      </c>
      <c r="C2187" s="153" t="s">
        <v>11033</v>
      </c>
      <c r="D2187" s="154">
        <v>276</v>
      </c>
      <c r="E2187" s="155">
        <v>44763</v>
      </c>
      <c r="F2187" s="154">
        <v>276</v>
      </c>
      <c r="G2187" s="156">
        <f>Tabla18[[#This Row],[Importe]]-Tabla18[[#This Row],[Pagado]]</f>
        <v>0</v>
      </c>
      <c r="H2187" s="153" t="s">
        <v>10</v>
      </c>
    </row>
    <row r="2188" spans="1:8" x14ac:dyDescent="0.25">
      <c r="A2188" s="73">
        <v>44763</v>
      </c>
      <c r="B2188" s="74" t="s">
        <v>23529</v>
      </c>
      <c r="C2188" s="75" t="s">
        <v>56</v>
      </c>
      <c r="D2188" s="81">
        <v>8448.6</v>
      </c>
      <c r="E2188" s="151">
        <v>44763</v>
      </c>
      <c r="F2188" s="81">
        <v>8448.6</v>
      </c>
      <c r="G2188" s="156">
        <f>Tabla18[[#This Row],[Importe]]-Tabla18[[#This Row],[Pagado]]</f>
        <v>0</v>
      </c>
      <c r="H2188" s="75" t="s">
        <v>10</v>
      </c>
    </row>
    <row r="2189" spans="1:8" x14ac:dyDescent="0.25">
      <c r="A2189" s="148">
        <v>44763</v>
      </c>
      <c r="B2189" s="149" t="s">
        <v>23530</v>
      </c>
      <c r="C2189" s="153" t="s">
        <v>56</v>
      </c>
      <c r="D2189" s="154">
        <v>445.5</v>
      </c>
      <c r="E2189" s="155">
        <v>44763</v>
      </c>
      <c r="F2189" s="154">
        <v>445.5</v>
      </c>
      <c r="G2189" s="156">
        <f>Tabla18[[#This Row],[Importe]]-Tabla18[[#This Row],[Pagado]]</f>
        <v>0</v>
      </c>
      <c r="H2189" s="153" t="s">
        <v>10</v>
      </c>
    </row>
    <row r="2190" spans="1:8" x14ac:dyDescent="0.25">
      <c r="A2190" s="73">
        <v>44763</v>
      </c>
      <c r="B2190" s="74" t="s">
        <v>23531</v>
      </c>
      <c r="C2190" s="75" t="s">
        <v>196</v>
      </c>
      <c r="D2190" s="81">
        <v>144209.19</v>
      </c>
      <c r="E2190" s="151">
        <v>44765</v>
      </c>
      <c r="F2190" s="81">
        <v>144209.19</v>
      </c>
      <c r="G2190" s="156">
        <f>Tabla18[[#This Row],[Importe]]-Tabla18[[#This Row],[Pagado]]</f>
        <v>0</v>
      </c>
      <c r="H2190" s="75" t="s">
        <v>10</v>
      </c>
    </row>
    <row r="2191" spans="1:8" x14ac:dyDescent="0.25">
      <c r="A2191" s="148">
        <v>44763</v>
      </c>
      <c r="B2191" s="149" t="s">
        <v>23532</v>
      </c>
      <c r="C2191" s="153" t="s">
        <v>647</v>
      </c>
      <c r="D2191" s="154">
        <v>3751.9</v>
      </c>
      <c r="E2191" s="155">
        <v>44763</v>
      </c>
      <c r="F2191" s="154">
        <v>3751.9</v>
      </c>
      <c r="G2191" s="156">
        <f>Tabla18[[#This Row],[Importe]]-Tabla18[[#This Row],[Pagado]]</f>
        <v>0</v>
      </c>
      <c r="H2191" s="153" t="s">
        <v>10</v>
      </c>
    </row>
    <row r="2192" spans="1:8" x14ac:dyDescent="0.25">
      <c r="A2192" s="73">
        <v>44763</v>
      </c>
      <c r="B2192" s="74" t="s">
        <v>23533</v>
      </c>
      <c r="C2192" s="75" t="s">
        <v>45</v>
      </c>
      <c r="D2192" s="81">
        <v>14025.8</v>
      </c>
      <c r="E2192" s="151">
        <v>44763</v>
      </c>
      <c r="F2192" s="81">
        <v>14025.8</v>
      </c>
      <c r="G2192" s="156">
        <f>Tabla18[[#This Row],[Importe]]-Tabla18[[#This Row],[Pagado]]</f>
        <v>0</v>
      </c>
      <c r="H2192" s="75" t="s">
        <v>10</v>
      </c>
    </row>
    <row r="2193" spans="1:8" x14ac:dyDescent="0.25">
      <c r="A2193" s="148">
        <v>44763</v>
      </c>
      <c r="B2193" s="149" t="s">
        <v>23534</v>
      </c>
      <c r="C2193" s="153" t="s">
        <v>525</v>
      </c>
      <c r="D2193" s="154">
        <v>2624</v>
      </c>
      <c r="E2193" s="155">
        <v>44764</v>
      </c>
      <c r="F2193" s="154">
        <v>2624</v>
      </c>
      <c r="G2193" s="156">
        <f>Tabla18[[#This Row],[Importe]]-Tabla18[[#This Row],[Pagado]]</f>
        <v>0</v>
      </c>
      <c r="H2193" s="153" t="s">
        <v>10</v>
      </c>
    </row>
    <row r="2194" spans="1:8" x14ac:dyDescent="0.25">
      <c r="A2194" s="73">
        <v>44763</v>
      </c>
      <c r="B2194" s="74" t="s">
        <v>23535</v>
      </c>
      <c r="C2194" s="75" t="s">
        <v>49</v>
      </c>
      <c r="D2194" s="81">
        <v>3610.3</v>
      </c>
      <c r="E2194" s="151">
        <v>44763</v>
      </c>
      <c r="F2194" s="81">
        <v>3610.3</v>
      </c>
      <c r="G2194" s="156">
        <f>Tabla18[[#This Row],[Importe]]-Tabla18[[#This Row],[Pagado]]</f>
        <v>0</v>
      </c>
      <c r="H2194" s="75" t="s">
        <v>10</v>
      </c>
    </row>
    <row r="2195" spans="1:8" x14ac:dyDescent="0.25">
      <c r="A2195" s="148">
        <v>44763</v>
      </c>
      <c r="B2195" s="149" t="s">
        <v>23536</v>
      </c>
      <c r="C2195" s="153" t="s">
        <v>151</v>
      </c>
      <c r="D2195" s="154">
        <v>6956.4</v>
      </c>
      <c r="E2195" s="155">
        <v>44764</v>
      </c>
      <c r="F2195" s="154">
        <v>6956.4</v>
      </c>
      <c r="G2195" s="156">
        <f>Tabla18[[#This Row],[Importe]]-Tabla18[[#This Row],[Pagado]]</f>
        <v>0</v>
      </c>
      <c r="H2195" s="153" t="s">
        <v>10</v>
      </c>
    </row>
    <row r="2196" spans="1:8" x14ac:dyDescent="0.25">
      <c r="A2196" s="73">
        <v>44763</v>
      </c>
      <c r="B2196" s="74" t="s">
        <v>23537</v>
      </c>
      <c r="C2196" s="75" t="s">
        <v>966</v>
      </c>
      <c r="D2196" s="81">
        <v>3152.32</v>
      </c>
      <c r="E2196" s="151">
        <v>44764</v>
      </c>
      <c r="F2196" s="81">
        <v>3152.32</v>
      </c>
      <c r="G2196" s="156">
        <f>Tabla18[[#This Row],[Importe]]-Tabla18[[#This Row],[Pagado]]</f>
        <v>0</v>
      </c>
      <c r="H2196" s="75" t="s">
        <v>10</v>
      </c>
    </row>
    <row r="2197" spans="1:8" x14ac:dyDescent="0.25">
      <c r="A2197" s="148">
        <v>44763</v>
      </c>
      <c r="B2197" s="149" t="s">
        <v>23538</v>
      </c>
      <c r="C2197" s="153" t="s">
        <v>157</v>
      </c>
      <c r="D2197" s="154">
        <v>6436.9</v>
      </c>
      <c r="E2197" s="155">
        <v>44764</v>
      </c>
      <c r="F2197" s="154">
        <v>6436.9</v>
      </c>
      <c r="G2197" s="156">
        <f>Tabla18[[#This Row],[Importe]]-Tabla18[[#This Row],[Pagado]]</f>
        <v>0</v>
      </c>
      <c r="H2197" s="153" t="s">
        <v>10</v>
      </c>
    </row>
    <row r="2198" spans="1:8" x14ac:dyDescent="0.25">
      <c r="A2198" s="73">
        <v>44763</v>
      </c>
      <c r="B2198" s="74" t="s">
        <v>23539</v>
      </c>
      <c r="C2198" s="75" t="s">
        <v>22783</v>
      </c>
      <c r="D2198" s="81">
        <v>2041.8</v>
      </c>
      <c r="E2198" s="151">
        <v>44763</v>
      </c>
      <c r="F2198" s="81">
        <v>2041.8</v>
      </c>
      <c r="G2198" s="156">
        <f>Tabla18[[#This Row],[Importe]]-Tabla18[[#This Row],[Pagado]]</f>
        <v>0</v>
      </c>
      <c r="H2198" s="75" t="s">
        <v>10</v>
      </c>
    </row>
    <row r="2199" spans="1:8" x14ac:dyDescent="0.25">
      <c r="A2199" s="148">
        <v>44763</v>
      </c>
      <c r="B2199" s="149" t="s">
        <v>23540</v>
      </c>
      <c r="C2199" s="153" t="s">
        <v>79</v>
      </c>
      <c r="D2199" s="154">
        <v>21456</v>
      </c>
      <c r="E2199" s="155">
        <v>44764</v>
      </c>
      <c r="F2199" s="154">
        <v>21456</v>
      </c>
      <c r="G2199" s="156">
        <f>Tabla18[[#This Row],[Importe]]-Tabla18[[#This Row],[Pagado]]</f>
        <v>0</v>
      </c>
      <c r="H2199" s="153" t="s">
        <v>10</v>
      </c>
    </row>
    <row r="2200" spans="1:8" x14ac:dyDescent="0.25">
      <c r="A2200" s="73">
        <v>44763</v>
      </c>
      <c r="B2200" s="74" t="s">
        <v>23541</v>
      </c>
      <c r="C2200" s="75" t="s">
        <v>24</v>
      </c>
      <c r="D2200" s="81">
        <v>618</v>
      </c>
      <c r="E2200" s="151">
        <v>44763</v>
      </c>
      <c r="F2200" s="81">
        <v>618</v>
      </c>
      <c r="G2200" s="156">
        <f>Tabla18[[#This Row],[Importe]]-Tabla18[[#This Row],[Pagado]]</f>
        <v>0</v>
      </c>
      <c r="H2200" s="75" t="s">
        <v>10</v>
      </c>
    </row>
    <row r="2201" spans="1:8" x14ac:dyDescent="0.25">
      <c r="A2201" s="148">
        <v>44763</v>
      </c>
      <c r="B2201" s="149" t="s">
        <v>23542</v>
      </c>
      <c r="C2201" s="153" t="s">
        <v>520</v>
      </c>
      <c r="D2201" s="154">
        <v>12308</v>
      </c>
      <c r="E2201" s="155">
        <v>44763</v>
      </c>
      <c r="F2201" s="154">
        <v>12308</v>
      </c>
      <c r="G2201" s="156">
        <f>Tabla18[[#This Row],[Importe]]-Tabla18[[#This Row],[Pagado]]</f>
        <v>0</v>
      </c>
      <c r="H2201" s="153" t="s">
        <v>10</v>
      </c>
    </row>
    <row r="2202" spans="1:8" x14ac:dyDescent="0.25">
      <c r="A2202" s="73">
        <v>44763</v>
      </c>
      <c r="B2202" s="74" t="s">
        <v>23543</v>
      </c>
      <c r="C2202" s="75" t="s">
        <v>91</v>
      </c>
      <c r="D2202" s="81">
        <v>5600</v>
      </c>
      <c r="E2202" s="151">
        <v>44763</v>
      </c>
      <c r="F2202" s="81">
        <v>5600</v>
      </c>
      <c r="G2202" s="156">
        <f>Tabla18[[#This Row],[Importe]]-Tabla18[[#This Row],[Pagado]]</f>
        <v>0</v>
      </c>
      <c r="H2202" s="75" t="s">
        <v>10</v>
      </c>
    </row>
    <row r="2203" spans="1:8" x14ac:dyDescent="0.25">
      <c r="A2203" s="148">
        <v>44763</v>
      </c>
      <c r="B2203" s="149" t="s">
        <v>23544</v>
      </c>
      <c r="C2203" s="153" t="s">
        <v>319</v>
      </c>
      <c r="D2203" s="154">
        <v>10302.6</v>
      </c>
      <c r="E2203" s="155">
        <v>44764</v>
      </c>
      <c r="F2203" s="154">
        <v>10302.6</v>
      </c>
      <c r="G2203" s="156">
        <f>Tabla18[[#This Row],[Importe]]-Tabla18[[#This Row],[Pagado]]</f>
        <v>0</v>
      </c>
      <c r="H2203" s="153" t="s">
        <v>10</v>
      </c>
    </row>
    <row r="2204" spans="1:8" x14ac:dyDescent="0.25">
      <c r="A2204" s="73">
        <v>44763</v>
      </c>
      <c r="B2204" s="74" t="s">
        <v>23545</v>
      </c>
      <c r="C2204" s="75" t="s">
        <v>29</v>
      </c>
      <c r="D2204" s="81">
        <v>5544</v>
      </c>
      <c r="E2204" s="151">
        <v>44763</v>
      </c>
      <c r="F2204" s="81">
        <v>5544</v>
      </c>
      <c r="G2204" s="156">
        <f>Tabla18[[#This Row],[Importe]]-Tabla18[[#This Row],[Pagado]]</f>
        <v>0</v>
      </c>
      <c r="H2204" s="75" t="s">
        <v>10</v>
      </c>
    </row>
    <row r="2205" spans="1:8" x14ac:dyDescent="0.25">
      <c r="A2205" s="148">
        <v>44763</v>
      </c>
      <c r="B2205" s="149" t="s">
        <v>23546</v>
      </c>
      <c r="C2205" s="153" t="s">
        <v>224</v>
      </c>
      <c r="D2205" s="154">
        <v>561.6</v>
      </c>
      <c r="E2205" s="155">
        <v>44763</v>
      </c>
      <c r="F2205" s="154">
        <v>561.6</v>
      </c>
      <c r="G2205" s="156">
        <f>Tabla18[[#This Row],[Importe]]-Tabla18[[#This Row],[Pagado]]</f>
        <v>0</v>
      </c>
      <c r="H2205" s="153" t="s">
        <v>10</v>
      </c>
    </row>
    <row r="2206" spans="1:8" x14ac:dyDescent="0.25">
      <c r="A2206" s="73">
        <v>44763</v>
      </c>
      <c r="B2206" s="74" t="s">
        <v>23547</v>
      </c>
      <c r="C2206" s="75" t="s">
        <v>107</v>
      </c>
      <c r="D2206" s="81">
        <v>16807.400000000001</v>
      </c>
      <c r="E2206" s="151">
        <v>44763</v>
      </c>
      <c r="F2206" s="81">
        <v>16807.400000000001</v>
      </c>
      <c r="G2206" s="156">
        <f>Tabla18[[#This Row],[Importe]]-Tabla18[[#This Row],[Pagado]]</f>
        <v>0</v>
      </c>
      <c r="H2206" s="75" t="s">
        <v>10</v>
      </c>
    </row>
    <row r="2207" spans="1:8" x14ac:dyDescent="0.25">
      <c r="A2207" s="148">
        <v>44763</v>
      </c>
      <c r="B2207" s="149" t="s">
        <v>23548</v>
      </c>
      <c r="C2207" s="153" t="s">
        <v>214</v>
      </c>
      <c r="D2207" s="154">
        <v>5446.8</v>
      </c>
      <c r="E2207" s="155">
        <v>44764</v>
      </c>
      <c r="F2207" s="154">
        <v>5446.8</v>
      </c>
      <c r="G2207" s="156">
        <f>Tabla18[[#This Row],[Importe]]-Tabla18[[#This Row],[Pagado]]</f>
        <v>0</v>
      </c>
      <c r="H2207" s="153" t="s">
        <v>10</v>
      </c>
    </row>
    <row r="2208" spans="1:8" x14ac:dyDescent="0.25">
      <c r="A2208" s="73">
        <v>44763</v>
      </c>
      <c r="B2208" s="74" t="s">
        <v>23549</v>
      </c>
      <c r="C2208" s="75" t="s">
        <v>159</v>
      </c>
      <c r="D2208" s="81">
        <v>3564.6</v>
      </c>
      <c r="E2208" s="151">
        <v>44764</v>
      </c>
      <c r="F2208" s="81">
        <v>3564.6</v>
      </c>
      <c r="G2208" s="156">
        <f>Tabla18[[#This Row],[Importe]]-Tabla18[[#This Row],[Pagado]]</f>
        <v>0</v>
      </c>
      <c r="H2208" s="75" t="s">
        <v>10</v>
      </c>
    </row>
    <row r="2209" spans="1:8" x14ac:dyDescent="0.25">
      <c r="A2209" s="148">
        <v>44763</v>
      </c>
      <c r="B2209" s="149" t="s">
        <v>23550</v>
      </c>
      <c r="C2209" s="153" t="s">
        <v>228</v>
      </c>
      <c r="D2209" s="154">
        <v>6864</v>
      </c>
      <c r="E2209" s="155">
        <v>44763</v>
      </c>
      <c r="F2209" s="154">
        <v>6864</v>
      </c>
      <c r="G2209" s="156">
        <f>Tabla18[[#This Row],[Importe]]-Tabla18[[#This Row],[Pagado]]</f>
        <v>0</v>
      </c>
      <c r="H2209" s="153" t="s">
        <v>10</v>
      </c>
    </row>
    <row r="2210" spans="1:8" x14ac:dyDescent="0.25">
      <c r="A2210" s="73">
        <v>44763</v>
      </c>
      <c r="B2210" s="74" t="s">
        <v>23551</v>
      </c>
      <c r="C2210" s="75" t="s">
        <v>140</v>
      </c>
      <c r="D2210" s="81">
        <v>5039.6000000000004</v>
      </c>
      <c r="E2210" s="151">
        <v>44763</v>
      </c>
      <c r="F2210" s="81">
        <v>5039.6000000000004</v>
      </c>
      <c r="G2210" s="156">
        <f>Tabla18[[#This Row],[Importe]]-Tabla18[[#This Row],[Pagado]]</f>
        <v>0</v>
      </c>
      <c r="H2210" s="75" t="s">
        <v>10</v>
      </c>
    </row>
    <row r="2211" spans="1:8" x14ac:dyDescent="0.25">
      <c r="A2211" s="148">
        <v>44763</v>
      </c>
      <c r="B2211" s="149" t="s">
        <v>23552</v>
      </c>
      <c r="C2211" s="153" t="s">
        <v>129</v>
      </c>
      <c r="D2211" s="154">
        <v>1310.4000000000001</v>
      </c>
      <c r="E2211" s="155">
        <v>44763</v>
      </c>
      <c r="F2211" s="154">
        <v>1310.4000000000001</v>
      </c>
      <c r="G2211" s="156">
        <f>Tabla18[[#This Row],[Importe]]-Tabla18[[#This Row],[Pagado]]</f>
        <v>0</v>
      </c>
      <c r="H2211" s="153" t="s">
        <v>10</v>
      </c>
    </row>
    <row r="2212" spans="1:8" x14ac:dyDescent="0.25">
      <c r="A2212" s="73">
        <v>44763</v>
      </c>
      <c r="B2212" s="74" t="s">
        <v>23553</v>
      </c>
      <c r="C2212" s="75" t="s">
        <v>333</v>
      </c>
      <c r="D2212" s="81">
        <v>2007.6</v>
      </c>
      <c r="E2212" s="151">
        <v>44763</v>
      </c>
      <c r="F2212" s="81">
        <v>2007.6</v>
      </c>
      <c r="G2212" s="156">
        <f>Tabla18[[#This Row],[Importe]]-Tabla18[[#This Row],[Pagado]]</f>
        <v>0</v>
      </c>
      <c r="H2212" s="75" t="s">
        <v>10</v>
      </c>
    </row>
    <row r="2213" spans="1:8" x14ac:dyDescent="0.25">
      <c r="A2213" s="148">
        <v>44763</v>
      </c>
      <c r="B2213" s="149" t="s">
        <v>23554</v>
      </c>
      <c r="C2213" s="153" t="s">
        <v>146</v>
      </c>
      <c r="D2213" s="154">
        <v>3830.4</v>
      </c>
      <c r="E2213" s="155">
        <v>44763</v>
      </c>
      <c r="F2213" s="154">
        <v>3830.4</v>
      </c>
      <c r="G2213" s="156">
        <f>Tabla18[[#This Row],[Importe]]-Tabla18[[#This Row],[Pagado]]</f>
        <v>0</v>
      </c>
      <c r="H2213" s="153" t="s">
        <v>10</v>
      </c>
    </row>
    <row r="2214" spans="1:8" x14ac:dyDescent="0.25">
      <c r="A2214" s="73">
        <v>44763</v>
      </c>
      <c r="B2214" s="74" t="s">
        <v>23555</v>
      </c>
      <c r="C2214" s="75" t="s">
        <v>127</v>
      </c>
      <c r="D2214" s="81">
        <v>4648.8</v>
      </c>
      <c r="E2214" s="151">
        <v>44763</v>
      </c>
      <c r="F2214" s="81">
        <v>4648.8</v>
      </c>
      <c r="G2214" s="156">
        <f>Tabla18[[#This Row],[Importe]]-Tabla18[[#This Row],[Pagado]]</f>
        <v>0</v>
      </c>
      <c r="H2214" s="75" t="s">
        <v>10</v>
      </c>
    </row>
    <row r="2215" spans="1:8" x14ac:dyDescent="0.25">
      <c r="A2215" s="148">
        <v>44763</v>
      </c>
      <c r="B2215" s="149" t="s">
        <v>23556</v>
      </c>
      <c r="C2215" s="153" t="s">
        <v>396</v>
      </c>
      <c r="D2215" s="154">
        <v>18079.400000000001</v>
      </c>
      <c r="E2215" s="155">
        <v>44768</v>
      </c>
      <c r="F2215" s="154">
        <v>18079.400000000001</v>
      </c>
      <c r="G2215" s="156">
        <f>Tabla18[[#This Row],[Importe]]-Tabla18[[#This Row],[Pagado]]</f>
        <v>0</v>
      </c>
      <c r="H2215" s="153" t="s">
        <v>10</v>
      </c>
    </row>
    <row r="2216" spans="1:8" x14ac:dyDescent="0.25">
      <c r="A2216" s="73">
        <v>44763</v>
      </c>
      <c r="B2216" s="74" t="s">
        <v>23557</v>
      </c>
      <c r="C2216" s="75" t="s">
        <v>222</v>
      </c>
      <c r="D2216" s="81">
        <v>11714.4</v>
      </c>
      <c r="E2216" s="151">
        <v>44763</v>
      </c>
      <c r="F2216" s="81">
        <v>11714.4</v>
      </c>
      <c r="G2216" s="156">
        <f>Tabla18[[#This Row],[Importe]]-Tabla18[[#This Row],[Pagado]]</f>
        <v>0</v>
      </c>
      <c r="H2216" s="75" t="s">
        <v>10</v>
      </c>
    </row>
    <row r="2217" spans="1:8" x14ac:dyDescent="0.25">
      <c r="A2217" s="148">
        <v>44763</v>
      </c>
      <c r="B2217" s="149" t="s">
        <v>23558</v>
      </c>
      <c r="C2217" s="153" t="s">
        <v>382</v>
      </c>
      <c r="D2217" s="154">
        <v>6658.2</v>
      </c>
      <c r="E2217" s="155">
        <v>44763</v>
      </c>
      <c r="F2217" s="154">
        <v>6658.2</v>
      </c>
      <c r="G2217" s="156">
        <f>Tabla18[[#This Row],[Importe]]-Tabla18[[#This Row],[Pagado]]</f>
        <v>0</v>
      </c>
      <c r="H2217" s="153" t="s">
        <v>10</v>
      </c>
    </row>
    <row r="2218" spans="1:8" x14ac:dyDescent="0.25">
      <c r="A2218" s="73">
        <v>44763</v>
      </c>
      <c r="B2218" s="74" t="s">
        <v>23559</v>
      </c>
      <c r="C2218" s="75" t="s">
        <v>1505</v>
      </c>
      <c r="D2218" s="81">
        <v>5519.3</v>
      </c>
      <c r="E2218" s="151">
        <v>44763</v>
      </c>
      <c r="F2218" s="81">
        <v>5519.3</v>
      </c>
      <c r="G2218" s="156">
        <f>Tabla18[[#This Row],[Importe]]-Tabla18[[#This Row],[Pagado]]</f>
        <v>0</v>
      </c>
      <c r="H2218" s="75" t="s">
        <v>10</v>
      </c>
    </row>
    <row r="2219" spans="1:8" x14ac:dyDescent="0.25">
      <c r="A2219" s="148">
        <v>44763</v>
      </c>
      <c r="B2219" s="149" t="s">
        <v>23560</v>
      </c>
      <c r="C2219" s="153" t="s">
        <v>31</v>
      </c>
      <c r="D2219" s="154">
        <v>672</v>
      </c>
      <c r="E2219" s="155">
        <v>44763</v>
      </c>
      <c r="F2219" s="154">
        <v>672</v>
      </c>
      <c r="G2219" s="156">
        <f>Tabla18[[#This Row],[Importe]]-Tabla18[[#This Row],[Pagado]]</f>
        <v>0</v>
      </c>
      <c r="H2219" s="153" t="s">
        <v>10</v>
      </c>
    </row>
    <row r="2220" spans="1:8" x14ac:dyDescent="0.25">
      <c r="A2220" s="73">
        <v>44763</v>
      </c>
      <c r="B2220" s="74" t="s">
        <v>23561</v>
      </c>
      <c r="C2220" s="75" t="s">
        <v>698</v>
      </c>
      <c r="D2220" s="81">
        <v>6140.2</v>
      </c>
      <c r="E2220" s="151">
        <v>44763</v>
      </c>
      <c r="F2220" s="81">
        <v>6140.2</v>
      </c>
      <c r="G2220" s="156">
        <f>Tabla18[[#This Row],[Importe]]-Tabla18[[#This Row],[Pagado]]</f>
        <v>0</v>
      </c>
      <c r="H2220" s="75" t="s">
        <v>10</v>
      </c>
    </row>
    <row r="2221" spans="1:8" x14ac:dyDescent="0.25">
      <c r="A2221" s="148">
        <v>44763</v>
      </c>
      <c r="B2221" s="149" t="s">
        <v>23562</v>
      </c>
      <c r="C2221" s="153" t="s">
        <v>1239</v>
      </c>
      <c r="D2221" s="154">
        <v>8282.4</v>
      </c>
      <c r="E2221" s="155">
        <v>44763</v>
      </c>
      <c r="F2221" s="154">
        <v>8282.4</v>
      </c>
      <c r="G2221" s="156">
        <f>Tabla18[[#This Row],[Importe]]-Tabla18[[#This Row],[Pagado]]</f>
        <v>0</v>
      </c>
      <c r="H2221" s="153" t="s">
        <v>10</v>
      </c>
    </row>
    <row r="2222" spans="1:8" x14ac:dyDescent="0.25">
      <c r="A2222" s="73">
        <v>44763</v>
      </c>
      <c r="B2222" s="74" t="s">
        <v>23563</v>
      </c>
      <c r="C2222" s="75" t="s">
        <v>275</v>
      </c>
      <c r="D2222" s="81">
        <v>154160.07999999999</v>
      </c>
      <c r="E2222" s="151">
        <v>44778</v>
      </c>
      <c r="F2222" s="81">
        <v>154160.07999999999</v>
      </c>
      <c r="G2222" s="156">
        <f>Tabla18[[#This Row],[Importe]]-Tabla18[[#This Row],[Pagado]]</f>
        <v>0</v>
      </c>
      <c r="H2222" s="75" t="s">
        <v>10</v>
      </c>
    </row>
    <row r="2223" spans="1:8" x14ac:dyDescent="0.25">
      <c r="A2223" s="148">
        <v>44763</v>
      </c>
      <c r="B2223" s="149" t="s">
        <v>23564</v>
      </c>
      <c r="C2223" s="153" t="s">
        <v>407</v>
      </c>
      <c r="D2223" s="154">
        <v>23373</v>
      </c>
      <c r="E2223" s="155">
        <v>44763</v>
      </c>
      <c r="F2223" s="154">
        <v>23373</v>
      </c>
      <c r="G2223" s="156">
        <f>Tabla18[[#This Row],[Importe]]-Tabla18[[#This Row],[Pagado]]</f>
        <v>0</v>
      </c>
      <c r="H2223" s="153" t="s">
        <v>10</v>
      </c>
    </row>
    <row r="2224" spans="1:8" x14ac:dyDescent="0.25">
      <c r="A2224" s="73">
        <v>44763</v>
      </c>
      <c r="B2224" s="74" t="s">
        <v>23565</v>
      </c>
      <c r="C2224" s="75" t="s">
        <v>414</v>
      </c>
      <c r="D2224" s="81">
        <v>23488</v>
      </c>
      <c r="E2224" s="151">
        <v>44784</v>
      </c>
      <c r="F2224" s="81">
        <v>23488</v>
      </c>
      <c r="G2224" s="156">
        <f>Tabla18[[#This Row],[Importe]]-Tabla18[[#This Row],[Pagado]]</f>
        <v>0</v>
      </c>
      <c r="H2224" s="75" t="s">
        <v>10</v>
      </c>
    </row>
    <row r="2225" spans="1:8" x14ac:dyDescent="0.25">
      <c r="A2225" s="148">
        <v>44763</v>
      </c>
      <c r="B2225" s="149" t="s">
        <v>23566</v>
      </c>
      <c r="C2225" s="153" t="s">
        <v>58</v>
      </c>
      <c r="D2225" s="154">
        <v>2077</v>
      </c>
      <c r="E2225" s="155">
        <v>44763</v>
      </c>
      <c r="F2225" s="154">
        <v>2077</v>
      </c>
      <c r="G2225" s="156">
        <f>Tabla18[[#This Row],[Importe]]-Tabla18[[#This Row],[Pagado]]</f>
        <v>0</v>
      </c>
      <c r="H2225" s="153" t="s">
        <v>10</v>
      </c>
    </row>
    <row r="2226" spans="1:8" x14ac:dyDescent="0.25">
      <c r="A2226" s="73">
        <v>44763</v>
      </c>
      <c r="B2226" s="74" t="s">
        <v>23567</v>
      </c>
      <c r="C2226" s="75" t="s">
        <v>400</v>
      </c>
      <c r="D2226" s="81">
        <v>5570.2</v>
      </c>
      <c r="E2226" s="151">
        <v>44769</v>
      </c>
      <c r="F2226" s="81">
        <v>5570.2</v>
      </c>
      <c r="G2226" s="156">
        <f>Tabla18[[#This Row],[Importe]]-Tabla18[[#This Row],[Pagado]]</f>
        <v>0</v>
      </c>
      <c r="H2226" s="75" t="s">
        <v>10</v>
      </c>
    </row>
    <row r="2227" spans="1:8" x14ac:dyDescent="0.25">
      <c r="A2227" s="148">
        <v>44763</v>
      </c>
      <c r="B2227" s="149" t="s">
        <v>23568</v>
      </c>
      <c r="C2227" s="153" t="s">
        <v>840</v>
      </c>
      <c r="D2227" s="154">
        <v>5574.4</v>
      </c>
      <c r="E2227" s="155">
        <v>44763</v>
      </c>
      <c r="F2227" s="154">
        <v>5574.4</v>
      </c>
      <c r="G2227" s="156">
        <f>Tabla18[[#This Row],[Importe]]-Tabla18[[#This Row],[Pagado]]</f>
        <v>0</v>
      </c>
      <c r="H2227" s="153" t="s">
        <v>10</v>
      </c>
    </row>
    <row r="2228" spans="1:8" x14ac:dyDescent="0.25">
      <c r="A2228" s="73">
        <v>44763</v>
      </c>
      <c r="B2228" s="74" t="s">
        <v>23569</v>
      </c>
      <c r="C2228" s="75" t="s">
        <v>9827</v>
      </c>
      <c r="D2228" s="81">
        <v>4560.6000000000004</v>
      </c>
      <c r="E2228" s="151">
        <v>44763</v>
      </c>
      <c r="F2228" s="81">
        <v>4560.6000000000004</v>
      </c>
      <c r="G2228" s="156">
        <f>Tabla18[[#This Row],[Importe]]-Tabla18[[#This Row],[Pagado]]</f>
        <v>0</v>
      </c>
      <c r="H2228" s="75" t="s">
        <v>10</v>
      </c>
    </row>
    <row r="2229" spans="1:8" x14ac:dyDescent="0.25">
      <c r="A2229" s="148">
        <v>44763</v>
      </c>
      <c r="B2229" s="149" t="s">
        <v>23570</v>
      </c>
      <c r="C2229" s="153" t="s">
        <v>31</v>
      </c>
      <c r="D2229" s="154">
        <v>1391.5</v>
      </c>
      <c r="E2229" s="155">
        <v>44763</v>
      </c>
      <c r="F2229" s="154">
        <v>1391.5</v>
      </c>
      <c r="G2229" s="156">
        <f>Tabla18[[#This Row],[Importe]]-Tabla18[[#This Row],[Pagado]]</f>
        <v>0</v>
      </c>
      <c r="H2229" s="153" t="s">
        <v>10</v>
      </c>
    </row>
    <row r="2230" spans="1:8" x14ac:dyDescent="0.25">
      <c r="A2230" s="73">
        <v>44763</v>
      </c>
      <c r="B2230" s="74" t="s">
        <v>23571</v>
      </c>
      <c r="C2230" s="75" t="s">
        <v>16057</v>
      </c>
      <c r="D2230" s="81">
        <v>0</v>
      </c>
      <c r="E2230" s="157" t="s">
        <v>189</v>
      </c>
      <c r="F2230" s="81">
        <v>0</v>
      </c>
      <c r="G2230" s="156">
        <f>Tabla18[[#This Row],[Importe]]-Tabla18[[#This Row],[Pagado]]</f>
        <v>0</v>
      </c>
      <c r="H2230" s="161" t="s">
        <v>23572</v>
      </c>
    </row>
    <row r="2231" spans="1:8" x14ac:dyDescent="0.25">
      <c r="A2231" s="148">
        <v>44763</v>
      </c>
      <c r="B2231" s="149" t="s">
        <v>23573</v>
      </c>
      <c r="C2231" s="153" t="s">
        <v>19637</v>
      </c>
      <c r="D2231" s="154">
        <v>1938</v>
      </c>
      <c r="E2231" s="155">
        <v>44768</v>
      </c>
      <c r="F2231" s="154">
        <v>1938</v>
      </c>
      <c r="G2231" s="156">
        <f>Tabla18[[#This Row],[Importe]]-Tabla18[[#This Row],[Pagado]]</f>
        <v>0</v>
      </c>
      <c r="H2231" s="153" t="s">
        <v>10</v>
      </c>
    </row>
    <row r="2232" spans="1:8" x14ac:dyDescent="0.25">
      <c r="A2232" s="73">
        <v>44763</v>
      </c>
      <c r="B2232" s="74" t="s">
        <v>23574</v>
      </c>
      <c r="C2232" s="75" t="s">
        <v>459</v>
      </c>
      <c r="D2232" s="81">
        <v>377.2</v>
      </c>
      <c r="E2232" s="151">
        <v>44763</v>
      </c>
      <c r="F2232" s="81">
        <v>377.2</v>
      </c>
      <c r="G2232" s="156">
        <f>Tabla18[[#This Row],[Importe]]-Tabla18[[#This Row],[Pagado]]</f>
        <v>0</v>
      </c>
      <c r="H2232" s="75" t="s">
        <v>10</v>
      </c>
    </row>
    <row r="2233" spans="1:8" x14ac:dyDescent="0.25">
      <c r="A2233" s="148">
        <v>44763</v>
      </c>
      <c r="B2233" s="149" t="s">
        <v>23575</v>
      </c>
      <c r="C2233" s="153" t="s">
        <v>1676</v>
      </c>
      <c r="D2233" s="154">
        <v>3832</v>
      </c>
      <c r="E2233" s="155">
        <v>44763</v>
      </c>
      <c r="F2233" s="154">
        <v>3832</v>
      </c>
      <c r="G2233" s="156">
        <f>Tabla18[[#This Row],[Importe]]-Tabla18[[#This Row],[Pagado]]</f>
        <v>0</v>
      </c>
      <c r="H2233" s="153" t="s">
        <v>10</v>
      </c>
    </row>
    <row r="2234" spans="1:8" x14ac:dyDescent="0.25">
      <c r="A2234" s="73">
        <v>44763</v>
      </c>
      <c r="B2234" s="74" t="s">
        <v>23576</v>
      </c>
      <c r="C2234" s="75" t="s">
        <v>275</v>
      </c>
      <c r="D2234" s="81">
        <v>2425.5</v>
      </c>
      <c r="E2234" s="151">
        <v>44778</v>
      </c>
      <c r="F2234" s="81">
        <v>2425.5</v>
      </c>
      <c r="G2234" s="156">
        <f>Tabla18[[#This Row],[Importe]]-Tabla18[[#This Row],[Pagado]]</f>
        <v>0</v>
      </c>
      <c r="H2234" s="75" t="s">
        <v>10</v>
      </c>
    </row>
    <row r="2235" spans="1:8" x14ac:dyDescent="0.25">
      <c r="A2235" s="148">
        <v>44763</v>
      </c>
      <c r="B2235" s="149" t="s">
        <v>23577</v>
      </c>
      <c r="C2235" s="153" t="s">
        <v>426</v>
      </c>
      <c r="D2235" s="154">
        <v>6731.8</v>
      </c>
      <c r="E2235" s="155">
        <v>44763</v>
      </c>
      <c r="F2235" s="154">
        <v>6731.8</v>
      </c>
      <c r="G2235" s="156">
        <f>Tabla18[[#This Row],[Importe]]-Tabla18[[#This Row],[Pagado]]</f>
        <v>0</v>
      </c>
      <c r="H2235" s="153" t="s">
        <v>10</v>
      </c>
    </row>
    <row r="2236" spans="1:8" x14ac:dyDescent="0.25">
      <c r="A2236" s="73">
        <v>44763</v>
      </c>
      <c r="B2236" s="74" t="s">
        <v>23578</v>
      </c>
      <c r="C2236" s="75" t="s">
        <v>312</v>
      </c>
      <c r="D2236" s="81">
        <v>4528.6000000000004</v>
      </c>
      <c r="E2236" s="151">
        <v>44763</v>
      </c>
      <c r="F2236" s="81">
        <v>4528.6000000000004</v>
      </c>
      <c r="G2236" s="156">
        <f>Tabla18[[#This Row],[Importe]]-Tabla18[[#This Row],[Pagado]]</f>
        <v>0</v>
      </c>
      <c r="H2236" s="75" t="s">
        <v>10</v>
      </c>
    </row>
    <row r="2237" spans="1:8" x14ac:dyDescent="0.25">
      <c r="A2237" s="148">
        <v>44763</v>
      </c>
      <c r="B2237" s="149" t="s">
        <v>23579</v>
      </c>
      <c r="C2237" s="153" t="s">
        <v>198</v>
      </c>
      <c r="D2237" s="154">
        <v>4758</v>
      </c>
      <c r="E2237" s="155">
        <v>44763</v>
      </c>
      <c r="F2237" s="154">
        <v>4758</v>
      </c>
      <c r="G2237" s="156">
        <f>Tabla18[[#This Row],[Importe]]-Tabla18[[#This Row],[Pagado]]</f>
        <v>0</v>
      </c>
      <c r="H2237" s="153" t="s">
        <v>10</v>
      </c>
    </row>
    <row r="2238" spans="1:8" x14ac:dyDescent="0.25">
      <c r="A2238" s="73">
        <v>44763</v>
      </c>
      <c r="B2238" s="74" t="s">
        <v>23580</v>
      </c>
      <c r="C2238" s="75" t="s">
        <v>175</v>
      </c>
      <c r="D2238" s="81">
        <v>36751.800000000003</v>
      </c>
      <c r="E2238" s="151">
        <v>44763</v>
      </c>
      <c r="F2238" s="81">
        <v>36751.800000000003</v>
      </c>
      <c r="G2238" s="156">
        <f>Tabla18[[#This Row],[Importe]]-Tabla18[[#This Row],[Pagado]]</f>
        <v>0</v>
      </c>
      <c r="H2238" s="75" t="s">
        <v>10</v>
      </c>
    </row>
    <row r="2239" spans="1:8" x14ac:dyDescent="0.25">
      <c r="A2239" s="148">
        <v>44763</v>
      </c>
      <c r="B2239" s="149" t="s">
        <v>23581</v>
      </c>
      <c r="C2239" s="153" t="s">
        <v>463</v>
      </c>
      <c r="D2239" s="154">
        <v>31</v>
      </c>
      <c r="E2239" s="155">
        <v>44763</v>
      </c>
      <c r="F2239" s="154">
        <v>31</v>
      </c>
      <c r="G2239" s="156">
        <f>Tabla18[[#This Row],[Importe]]-Tabla18[[#This Row],[Pagado]]</f>
        <v>0</v>
      </c>
      <c r="H2239" s="153" t="s">
        <v>10</v>
      </c>
    </row>
    <row r="2240" spans="1:8" x14ac:dyDescent="0.25">
      <c r="A2240" s="73">
        <v>44763</v>
      </c>
      <c r="B2240" s="74" t="s">
        <v>23582</v>
      </c>
      <c r="C2240" s="75" t="s">
        <v>16</v>
      </c>
      <c r="D2240" s="81">
        <v>876</v>
      </c>
      <c r="E2240" s="151">
        <v>44763</v>
      </c>
      <c r="F2240" s="81">
        <v>876</v>
      </c>
      <c r="G2240" s="156">
        <f>Tabla18[[#This Row],[Importe]]-Tabla18[[#This Row],[Pagado]]</f>
        <v>0</v>
      </c>
      <c r="H2240" s="75" t="s">
        <v>10</v>
      </c>
    </row>
    <row r="2241" spans="1:8" x14ac:dyDescent="0.25">
      <c r="A2241" s="148">
        <v>44763</v>
      </c>
      <c r="B2241" s="149" t="s">
        <v>23583</v>
      </c>
      <c r="C2241" s="153" t="s">
        <v>16</v>
      </c>
      <c r="D2241" s="154">
        <v>1908</v>
      </c>
      <c r="E2241" s="155">
        <v>44763</v>
      </c>
      <c r="F2241" s="154">
        <v>1908</v>
      </c>
      <c r="G2241" s="156">
        <f>Tabla18[[#This Row],[Importe]]-Tabla18[[#This Row],[Pagado]]</f>
        <v>0</v>
      </c>
      <c r="H2241" s="153" t="s">
        <v>10</v>
      </c>
    </row>
    <row r="2242" spans="1:8" x14ac:dyDescent="0.25">
      <c r="A2242" s="73">
        <v>44763</v>
      </c>
      <c r="B2242" s="74" t="s">
        <v>23584</v>
      </c>
      <c r="C2242" s="75" t="s">
        <v>200</v>
      </c>
      <c r="D2242" s="81">
        <v>1632</v>
      </c>
      <c r="E2242" s="151">
        <v>44763</v>
      </c>
      <c r="F2242" s="81">
        <v>1632</v>
      </c>
      <c r="G2242" s="156">
        <f>Tabla18[[#This Row],[Importe]]-Tabla18[[#This Row],[Pagado]]</f>
        <v>0</v>
      </c>
      <c r="H2242" s="75" t="s">
        <v>10</v>
      </c>
    </row>
    <row r="2243" spans="1:8" x14ac:dyDescent="0.25">
      <c r="A2243" s="148">
        <v>44763</v>
      </c>
      <c r="B2243" s="149" t="s">
        <v>23585</v>
      </c>
      <c r="C2243" s="153" t="s">
        <v>62</v>
      </c>
      <c r="D2243" s="154">
        <v>3486.6</v>
      </c>
      <c r="E2243" s="155">
        <v>44763</v>
      </c>
      <c r="F2243" s="154">
        <v>3486.6</v>
      </c>
      <c r="G2243" s="156">
        <f>Tabla18[[#This Row],[Importe]]-Tabla18[[#This Row],[Pagado]]</f>
        <v>0</v>
      </c>
      <c r="H2243" s="153" t="s">
        <v>10</v>
      </c>
    </row>
    <row r="2244" spans="1:8" x14ac:dyDescent="0.25">
      <c r="A2244" s="73">
        <v>44763</v>
      </c>
      <c r="B2244" s="74" t="s">
        <v>23586</v>
      </c>
      <c r="C2244" s="75" t="s">
        <v>67</v>
      </c>
      <c r="D2244" s="81">
        <v>2525.6</v>
      </c>
      <c r="E2244" s="151">
        <v>44763</v>
      </c>
      <c r="F2244" s="81">
        <v>2525.6</v>
      </c>
      <c r="G2244" s="156">
        <f>Tabla18[[#This Row],[Importe]]-Tabla18[[#This Row],[Pagado]]</f>
        <v>0</v>
      </c>
      <c r="H2244" s="75" t="s">
        <v>10</v>
      </c>
    </row>
    <row r="2245" spans="1:8" x14ac:dyDescent="0.25">
      <c r="A2245" s="148">
        <v>44763</v>
      </c>
      <c r="B2245" s="149" t="s">
        <v>23587</v>
      </c>
      <c r="C2245" s="153" t="s">
        <v>9415</v>
      </c>
      <c r="D2245" s="154">
        <v>30027.8</v>
      </c>
      <c r="E2245" s="155">
        <v>44765</v>
      </c>
      <c r="F2245" s="154">
        <v>30027.8</v>
      </c>
      <c r="G2245" s="156">
        <f>Tabla18[[#This Row],[Importe]]-Tabla18[[#This Row],[Pagado]]</f>
        <v>0</v>
      </c>
      <c r="H2245" s="153" t="s">
        <v>10</v>
      </c>
    </row>
    <row r="2246" spans="1:8" x14ac:dyDescent="0.25">
      <c r="A2246" s="73">
        <v>44763</v>
      </c>
      <c r="B2246" s="74" t="s">
        <v>23588</v>
      </c>
      <c r="C2246" s="75" t="s">
        <v>191</v>
      </c>
      <c r="D2246" s="81">
        <v>21330</v>
      </c>
      <c r="E2246" s="151">
        <v>44763</v>
      </c>
      <c r="F2246" s="81">
        <v>21330</v>
      </c>
      <c r="G2246" s="156">
        <f>Tabla18[[#This Row],[Importe]]-Tabla18[[#This Row],[Pagado]]</f>
        <v>0</v>
      </c>
      <c r="H2246" s="75" t="s">
        <v>10</v>
      </c>
    </row>
    <row r="2247" spans="1:8" x14ac:dyDescent="0.25">
      <c r="A2247" s="148">
        <v>44763</v>
      </c>
      <c r="B2247" s="149" t="s">
        <v>23589</v>
      </c>
      <c r="C2247" s="153" t="s">
        <v>1265</v>
      </c>
      <c r="D2247" s="154">
        <v>637</v>
      </c>
      <c r="E2247" s="155">
        <v>44763</v>
      </c>
      <c r="F2247" s="154">
        <v>637</v>
      </c>
      <c r="G2247" s="156">
        <f>Tabla18[[#This Row],[Importe]]-Tabla18[[#This Row],[Pagado]]</f>
        <v>0</v>
      </c>
      <c r="H2247" s="153" t="s">
        <v>10</v>
      </c>
    </row>
    <row r="2248" spans="1:8" x14ac:dyDescent="0.25">
      <c r="A2248" s="73">
        <v>44763</v>
      </c>
      <c r="B2248" s="74" t="s">
        <v>23590</v>
      </c>
      <c r="C2248" s="75" t="s">
        <v>31</v>
      </c>
      <c r="D2248" s="81">
        <v>656</v>
      </c>
      <c r="E2248" s="151">
        <v>44763</v>
      </c>
      <c r="F2248" s="81">
        <v>656</v>
      </c>
      <c r="G2248" s="156">
        <f>Tabla18[[#This Row],[Importe]]-Tabla18[[#This Row],[Pagado]]</f>
        <v>0</v>
      </c>
      <c r="H2248" s="75" t="s">
        <v>10</v>
      </c>
    </row>
    <row r="2249" spans="1:8" x14ac:dyDescent="0.25">
      <c r="A2249" s="148">
        <v>44763</v>
      </c>
      <c r="B2249" s="149" t="s">
        <v>23591</v>
      </c>
      <c r="C2249" s="153" t="s">
        <v>31</v>
      </c>
      <c r="D2249" s="154">
        <v>2464.8000000000002</v>
      </c>
      <c r="E2249" s="155">
        <v>44763</v>
      </c>
      <c r="F2249" s="154">
        <v>2464.8000000000002</v>
      </c>
      <c r="G2249" s="156">
        <f>Tabla18[[#This Row],[Importe]]-Tabla18[[#This Row],[Pagado]]</f>
        <v>0</v>
      </c>
      <c r="H2249" s="153" t="s">
        <v>10</v>
      </c>
    </row>
    <row r="2250" spans="1:8" x14ac:dyDescent="0.25">
      <c r="A2250" s="73">
        <v>44763</v>
      </c>
      <c r="B2250" s="74" t="s">
        <v>23592</v>
      </c>
      <c r="C2250" s="75" t="s">
        <v>284</v>
      </c>
      <c r="D2250" s="81">
        <v>9864</v>
      </c>
      <c r="E2250" s="151">
        <v>44764</v>
      </c>
      <c r="F2250" s="81">
        <v>9864</v>
      </c>
      <c r="G2250" s="156">
        <f>Tabla18[[#This Row],[Importe]]-Tabla18[[#This Row],[Pagado]]</f>
        <v>0</v>
      </c>
      <c r="H2250" s="75" t="s">
        <v>10</v>
      </c>
    </row>
    <row r="2251" spans="1:8" x14ac:dyDescent="0.25">
      <c r="A2251" s="148">
        <v>44763</v>
      </c>
      <c r="B2251" s="149" t="s">
        <v>23593</v>
      </c>
      <c r="C2251" s="153" t="s">
        <v>282</v>
      </c>
      <c r="D2251" s="154">
        <v>2160</v>
      </c>
      <c r="E2251" s="155">
        <v>44764</v>
      </c>
      <c r="F2251" s="154">
        <v>2160</v>
      </c>
      <c r="G2251" s="156">
        <f>Tabla18[[#This Row],[Importe]]-Tabla18[[#This Row],[Pagado]]</f>
        <v>0</v>
      </c>
      <c r="H2251" s="153" t="s">
        <v>10</v>
      </c>
    </row>
    <row r="2252" spans="1:8" x14ac:dyDescent="0.25">
      <c r="A2252" s="73">
        <v>44763</v>
      </c>
      <c r="B2252" s="74" t="s">
        <v>23594</v>
      </c>
      <c r="C2252" s="75" t="s">
        <v>5345</v>
      </c>
      <c r="D2252" s="81">
        <v>3440</v>
      </c>
      <c r="E2252" s="151">
        <v>44764</v>
      </c>
      <c r="F2252" s="81">
        <v>3440</v>
      </c>
      <c r="G2252" s="156">
        <f>Tabla18[[#This Row],[Importe]]-Tabla18[[#This Row],[Pagado]]</f>
        <v>0</v>
      </c>
      <c r="H2252" s="75" t="s">
        <v>10</v>
      </c>
    </row>
    <row r="2253" spans="1:8" x14ac:dyDescent="0.25">
      <c r="A2253" s="148">
        <v>44763</v>
      </c>
      <c r="B2253" s="149" t="s">
        <v>23595</v>
      </c>
      <c r="C2253" s="153" t="s">
        <v>10819</v>
      </c>
      <c r="D2253" s="154">
        <v>1416</v>
      </c>
      <c r="E2253" s="155">
        <v>44764</v>
      </c>
      <c r="F2253" s="154">
        <v>1416</v>
      </c>
      <c r="G2253" s="156">
        <f>Tabla18[[#This Row],[Importe]]-Tabla18[[#This Row],[Pagado]]</f>
        <v>0</v>
      </c>
      <c r="H2253" s="153" t="s">
        <v>10</v>
      </c>
    </row>
    <row r="2254" spans="1:8" x14ac:dyDescent="0.25">
      <c r="A2254" s="73">
        <v>44763</v>
      </c>
      <c r="B2254" s="74" t="s">
        <v>23596</v>
      </c>
      <c r="C2254" s="75" t="s">
        <v>280</v>
      </c>
      <c r="D2254" s="81">
        <v>1408</v>
      </c>
      <c r="E2254" s="151">
        <v>44764</v>
      </c>
      <c r="F2254" s="81">
        <v>1408</v>
      </c>
      <c r="G2254" s="156">
        <f>Tabla18[[#This Row],[Importe]]-Tabla18[[#This Row],[Pagado]]</f>
        <v>0</v>
      </c>
      <c r="H2254" s="75" t="s">
        <v>10</v>
      </c>
    </row>
    <row r="2255" spans="1:8" x14ac:dyDescent="0.25">
      <c r="A2255" s="148">
        <v>44763</v>
      </c>
      <c r="B2255" s="149" t="s">
        <v>23597</v>
      </c>
      <c r="C2255" s="153" t="s">
        <v>647</v>
      </c>
      <c r="D2255" s="154">
        <v>1373.4</v>
      </c>
      <c r="E2255" s="155">
        <v>44763</v>
      </c>
      <c r="F2255" s="154">
        <v>1373.4</v>
      </c>
      <c r="G2255" s="156">
        <f>Tabla18[[#This Row],[Importe]]-Tabla18[[#This Row],[Pagado]]</f>
        <v>0</v>
      </c>
      <c r="H2255" s="153" t="s">
        <v>10</v>
      </c>
    </row>
    <row r="2256" spans="1:8" x14ac:dyDescent="0.25">
      <c r="A2256" s="73">
        <v>44763</v>
      </c>
      <c r="B2256" s="74" t="s">
        <v>23598</v>
      </c>
      <c r="C2256" s="75" t="s">
        <v>729</v>
      </c>
      <c r="D2256" s="81">
        <v>29831</v>
      </c>
      <c r="E2256" s="151">
        <v>44764</v>
      </c>
      <c r="F2256" s="81">
        <v>29831</v>
      </c>
      <c r="G2256" s="156">
        <f>Tabla18[[#This Row],[Importe]]-Tabla18[[#This Row],[Pagado]]</f>
        <v>0</v>
      </c>
      <c r="H2256" s="75" t="s">
        <v>10</v>
      </c>
    </row>
    <row r="2257" spans="1:8" x14ac:dyDescent="0.25">
      <c r="A2257" s="148">
        <v>44763</v>
      </c>
      <c r="B2257" s="149" t="s">
        <v>23599</v>
      </c>
      <c r="C2257" s="153" t="s">
        <v>9034</v>
      </c>
      <c r="D2257" s="154">
        <v>0</v>
      </c>
      <c r="E2257" s="158" t="s">
        <v>189</v>
      </c>
      <c r="F2257" s="154">
        <v>0</v>
      </c>
      <c r="G2257" s="156">
        <f>Tabla18[[#This Row],[Importe]]-Tabla18[[#This Row],[Pagado]]</f>
        <v>0</v>
      </c>
      <c r="H2257" s="159" t="s">
        <v>23600</v>
      </c>
    </row>
    <row r="2258" spans="1:8" x14ac:dyDescent="0.25">
      <c r="A2258" s="73">
        <v>44763</v>
      </c>
      <c r="B2258" s="74" t="s">
        <v>23601</v>
      </c>
      <c r="C2258" s="75" t="s">
        <v>10678</v>
      </c>
      <c r="D2258" s="81">
        <v>4579</v>
      </c>
      <c r="E2258" s="151">
        <v>44763</v>
      </c>
      <c r="F2258" s="81">
        <v>4579</v>
      </c>
      <c r="G2258" s="156">
        <f>Tabla18[[#This Row],[Importe]]-Tabla18[[#This Row],[Pagado]]</f>
        <v>0</v>
      </c>
      <c r="H2258" s="75" t="s">
        <v>10</v>
      </c>
    </row>
    <row r="2259" spans="1:8" x14ac:dyDescent="0.25">
      <c r="A2259" s="148">
        <v>44763</v>
      </c>
      <c r="B2259" s="149" t="s">
        <v>23602</v>
      </c>
      <c r="C2259" s="153" t="s">
        <v>246</v>
      </c>
      <c r="D2259" s="154">
        <v>13300</v>
      </c>
      <c r="E2259" s="155">
        <v>44763</v>
      </c>
      <c r="F2259" s="154">
        <v>13300</v>
      </c>
      <c r="G2259" s="156">
        <f>Tabla18[[#This Row],[Importe]]-Tabla18[[#This Row],[Pagado]]</f>
        <v>0</v>
      </c>
      <c r="H2259" s="153" t="s">
        <v>10</v>
      </c>
    </row>
    <row r="2260" spans="1:8" x14ac:dyDescent="0.25">
      <c r="A2260" s="73">
        <v>44763</v>
      </c>
      <c r="B2260" s="74" t="s">
        <v>23603</v>
      </c>
      <c r="C2260" s="75" t="s">
        <v>407</v>
      </c>
      <c r="D2260" s="81">
        <v>10200</v>
      </c>
      <c r="E2260" s="151">
        <v>44763</v>
      </c>
      <c r="F2260" s="81">
        <v>10200</v>
      </c>
      <c r="G2260" s="156">
        <f>Tabla18[[#This Row],[Importe]]-Tabla18[[#This Row],[Pagado]]</f>
        <v>0</v>
      </c>
      <c r="H2260" s="75" t="s">
        <v>10</v>
      </c>
    </row>
    <row r="2261" spans="1:8" x14ac:dyDescent="0.25">
      <c r="A2261" s="148">
        <v>44763</v>
      </c>
      <c r="B2261" s="149" t="s">
        <v>23604</v>
      </c>
      <c r="C2261" s="153" t="s">
        <v>698</v>
      </c>
      <c r="D2261" s="154">
        <v>3494.4</v>
      </c>
      <c r="E2261" s="155">
        <v>44763</v>
      </c>
      <c r="F2261" s="154">
        <v>3494.4</v>
      </c>
      <c r="G2261" s="156">
        <f>Tabla18[[#This Row],[Importe]]-Tabla18[[#This Row],[Pagado]]</f>
        <v>0</v>
      </c>
      <c r="H2261" s="153" t="s">
        <v>10</v>
      </c>
    </row>
    <row r="2262" spans="1:8" x14ac:dyDescent="0.25">
      <c r="A2262" s="73">
        <v>44763</v>
      </c>
      <c r="B2262" s="74" t="s">
        <v>23605</v>
      </c>
      <c r="C2262" s="75" t="s">
        <v>3177</v>
      </c>
      <c r="D2262" s="81">
        <v>6776</v>
      </c>
      <c r="E2262" s="151">
        <v>44763</v>
      </c>
      <c r="F2262" s="81">
        <v>6776</v>
      </c>
      <c r="G2262" s="156">
        <f>Tabla18[[#This Row],[Importe]]-Tabla18[[#This Row],[Pagado]]</f>
        <v>0</v>
      </c>
      <c r="H2262" s="75" t="s">
        <v>10</v>
      </c>
    </row>
    <row r="2263" spans="1:8" x14ac:dyDescent="0.25">
      <c r="A2263" s="148">
        <v>44763</v>
      </c>
      <c r="B2263" s="149" t="s">
        <v>23606</v>
      </c>
      <c r="C2263" s="153" t="s">
        <v>179</v>
      </c>
      <c r="D2263" s="154">
        <v>2080</v>
      </c>
      <c r="E2263" s="155">
        <v>44763</v>
      </c>
      <c r="F2263" s="154">
        <v>2080</v>
      </c>
      <c r="G2263" s="156">
        <f>Tabla18[[#This Row],[Importe]]-Tabla18[[#This Row],[Pagado]]</f>
        <v>0</v>
      </c>
      <c r="H2263" s="153" t="s">
        <v>10</v>
      </c>
    </row>
    <row r="2264" spans="1:8" x14ac:dyDescent="0.25">
      <c r="A2264" s="73">
        <v>44763</v>
      </c>
      <c r="B2264" s="74" t="s">
        <v>23607</v>
      </c>
      <c r="C2264" s="75" t="s">
        <v>296</v>
      </c>
      <c r="D2264" s="81">
        <v>2501</v>
      </c>
      <c r="E2264" s="151">
        <v>44763</v>
      </c>
      <c r="F2264" s="81">
        <v>2501</v>
      </c>
      <c r="G2264" s="156">
        <f>Tabla18[[#This Row],[Importe]]-Tabla18[[#This Row],[Pagado]]</f>
        <v>0</v>
      </c>
      <c r="H2264" s="75" t="s">
        <v>10</v>
      </c>
    </row>
    <row r="2265" spans="1:8" x14ac:dyDescent="0.25">
      <c r="A2265" s="148">
        <v>44764</v>
      </c>
      <c r="B2265" s="149" t="s">
        <v>23608</v>
      </c>
      <c r="C2265" s="153" t="s">
        <v>887</v>
      </c>
      <c r="D2265" s="154">
        <v>17061.7</v>
      </c>
      <c r="E2265" s="155">
        <v>44764</v>
      </c>
      <c r="F2265" s="154">
        <v>17061.7</v>
      </c>
      <c r="G2265" s="156">
        <f>Tabla18[[#This Row],[Importe]]-Tabla18[[#This Row],[Pagado]]</f>
        <v>0</v>
      </c>
      <c r="H2265" s="153" t="s">
        <v>10</v>
      </c>
    </row>
    <row r="2266" spans="1:8" x14ac:dyDescent="0.25">
      <c r="A2266" s="73">
        <v>44764</v>
      </c>
      <c r="B2266" s="74" t="s">
        <v>23609</v>
      </c>
      <c r="C2266" s="75" t="s">
        <v>20</v>
      </c>
      <c r="D2266" s="81">
        <v>2835.2</v>
      </c>
      <c r="E2266" s="151">
        <v>44764</v>
      </c>
      <c r="F2266" s="81">
        <v>2835.2</v>
      </c>
      <c r="G2266" s="156">
        <f>Tabla18[[#This Row],[Importe]]-Tabla18[[#This Row],[Pagado]]</f>
        <v>0</v>
      </c>
      <c r="H2266" s="75" t="s">
        <v>10</v>
      </c>
    </row>
    <row r="2267" spans="1:8" x14ac:dyDescent="0.25">
      <c r="A2267" s="148">
        <v>44764</v>
      </c>
      <c r="B2267" s="149" t="s">
        <v>23610</v>
      </c>
      <c r="C2267" s="153" t="s">
        <v>475</v>
      </c>
      <c r="D2267" s="154">
        <v>67814.100000000006</v>
      </c>
      <c r="E2267" s="155">
        <v>44765</v>
      </c>
      <c r="F2267" s="154">
        <v>67814.100000000006</v>
      </c>
      <c r="G2267" s="156">
        <f>Tabla18[[#This Row],[Importe]]-Tabla18[[#This Row],[Pagado]]</f>
        <v>0</v>
      </c>
      <c r="H2267" s="153" t="s">
        <v>10</v>
      </c>
    </row>
    <row r="2268" spans="1:8" x14ac:dyDescent="0.25">
      <c r="A2268" s="73">
        <v>44764</v>
      </c>
      <c r="B2268" s="74" t="s">
        <v>23611</v>
      </c>
      <c r="C2268" s="75" t="s">
        <v>75</v>
      </c>
      <c r="D2268" s="81">
        <v>9134.7999999999993</v>
      </c>
      <c r="E2268" s="151">
        <v>44764</v>
      </c>
      <c r="F2268" s="81">
        <v>9134.7999999999993</v>
      </c>
      <c r="G2268" s="156">
        <f>Tabla18[[#This Row],[Importe]]-Tabla18[[#This Row],[Pagado]]</f>
        <v>0</v>
      </c>
      <c r="H2268" s="75" t="s">
        <v>10</v>
      </c>
    </row>
    <row r="2269" spans="1:8" x14ac:dyDescent="0.25">
      <c r="A2269" s="148">
        <v>44764</v>
      </c>
      <c r="B2269" s="149" t="s">
        <v>23612</v>
      </c>
      <c r="C2269" s="153" t="s">
        <v>85</v>
      </c>
      <c r="D2269" s="154">
        <v>1513</v>
      </c>
      <c r="E2269" s="155">
        <v>44764</v>
      </c>
      <c r="F2269" s="154">
        <v>1513</v>
      </c>
      <c r="G2269" s="156">
        <f>Tabla18[[#This Row],[Importe]]-Tabla18[[#This Row],[Pagado]]</f>
        <v>0</v>
      </c>
      <c r="H2269" s="153" t="s">
        <v>10</v>
      </c>
    </row>
    <row r="2270" spans="1:8" x14ac:dyDescent="0.25">
      <c r="A2270" s="73">
        <v>44764</v>
      </c>
      <c r="B2270" s="74" t="s">
        <v>23613</v>
      </c>
      <c r="C2270" s="75" t="s">
        <v>135</v>
      </c>
      <c r="D2270" s="81">
        <v>3118.5</v>
      </c>
      <c r="E2270" s="151">
        <v>44764</v>
      </c>
      <c r="F2270" s="81">
        <v>3118.5</v>
      </c>
      <c r="G2270" s="156">
        <f>Tabla18[[#This Row],[Importe]]-Tabla18[[#This Row],[Pagado]]</f>
        <v>0</v>
      </c>
      <c r="H2270" s="75" t="s">
        <v>10</v>
      </c>
    </row>
    <row r="2271" spans="1:8" x14ac:dyDescent="0.25">
      <c r="A2271" s="148">
        <v>44764</v>
      </c>
      <c r="B2271" s="149" t="s">
        <v>23614</v>
      </c>
      <c r="C2271" s="153" t="s">
        <v>87</v>
      </c>
      <c r="D2271" s="154">
        <v>3767</v>
      </c>
      <c r="E2271" s="155">
        <v>44764</v>
      </c>
      <c r="F2271" s="154">
        <v>3767</v>
      </c>
      <c r="G2271" s="156">
        <f>Tabla18[[#This Row],[Importe]]-Tabla18[[#This Row],[Pagado]]</f>
        <v>0</v>
      </c>
      <c r="H2271" s="153" t="s">
        <v>10</v>
      </c>
    </row>
    <row r="2272" spans="1:8" x14ac:dyDescent="0.25">
      <c r="A2272" s="73">
        <v>44764</v>
      </c>
      <c r="B2272" s="74" t="s">
        <v>23615</v>
      </c>
      <c r="C2272" s="75" t="s">
        <v>314</v>
      </c>
      <c r="D2272" s="81">
        <v>4332.3999999999996</v>
      </c>
      <c r="E2272" s="151">
        <v>44764</v>
      </c>
      <c r="F2272" s="81">
        <v>4332.3999999999996</v>
      </c>
      <c r="G2272" s="156">
        <f>Tabla18[[#This Row],[Importe]]-Tabla18[[#This Row],[Pagado]]</f>
        <v>0</v>
      </c>
      <c r="H2272" s="75" t="s">
        <v>10</v>
      </c>
    </row>
    <row r="2273" spans="1:8" x14ac:dyDescent="0.25">
      <c r="A2273" s="148">
        <v>44764</v>
      </c>
      <c r="B2273" s="149" t="s">
        <v>23616</v>
      </c>
      <c r="C2273" s="153" t="s">
        <v>5043</v>
      </c>
      <c r="D2273" s="154">
        <v>5913.6</v>
      </c>
      <c r="E2273" s="155">
        <v>44768</v>
      </c>
      <c r="F2273" s="154">
        <v>5913.6</v>
      </c>
      <c r="G2273" s="156">
        <f>Tabla18[[#This Row],[Importe]]-Tabla18[[#This Row],[Pagado]]</f>
        <v>0</v>
      </c>
      <c r="H2273" s="153" t="s">
        <v>10</v>
      </c>
    </row>
    <row r="2274" spans="1:8" x14ac:dyDescent="0.25">
      <c r="A2274" s="73">
        <v>44764</v>
      </c>
      <c r="B2274" s="74" t="s">
        <v>23617</v>
      </c>
      <c r="C2274" s="75" t="s">
        <v>348</v>
      </c>
      <c r="D2274" s="81">
        <v>8182.2</v>
      </c>
      <c r="E2274" s="151">
        <v>44764</v>
      </c>
      <c r="F2274" s="81">
        <v>8182.2</v>
      </c>
      <c r="G2274" s="156">
        <f>Tabla18[[#This Row],[Importe]]-Tabla18[[#This Row],[Pagado]]</f>
        <v>0</v>
      </c>
      <c r="H2274" s="75" t="s">
        <v>10</v>
      </c>
    </row>
    <row r="2275" spans="1:8" x14ac:dyDescent="0.25">
      <c r="A2275" s="148">
        <v>44764</v>
      </c>
      <c r="B2275" s="149" t="s">
        <v>23618</v>
      </c>
      <c r="C2275" s="153" t="s">
        <v>93</v>
      </c>
      <c r="D2275" s="154">
        <v>9307.2999999999993</v>
      </c>
      <c r="E2275" s="155">
        <v>44767</v>
      </c>
      <c r="F2275" s="154">
        <v>9307.2999999999993</v>
      </c>
      <c r="G2275" s="156">
        <f>Tabla18[[#This Row],[Importe]]-Tabla18[[#This Row],[Pagado]]</f>
        <v>0</v>
      </c>
      <c r="H2275" s="153" t="s">
        <v>10</v>
      </c>
    </row>
    <row r="2276" spans="1:8" x14ac:dyDescent="0.25">
      <c r="A2276" s="73">
        <v>44764</v>
      </c>
      <c r="B2276" s="74" t="s">
        <v>23619</v>
      </c>
      <c r="C2276" s="75" t="s">
        <v>89</v>
      </c>
      <c r="D2276" s="81">
        <v>14519.9</v>
      </c>
      <c r="E2276" s="151">
        <v>44765</v>
      </c>
      <c r="F2276" s="81">
        <v>14519.9</v>
      </c>
      <c r="G2276" s="156">
        <f>Tabla18[[#This Row],[Importe]]-Tabla18[[#This Row],[Pagado]]</f>
        <v>0</v>
      </c>
      <c r="H2276" s="75" t="s">
        <v>10</v>
      </c>
    </row>
    <row r="2277" spans="1:8" ht="31.5" x14ac:dyDescent="0.25">
      <c r="A2277" s="148">
        <v>44764</v>
      </c>
      <c r="B2277" s="149" t="s">
        <v>23620</v>
      </c>
      <c r="C2277" s="153" t="s">
        <v>99</v>
      </c>
      <c r="D2277" s="154">
        <v>8376.7999999999993</v>
      </c>
      <c r="E2277" s="150" t="s">
        <v>23621</v>
      </c>
      <c r="F2277" s="154">
        <f>7000+1376.8</f>
        <v>8376.7999999999993</v>
      </c>
      <c r="G2277" s="156">
        <f>Tabla18[[#This Row],[Importe]]-Tabla18[[#This Row],[Pagado]]</f>
        <v>0</v>
      </c>
      <c r="H2277" s="153" t="s">
        <v>10</v>
      </c>
    </row>
    <row r="2278" spans="1:8" x14ac:dyDescent="0.25">
      <c r="A2278" s="73">
        <v>44764</v>
      </c>
      <c r="B2278" s="74" t="s">
        <v>23622</v>
      </c>
      <c r="C2278" s="75" t="s">
        <v>105</v>
      </c>
      <c r="D2278" s="81">
        <v>18807.8</v>
      </c>
      <c r="E2278" s="151">
        <v>44765</v>
      </c>
      <c r="F2278" s="81">
        <v>18807.8</v>
      </c>
      <c r="G2278" s="156">
        <f>Tabla18[[#This Row],[Importe]]-Tabla18[[#This Row],[Pagado]]</f>
        <v>0</v>
      </c>
      <c r="H2278" s="75" t="s">
        <v>10</v>
      </c>
    </row>
    <row r="2279" spans="1:8" x14ac:dyDescent="0.25">
      <c r="A2279" s="148">
        <v>44764</v>
      </c>
      <c r="B2279" s="149" t="s">
        <v>23623</v>
      </c>
      <c r="C2279" s="153" t="s">
        <v>111</v>
      </c>
      <c r="D2279" s="154">
        <v>5337.6</v>
      </c>
      <c r="E2279" s="155">
        <v>44765</v>
      </c>
      <c r="F2279" s="154">
        <v>5337.6</v>
      </c>
      <c r="G2279" s="156">
        <f>Tabla18[[#This Row],[Importe]]-Tabla18[[#This Row],[Pagado]]</f>
        <v>0</v>
      </c>
      <c r="H2279" s="153" t="s">
        <v>10</v>
      </c>
    </row>
    <row r="2280" spans="1:8" x14ac:dyDescent="0.25">
      <c r="A2280" s="73">
        <v>44764</v>
      </c>
      <c r="B2280" s="74" t="s">
        <v>23624</v>
      </c>
      <c r="C2280" s="75" t="s">
        <v>161</v>
      </c>
      <c r="D2280" s="81">
        <v>4581.5</v>
      </c>
      <c r="E2280" s="151">
        <v>44764</v>
      </c>
      <c r="F2280" s="81">
        <v>4581.5</v>
      </c>
      <c r="G2280" s="156">
        <f>Tabla18[[#This Row],[Importe]]-Tabla18[[#This Row],[Pagado]]</f>
        <v>0</v>
      </c>
      <c r="H2280" s="75" t="s">
        <v>10</v>
      </c>
    </row>
    <row r="2281" spans="1:8" x14ac:dyDescent="0.25">
      <c r="A2281" s="148">
        <v>44764</v>
      </c>
      <c r="B2281" s="149" t="s">
        <v>23625</v>
      </c>
      <c r="C2281" s="153" t="s">
        <v>97</v>
      </c>
      <c r="D2281" s="154">
        <v>6346.8</v>
      </c>
      <c r="E2281" s="155">
        <v>44765</v>
      </c>
      <c r="F2281" s="154">
        <v>6346.8</v>
      </c>
      <c r="G2281" s="156">
        <f>Tabla18[[#This Row],[Importe]]-Tabla18[[#This Row],[Pagado]]</f>
        <v>0</v>
      </c>
      <c r="H2281" s="153" t="s">
        <v>10</v>
      </c>
    </row>
    <row r="2282" spans="1:8" x14ac:dyDescent="0.25">
      <c r="A2282" s="73">
        <v>44764</v>
      </c>
      <c r="B2282" s="74" t="s">
        <v>23626</v>
      </c>
      <c r="C2282" s="75" t="s">
        <v>2151</v>
      </c>
      <c r="D2282" s="81">
        <v>25336.3</v>
      </c>
      <c r="E2282" s="151">
        <v>44764</v>
      </c>
      <c r="F2282" s="81">
        <v>25336.3</v>
      </c>
      <c r="G2282" s="156">
        <f>Tabla18[[#This Row],[Importe]]-Tabla18[[#This Row],[Pagado]]</f>
        <v>0</v>
      </c>
      <c r="H2282" s="75" t="s">
        <v>10</v>
      </c>
    </row>
    <row r="2283" spans="1:8" x14ac:dyDescent="0.25">
      <c r="A2283" s="148">
        <v>44764</v>
      </c>
      <c r="B2283" s="149" t="s">
        <v>23627</v>
      </c>
      <c r="C2283" s="153" t="s">
        <v>64</v>
      </c>
      <c r="D2283" s="154">
        <v>10630.7</v>
      </c>
      <c r="E2283" s="155">
        <v>44765</v>
      </c>
      <c r="F2283" s="154">
        <v>10630.7</v>
      </c>
      <c r="G2283" s="156">
        <f>Tabla18[[#This Row],[Importe]]-Tabla18[[#This Row],[Pagado]]</f>
        <v>0</v>
      </c>
      <c r="H2283" s="153" t="s">
        <v>10</v>
      </c>
    </row>
    <row r="2284" spans="1:8" x14ac:dyDescent="0.25">
      <c r="A2284" s="73">
        <v>44764</v>
      </c>
      <c r="B2284" s="74" t="s">
        <v>23628</v>
      </c>
      <c r="C2284" s="75" t="s">
        <v>83</v>
      </c>
      <c r="D2284" s="81">
        <v>6481.4</v>
      </c>
      <c r="E2284" s="151">
        <v>44764</v>
      </c>
      <c r="F2284" s="81">
        <v>6481.4</v>
      </c>
      <c r="G2284" s="156">
        <f>Tabla18[[#This Row],[Importe]]-Tabla18[[#This Row],[Pagado]]</f>
        <v>0</v>
      </c>
      <c r="H2284" s="75" t="s">
        <v>10</v>
      </c>
    </row>
    <row r="2285" spans="1:8" x14ac:dyDescent="0.25">
      <c r="A2285" s="148">
        <v>44764</v>
      </c>
      <c r="B2285" s="149" t="s">
        <v>23629</v>
      </c>
      <c r="C2285" s="153" t="s">
        <v>9</v>
      </c>
      <c r="D2285" s="154">
        <v>9923.6</v>
      </c>
      <c r="E2285" s="155">
        <v>44764</v>
      </c>
      <c r="F2285" s="154">
        <v>9923.6</v>
      </c>
      <c r="G2285" s="156">
        <f>Tabla18[[#This Row],[Importe]]-Tabla18[[#This Row],[Pagado]]</f>
        <v>0</v>
      </c>
      <c r="H2285" s="153" t="s">
        <v>10</v>
      </c>
    </row>
    <row r="2286" spans="1:8" x14ac:dyDescent="0.25">
      <c r="A2286" s="73">
        <v>44764</v>
      </c>
      <c r="B2286" s="74" t="s">
        <v>23630</v>
      </c>
      <c r="C2286" s="75" t="s">
        <v>114</v>
      </c>
      <c r="D2286" s="81">
        <v>11404.8</v>
      </c>
      <c r="E2286" s="151">
        <v>44765</v>
      </c>
      <c r="F2286" s="81">
        <v>11404.8</v>
      </c>
      <c r="G2286" s="156">
        <f>Tabla18[[#This Row],[Importe]]-Tabla18[[#This Row],[Pagado]]</f>
        <v>0</v>
      </c>
      <c r="H2286" s="75" t="s">
        <v>10</v>
      </c>
    </row>
    <row r="2287" spans="1:8" x14ac:dyDescent="0.25">
      <c r="A2287" s="148">
        <v>44764</v>
      </c>
      <c r="B2287" s="149" t="s">
        <v>23631</v>
      </c>
      <c r="C2287" s="153" t="s">
        <v>1187</v>
      </c>
      <c r="D2287" s="154">
        <v>1050.8</v>
      </c>
      <c r="E2287" s="155">
        <v>44764</v>
      </c>
      <c r="F2287" s="154">
        <v>1050.8</v>
      </c>
      <c r="G2287" s="156">
        <f>Tabla18[[#This Row],[Importe]]-Tabla18[[#This Row],[Pagado]]</f>
        <v>0</v>
      </c>
      <c r="H2287" s="153" t="s">
        <v>10</v>
      </c>
    </row>
    <row r="2288" spans="1:8" x14ac:dyDescent="0.25">
      <c r="A2288" s="73">
        <v>44764</v>
      </c>
      <c r="B2288" s="74" t="s">
        <v>23632</v>
      </c>
      <c r="C2288" s="75" t="s">
        <v>664</v>
      </c>
      <c r="D2288" s="81">
        <v>4384.8</v>
      </c>
      <c r="E2288" s="151">
        <v>44764</v>
      </c>
      <c r="F2288" s="81">
        <v>4384.8</v>
      </c>
      <c r="G2288" s="156">
        <f>Tabla18[[#This Row],[Importe]]-Tabla18[[#This Row],[Pagado]]</f>
        <v>0</v>
      </c>
      <c r="H2288" s="75" t="s">
        <v>10</v>
      </c>
    </row>
    <row r="2289" spans="1:8" x14ac:dyDescent="0.25">
      <c r="A2289" s="148">
        <v>44764</v>
      </c>
      <c r="B2289" s="149" t="s">
        <v>23633</v>
      </c>
      <c r="C2289" s="153" t="s">
        <v>140</v>
      </c>
      <c r="D2289" s="154">
        <v>1826</v>
      </c>
      <c r="E2289" s="155">
        <v>44764</v>
      </c>
      <c r="F2289" s="154">
        <v>1826</v>
      </c>
      <c r="G2289" s="156">
        <f>Tabla18[[#This Row],[Importe]]-Tabla18[[#This Row],[Pagado]]</f>
        <v>0</v>
      </c>
      <c r="H2289" s="153" t="s">
        <v>10</v>
      </c>
    </row>
    <row r="2290" spans="1:8" x14ac:dyDescent="0.25">
      <c r="A2290" s="73">
        <v>44764</v>
      </c>
      <c r="B2290" s="74" t="s">
        <v>23634</v>
      </c>
      <c r="C2290" s="75" t="s">
        <v>127</v>
      </c>
      <c r="D2290" s="81">
        <v>2497.3000000000002</v>
      </c>
      <c r="E2290" s="151">
        <v>44764</v>
      </c>
      <c r="F2290" s="81">
        <v>2497.3000000000002</v>
      </c>
      <c r="G2290" s="156">
        <f>Tabla18[[#This Row],[Importe]]-Tabla18[[#This Row],[Pagado]]</f>
        <v>0</v>
      </c>
      <c r="H2290" s="75" t="s">
        <v>10</v>
      </c>
    </row>
    <row r="2291" spans="1:8" x14ac:dyDescent="0.25">
      <c r="A2291" s="148">
        <v>44764</v>
      </c>
      <c r="B2291" s="149" t="s">
        <v>23635</v>
      </c>
      <c r="C2291" s="153" t="s">
        <v>129</v>
      </c>
      <c r="D2291" s="154">
        <v>5397.6</v>
      </c>
      <c r="E2291" s="155">
        <v>44764</v>
      </c>
      <c r="F2291" s="154">
        <v>5397.6</v>
      </c>
      <c r="G2291" s="156">
        <f>Tabla18[[#This Row],[Importe]]-Tabla18[[#This Row],[Pagado]]</f>
        <v>0</v>
      </c>
      <c r="H2291" s="153" t="s">
        <v>10</v>
      </c>
    </row>
    <row r="2292" spans="1:8" x14ac:dyDescent="0.25">
      <c r="A2292" s="73">
        <v>44764</v>
      </c>
      <c r="B2292" s="74" t="s">
        <v>23636</v>
      </c>
      <c r="C2292" s="75" t="s">
        <v>353</v>
      </c>
      <c r="D2292" s="81">
        <v>1528.8</v>
      </c>
      <c r="E2292" s="151">
        <v>44764</v>
      </c>
      <c r="F2292" s="81">
        <v>1528.8</v>
      </c>
      <c r="G2292" s="156">
        <f>Tabla18[[#This Row],[Importe]]-Tabla18[[#This Row],[Pagado]]</f>
        <v>0</v>
      </c>
      <c r="H2292" s="75" t="s">
        <v>10</v>
      </c>
    </row>
    <row r="2293" spans="1:8" x14ac:dyDescent="0.25">
      <c r="A2293" s="148">
        <v>44764</v>
      </c>
      <c r="B2293" s="149" t="s">
        <v>23637</v>
      </c>
      <c r="C2293" s="153" t="s">
        <v>142</v>
      </c>
      <c r="D2293" s="154">
        <v>69612.42</v>
      </c>
      <c r="E2293" s="155">
        <v>44799</v>
      </c>
      <c r="F2293" s="154">
        <v>69612.42</v>
      </c>
      <c r="G2293" s="156">
        <f>Tabla18[[#This Row],[Importe]]-Tabla18[[#This Row],[Pagado]]</f>
        <v>0</v>
      </c>
      <c r="H2293" s="153" t="s">
        <v>10</v>
      </c>
    </row>
    <row r="2294" spans="1:8" x14ac:dyDescent="0.25">
      <c r="A2294" s="73">
        <v>44764</v>
      </c>
      <c r="B2294" s="74" t="s">
        <v>23638</v>
      </c>
      <c r="C2294" s="75" t="s">
        <v>56</v>
      </c>
      <c r="D2294" s="81">
        <v>9305.4</v>
      </c>
      <c r="E2294" s="151">
        <v>44764</v>
      </c>
      <c r="F2294" s="81">
        <v>9305.4</v>
      </c>
      <c r="G2294" s="156">
        <f>Tabla18[[#This Row],[Importe]]-Tabla18[[#This Row],[Pagado]]</f>
        <v>0</v>
      </c>
      <c r="H2294" s="75" t="s">
        <v>10</v>
      </c>
    </row>
    <row r="2295" spans="1:8" x14ac:dyDescent="0.25">
      <c r="A2295" s="148">
        <v>44764</v>
      </c>
      <c r="B2295" s="149" t="s">
        <v>23639</v>
      </c>
      <c r="C2295" s="153" t="s">
        <v>31</v>
      </c>
      <c r="D2295" s="154">
        <v>5112.1000000000004</v>
      </c>
      <c r="E2295" s="155">
        <v>44764</v>
      </c>
      <c r="F2295" s="154">
        <v>5112.1000000000004</v>
      </c>
      <c r="G2295" s="156">
        <f>Tabla18[[#This Row],[Importe]]-Tabla18[[#This Row],[Pagado]]</f>
        <v>0</v>
      </c>
      <c r="H2295" s="153" t="s">
        <v>10</v>
      </c>
    </row>
    <row r="2296" spans="1:8" x14ac:dyDescent="0.25">
      <c r="A2296" s="73">
        <v>44764</v>
      </c>
      <c r="B2296" s="74" t="s">
        <v>23640</v>
      </c>
      <c r="C2296" s="75" t="s">
        <v>31</v>
      </c>
      <c r="D2296" s="81">
        <v>2182.4</v>
      </c>
      <c r="E2296" s="151">
        <v>44764</v>
      </c>
      <c r="F2296" s="81">
        <v>2182.4</v>
      </c>
      <c r="G2296" s="156">
        <f>Tabla18[[#This Row],[Importe]]-Tabla18[[#This Row],[Pagado]]</f>
        <v>0</v>
      </c>
      <c r="H2296" s="75" t="s">
        <v>10</v>
      </c>
    </row>
    <row r="2297" spans="1:8" ht="31.5" x14ac:dyDescent="0.25">
      <c r="A2297" s="148">
        <v>44764</v>
      </c>
      <c r="B2297" s="149" t="s">
        <v>23641</v>
      </c>
      <c r="C2297" s="153" t="s">
        <v>22</v>
      </c>
      <c r="D2297" s="154">
        <v>40157.699999999997</v>
      </c>
      <c r="E2297" s="150" t="s">
        <v>23642</v>
      </c>
      <c r="F2297" s="154">
        <f>32000+8157.7</f>
        <v>40157.699999999997</v>
      </c>
      <c r="G2297" s="156">
        <f>Tabla18[[#This Row],[Importe]]-Tabla18[[#This Row],[Pagado]]</f>
        <v>0</v>
      </c>
      <c r="H2297" s="153" t="s">
        <v>10</v>
      </c>
    </row>
    <row r="2298" spans="1:8" x14ac:dyDescent="0.25">
      <c r="A2298" s="73">
        <v>44764</v>
      </c>
      <c r="B2298" s="74" t="s">
        <v>23643</v>
      </c>
      <c r="C2298" s="75" t="s">
        <v>484</v>
      </c>
      <c r="D2298" s="81">
        <v>8108.1</v>
      </c>
      <c r="E2298" s="151">
        <v>44764</v>
      </c>
      <c r="F2298" s="81">
        <v>8108.1</v>
      </c>
      <c r="G2298" s="156">
        <f>Tabla18[[#This Row],[Importe]]-Tabla18[[#This Row],[Pagado]]</f>
        <v>0</v>
      </c>
      <c r="H2298" s="75" t="s">
        <v>10</v>
      </c>
    </row>
    <row r="2299" spans="1:8" x14ac:dyDescent="0.25">
      <c r="A2299" s="148">
        <v>44764</v>
      </c>
      <c r="B2299" s="149" t="s">
        <v>23644</v>
      </c>
      <c r="C2299" s="153" t="s">
        <v>275</v>
      </c>
      <c r="D2299" s="154">
        <v>167688.1</v>
      </c>
      <c r="E2299" s="155">
        <v>44778</v>
      </c>
      <c r="F2299" s="154">
        <v>167688.1</v>
      </c>
      <c r="G2299" s="156">
        <f>Tabla18[[#This Row],[Importe]]-Tabla18[[#This Row],[Pagado]]</f>
        <v>0</v>
      </c>
      <c r="H2299" s="153" t="s">
        <v>10</v>
      </c>
    </row>
    <row r="2300" spans="1:8" x14ac:dyDescent="0.25">
      <c r="A2300" s="73">
        <v>44764</v>
      </c>
      <c r="B2300" s="74" t="s">
        <v>23645</v>
      </c>
      <c r="C2300" s="75" t="s">
        <v>275</v>
      </c>
      <c r="D2300" s="81">
        <v>12595.2</v>
      </c>
      <c r="E2300" s="151">
        <v>44778</v>
      </c>
      <c r="F2300" s="81">
        <v>12595.2</v>
      </c>
      <c r="G2300" s="156">
        <f>Tabla18[[#This Row],[Importe]]-Tabla18[[#This Row],[Pagado]]</f>
        <v>0</v>
      </c>
      <c r="H2300" s="75" t="s">
        <v>10</v>
      </c>
    </row>
    <row r="2301" spans="1:8" x14ac:dyDescent="0.25">
      <c r="A2301" s="148">
        <v>44764</v>
      </c>
      <c r="B2301" s="149" t="s">
        <v>23646</v>
      </c>
      <c r="C2301" s="153" t="s">
        <v>1302</v>
      </c>
      <c r="D2301" s="154">
        <v>11174.4</v>
      </c>
      <c r="E2301" s="155">
        <v>44764</v>
      </c>
      <c r="F2301" s="154">
        <v>11174.4</v>
      </c>
      <c r="G2301" s="156">
        <f>Tabla18[[#This Row],[Importe]]-Tabla18[[#This Row],[Pagado]]</f>
        <v>0</v>
      </c>
      <c r="H2301" s="153" t="s">
        <v>10</v>
      </c>
    </row>
    <row r="2302" spans="1:8" x14ac:dyDescent="0.25">
      <c r="A2302" s="73">
        <v>44764</v>
      </c>
      <c r="B2302" s="74" t="s">
        <v>23647</v>
      </c>
      <c r="C2302" s="75" t="s">
        <v>647</v>
      </c>
      <c r="D2302" s="81">
        <v>1935.5</v>
      </c>
      <c r="E2302" s="151">
        <v>44764</v>
      </c>
      <c r="F2302" s="81">
        <v>1935.5</v>
      </c>
      <c r="G2302" s="156">
        <f>Tabla18[[#This Row],[Importe]]-Tabla18[[#This Row],[Pagado]]</f>
        <v>0</v>
      </c>
      <c r="H2302" s="75" t="s">
        <v>10</v>
      </c>
    </row>
    <row r="2303" spans="1:8" x14ac:dyDescent="0.25">
      <c r="A2303" s="148">
        <v>44764</v>
      </c>
      <c r="B2303" s="149" t="s">
        <v>23648</v>
      </c>
      <c r="C2303" s="153" t="s">
        <v>647</v>
      </c>
      <c r="D2303" s="154">
        <v>1919.2</v>
      </c>
      <c r="E2303" s="155">
        <v>44764</v>
      </c>
      <c r="F2303" s="154">
        <v>1919.2</v>
      </c>
      <c r="G2303" s="156">
        <f>Tabla18[[#This Row],[Importe]]-Tabla18[[#This Row],[Pagado]]</f>
        <v>0</v>
      </c>
      <c r="H2303" s="153" t="s">
        <v>10</v>
      </c>
    </row>
    <row r="2304" spans="1:8" x14ac:dyDescent="0.25">
      <c r="A2304" s="73">
        <v>44764</v>
      </c>
      <c r="B2304" s="74" t="s">
        <v>23649</v>
      </c>
      <c r="C2304" s="75" t="s">
        <v>107</v>
      </c>
      <c r="D2304" s="81">
        <v>11647.4</v>
      </c>
      <c r="E2304" s="151">
        <v>44767</v>
      </c>
      <c r="F2304" s="81">
        <v>11647.4</v>
      </c>
      <c r="G2304" s="156">
        <f>Tabla18[[#This Row],[Importe]]-Tabla18[[#This Row],[Pagado]]</f>
        <v>0</v>
      </c>
      <c r="H2304" s="75" t="s">
        <v>10</v>
      </c>
    </row>
    <row r="2305" spans="1:8" x14ac:dyDescent="0.25">
      <c r="A2305" s="148">
        <v>44764</v>
      </c>
      <c r="B2305" s="149" t="s">
        <v>23650</v>
      </c>
      <c r="C2305" s="153" t="s">
        <v>31</v>
      </c>
      <c r="D2305" s="154">
        <v>3616</v>
      </c>
      <c r="E2305" s="155">
        <v>44764</v>
      </c>
      <c r="F2305" s="154">
        <v>3616</v>
      </c>
      <c r="G2305" s="156">
        <f>Tabla18[[#This Row],[Importe]]-Tabla18[[#This Row],[Pagado]]</f>
        <v>0</v>
      </c>
      <c r="H2305" s="153" t="s">
        <v>10</v>
      </c>
    </row>
    <row r="2306" spans="1:8" x14ac:dyDescent="0.25">
      <c r="A2306" s="73">
        <v>44764</v>
      </c>
      <c r="B2306" s="74" t="s">
        <v>23651</v>
      </c>
      <c r="C2306" s="75" t="s">
        <v>196</v>
      </c>
      <c r="D2306" s="81">
        <v>120958.88</v>
      </c>
      <c r="E2306" s="151">
        <v>44765</v>
      </c>
      <c r="F2306" s="81">
        <v>120958.88</v>
      </c>
      <c r="G2306" s="156">
        <f>Tabla18[[#This Row],[Importe]]-Tabla18[[#This Row],[Pagado]]</f>
        <v>0</v>
      </c>
      <c r="H2306" s="75" t="s">
        <v>10</v>
      </c>
    </row>
    <row r="2307" spans="1:8" x14ac:dyDescent="0.25">
      <c r="A2307" s="148">
        <v>44764</v>
      </c>
      <c r="B2307" s="149" t="s">
        <v>23652</v>
      </c>
      <c r="C2307" s="153" t="s">
        <v>11033</v>
      </c>
      <c r="D2307" s="154">
        <v>2054</v>
      </c>
      <c r="E2307" s="155">
        <v>44764</v>
      </c>
      <c r="F2307" s="154">
        <v>2054</v>
      </c>
      <c r="G2307" s="156">
        <f>Tabla18[[#This Row],[Importe]]-Tabla18[[#This Row],[Pagado]]</f>
        <v>0</v>
      </c>
      <c r="H2307" s="153" t="s">
        <v>10</v>
      </c>
    </row>
    <row r="2308" spans="1:8" x14ac:dyDescent="0.25">
      <c r="A2308" s="73">
        <v>44764</v>
      </c>
      <c r="B2308" s="74" t="s">
        <v>23653</v>
      </c>
      <c r="C2308" s="75" t="s">
        <v>27</v>
      </c>
      <c r="D2308" s="81">
        <v>2595</v>
      </c>
      <c r="E2308" s="151">
        <v>44764</v>
      </c>
      <c r="F2308" s="81">
        <v>2595</v>
      </c>
      <c r="G2308" s="156">
        <f>Tabla18[[#This Row],[Importe]]-Tabla18[[#This Row],[Pagado]]</f>
        <v>0</v>
      </c>
      <c r="H2308" s="75" t="s">
        <v>10</v>
      </c>
    </row>
    <row r="2309" spans="1:8" x14ac:dyDescent="0.25">
      <c r="A2309" s="148">
        <v>44764</v>
      </c>
      <c r="B2309" s="149" t="s">
        <v>23654</v>
      </c>
      <c r="C2309" s="153" t="s">
        <v>1378</v>
      </c>
      <c r="D2309" s="154">
        <v>86093.2</v>
      </c>
      <c r="E2309" s="155">
        <v>44765</v>
      </c>
      <c r="F2309" s="154">
        <v>86093.2</v>
      </c>
      <c r="G2309" s="156">
        <f>Tabla18[[#This Row],[Importe]]-Tabla18[[#This Row],[Pagado]]</f>
        <v>0</v>
      </c>
      <c r="H2309" s="153" t="s">
        <v>10</v>
      </c>
    </row>
    <row r="2310" spans="1:8" x14ac:dyDescent="0.25">
      <c r="A2310" s="73">
        <v>44764</v>
      </c>
      <c r="B2310" s="74" t="s">
        <v>23655</v>
      </c>
      <c r="C2310" s="75" t="s">
        <v>133</v>
      </c>
      <c r="D2310" s="81">
        <v>11890</v>
      </c>
      <c r="E2310" s="151">
        <v>44765</v>
      </c>
      <c r="F2310" s="81">
        <v>11890</v>
      </c>
      <c r="G2310" s="156">
        <f>Tabla18[[#This Row],[Importe]]-Tabla18[[#This Row],[Pagado]]</f>
        <v>0</v>
      </c>
      <c r="H2310" s="75" t="s">
        <v>10</v>
      </c>
    </row>
    <row r="2311" spans="1:8" x14ac:dyDescent="0.25">
      <c r="A2311" s="148">
        <v>44764</v>
      </c>
      <c r="B2311" s="149" t="s">
        <v>23656</v>
      </c>
      <c r="C2311" s="153" t="s">
        <v>592</v>
      </c>
      <c r="D2311" s="154">
        <v>34360</v>
      </c>
      <c r="E2311" s="155">
        <v>44765</v>
      </c>
      <c r="F2311" s="154">
        <v>34360</v>
      </c>
      <c r="G2311" s="156">
        <f>Tabla18[[#This Row],[Importe]]-Tabla18[[#This Row],[Pagado]]</f>
        <v>0</v>
      </c>
      <c r="H2311" s="153" t="s">
        <v>10</v>
      </c>
    </row>
    <row r="2312" spans="1:8" x14ac:dyDescent="0.25">
      <c r="A2312" s="73">
        <v>44764</v>
      </c>
      <c r="B2312" s="74" t="s">
        <v>23657</v>
      </c>
      <c r="C2312" s="75" t="s">
        <v>23658</v>
      </c>
      <c r="D2312" s="81">
        <v>0</v>
      </c>
      <c r="E2312" s="157" t="s">
        <v>189</v>
      </c>
      <c r="F2312" s="81">
        <v>0</v>
      </c>
      <c r="G2312" s="156">
        <f>Tabla18[[#This Row],[Importe]]-Tabla18[[#This Row],[Pagado]]</f>
        <v>0</v>
      </c>
      <c r="H2312" s="75" t="s">
        <v>189</v>
      </c>
    </row>
    <row r="2313" spans="1:8" x14ac:dyDescent="0.25">
      <c r="A2313" s="148">
        <v>44764</v>
      </c>
      <c r="B2313" s="149" t="s">
        <v>23659</v>
      </c>
      <c r="C2313" s="153" t="s">
        <v>289</v>
      </c>
      <c r="D2313" s="154">
        <v>14556.8</v>
      </c>
      <c r="E2313" s="155">
        <v>44764</v>
      </c>
      <c r="F2313" s="154">
        <v>14556.8</v>
      </c>
      <c r="G2313" s="156">
        <f>Tabla18[[#This Row],[Importe]]-Tabla18[[#This Row],[Pagado]]</f>
        <v>0</v>
      </c>
      <c r="H2313" s="153" t="s">
        <v>10</v>
      </c>
    </row>
    <row r="2314" spans="1:8" x14ac:dyDescent="0.25">
      <c r="A2314" s="73">
        <v>44764</v>
      </c>
      <c r="B2314" s="74" t="s">
        <v>23660</v>
      </c>
      <c r="C2314" s="75" t="s">
        <v>31</v>
      </c>
      <c r="D2314" s="81">
        <v>713.4</v>
      </c>
      <c r="E2314" s="151">
        <v>44764</v>
      </c>
      <c r="F2314" s="81">
        <v>713.4</v>
      </c>
      <c r="G2314" s="156">
        <f>Tabla18[[#This Row],[Importe]]-Tabla18[[#This Row],[Pagado]]</f>
        <v>0</v>
      </c>
      <c r="H2314" s="75" t="s">
        <v>10</v>
      </c>
    </row>
    <row r="2315" spans="1:8" x14ac:dyDescent="0.25">
      <c r="A2315" s="148">
        <v>44764</v>
      </c>
      <c r="B2315" s="149" t="s">
        <v>23661</v>
      </c>
      <c r="C2315" s="153" t="s">
        <v>49</v>
      </c>
      <c r="D2315" s="154">
        <v>4202.3999999999996</v>
      </c>
      <c r="E2315" s="155">
        <v>44764</v>
      </c>
      <c r="F2315" s="154">
        <v>4202.3999999999996</v>
      </c>
      <c r="G2315" s="156">
        <f>Tabla18[[#This Row],[Importe]]-Tabla18[[#This Row],[Pagado]]</f>
        <v>0</v>
      </c>
      <c r="H2315" s="153" t="s">
        <v>10</v>
      </c>
    </row>
    <row r="2316" spans="1:8" x14ac:dyDescent="0.25">
      <c r="A2316" s="73">
        <v>44764</v>
      </c>
      <c r="B2316" s="74" t="s">
        <v>23662</v>
      </c>
      <c r="C2316" s="75" t="s">
        <v>67</v>
      </c>
      <c r="D2316" s="81">
        <v>6396</v>
      </c>
      <c r="E2316" s="151">
        <v>44764</v>
      </c>
      <c r="F2316" s="81">
        <v>6396</v>
      </c>
      <c r="G2316" s="156">
        <f>Tabla18[[#This Row],[Importe]]-Tabla18[[#This Row],[Pagado]]</f>
        <v>0</v>
      </c>
      <c r="H2316" s="75" t="s">
        <v>10</v>
      </c>
    </row>
    <row r="2317" spans="1:8" x14ac:dyDescent="0.25">
      <c r="A2317" s="148">
        <v>44764</v>
      </c>
      <c r="B2317" s="149" t="s">
        <v>23663</v>
      </c>
      <c r="C2317" s="153" t="s">
        <v>2114</v>
      </c>
      <c r="D2317" s="154">
        <v>1310.4000000000001</v>
      </c>
      <c r="E2317" s="155">
        <v>44764</v>
      </c>
      <c r="F2317" s="154">
        <v>1310.4000000000001</v>
      </c>
      <c r="G2317" s="156">
        <f>Tabla18[[#This Row],[Importe]]-Tabla18[[#This Row],[Pagado]]</f>
        <v>0</v>
      </c>
      <c r="H2317" s="153" t="s">
        <v>10</v>
      </c>
    </row>
    <row r="2318" spans="1:8" x14ac:dyDescent="0.25">
      <c r="A2318" s="73">
        <v>44764</v>
      </c>
      <c r="B2318" s="74" t="s">
        <v>23664</v>
      </c>
      <c r="C2318" s="75" t="s">
        <v>175</v>
      </c>
      <c r="D2318" s="81">
        <v>32098</v>
      </c>
      <c r="E2318" s="151">
        <v>44765</v>
      </c>
      <c r="F2318" s="81">
        <v>32098</v>
      </c>
      <c r="G2318" s="156">
        <f>Tabla18[[#This Row],[Importe]]-Tabla18[[#This Row],[Pagado]]</f>
        <v>0</v>
      </c>
      <c r="H2318" s="75" t="s">
        <v>10</v>
      </c>
    </row>
    <row r="2319" spans="1:8" x14ac:dyDescent="0.25">
      <c r="A2319" s="148">
        <v>44764</v>
      </c>
      <c r="B2319" s="149" t="s">
        <v>23665</v>
      </c>
      <c r="C2319" s="153" t="s">
        <v>181</v>
      </c>
      <c r="D2319" s="154">
        <v>15635.2</v>
      </c>
      <c r="E2319" s="155">
        <v>44765</v>
      </c>
      <c r="F2319" s="154">
        <v>15635.2</v>
      </c>
      <c r="G2319" s="156">
        <f>Tabla18[[#This Row],[Importe]]-Tabla18[[#This Row],[Pagado]]</f>
        <v>0</v>
      </c>
      <c r="H2319" s="153" t="s">
        <v>10</v>
      </c>
    </row>
    <row r="2320" spans="1:8" x14ac:dyDescent="0.25">
      <c r="A2320" s="73">
        <v>44764</v>
      </c>
      <c r="B2320" s="74" t="s">
        <v>23666</v>
      </c>
      <c r="C2320" s="75" t="s">
        <v>10190</v>
      </c>
      <c r="D2320" s="81">
        <v>28414.799999999999</v>
      </c>
      <c r="E2320" s="151">
        <v>44765</v>
      </c>
      <c r="F2320" s="81">
        <v>28414.799999999999</v>
      </c>
      <c r="G2320" s="156">
        <f>Tabla18[[#This Row],[Importe]]-Tabla18[[#This Row],[Pagado]]</f>
        <v>0</v>
      </c>
      <c r="H2320" s="75" t="s">
        <v>10</v>
      </c>
    </row>
    <row r="2321" spans="1:8" x14ac:dyDescent="0.25">
      <c r="A2321" s="148">
        <v>44764</v>
      </c>
      <c r="B2321" s="149" t="s">
        <v>23667</v>
      </c>
      <c r="C2321" s="153" t="s">
        <v>37</v>
      </c>
      <c r="D2321" s="154">
        <v>4202.1000000000004</v>
      </c>
      <c r="E2321" s="155">
        <v>44764</v>
      </c>
      <c r="F2321" s="154">
        <v>4202.1000000000004</v>
      </c>
      <c r="G2321" s="156">
        <f>Tabla18[[#This Row],[Importe]]-Tabla18[[#This Row],[Pagado]]</f>
        <v>0</v>
      </c>
      <c r="H2321" s="153" t="s">
        <v>10</v>
      </c>
    </row>
    <row r="2322" spans="1:8" x14ac:dyDescent="0.25">
      <c r="A2322" s="73">
        <v>44764</v>
      </c>
      <c r="B2322" s="74" t="s">
        <v>23668</v>
      </c>
      <c r="C2322" s="75" t="s">
        <v>849</v>
      </c>
      <c r="D2322" s="81">
        <v>5516</v>
      </c>
      <c r="E2322" s="151">
        <v>44764</v>
      </c>
      <c r="F2322" s="81">
        <v>5516</v>
      </c>
      <c r="G2322" s="156">
        <f>Tabla18[[#This Row],[Importe]]-Tabla18[[#This Row],[Pagado]]</f>
        <v>0</v>
      </c>
      <c r="H2322" s="75" t="s">
        <v>10</v>
      </c>
    </row>
    <row r="2323" spans="1:8" x14ac:dyDescent="0.25">
      <c r="A2323" s="148">
        <v>44764</v>
      </c>
      <c r="B2323" s="149" t="s">
        <v>23669</v>
      </c>
      <c r="C2323" s="153" t="s">
        <v>45</v>
      </c>
      <c r="D2323" s="154">
        <v>11995.2</v>
      </c>
      <c r="E2323" s="155">
        <v>44764</v>
      </c>
      <c r="F2323" s="154">
        <v>11995.2</v>
      </c>
      <c r="G2323" s="156">
        <f>Tabla18[[#This Row],[Importe]]-Tabla18[[#This Row],[Pagado]]</f>
        <v>0</v>
      </c>
      <c r="H2323" s="153" t="s">
        <v>10</v>
      </c>
    </row>
    <row r="2324" spans="1:8" x14ac:dyDescent="0.25">
      <c r="A2324" s="73">
        <v>44764</v>
      </c>
      <c r="B2324" s="74" t="s">
        <v>23670</v>
      </c>
      <c r="C2324" s="75" t="s">
        <v>555</v>
      </c>
      <c r="D2324" s="81">
        <v>23152</v>
      </c>
      <c r="E2324" s="151">
        <v>44765</v>
      </c>
      <c r="F2324" s="81">
        <v>23152</v>
      </c>
      <c r="G2324" s="156">
        <f>Tabla18[[#This Row],[Importe]]-Tabla18[[#This Row],[Pagado]]</f>
        <v>0</v>
      </c>
      <c r="H2324" s="75" t="s">
        <v>10</v>
      </c>
    </row>
    <row r="2325" spans="1:8" x14ac:dyDescent="0.25">
      <c r="A2325" s="148">
        <v>44764</v>
      </c>
      <c r="B2325" s="149" t="s">
        <v>23671</v>
      </c>
      <c r="C2325" s="153" t="s">
        <v>20182</v>
      </c>
      <c r="D2325" s="154">
        <v>0</v>
      </c>
      <c r="E2325" s="158" t="s">
        <v>189</v>
      </c>
      <c r="F2325" s="154">
        <v>0</v>
      </c>
      <c r="G2325" s="156">
        <f>Tabla18[[#This Row],[Importe]]-Tabla18[[#This Row],[Pagado]]</f>
        <v>0</v>
      </c>
      <c r="H2325" s="153" t="s">
        <v>189</v>
      </c>
    </row>
    <row r="2326" spans="1:8" x14ac:dyDescent="0.25">
      <c r="A2326" s="73">
        <v>44764</v>
      </c>
      <c r="B2326" s="74" t="s">
        <v>23672</v>
      </c>
      <c r="C2326" s="75" t="s">
        <v>23673</v>
      </c>
      <c r="D2326" s="81">
        <v>0</v>
      </c>
      <c r="E2326" s="157" t="s">
        <v>189</v>
      </c>
      <c r="F2326" s="81">
        <v>0</v>
      </c>
      <c r="G2326" s="156">
        <f>Tabla18[[#This Row],[Importe]]-Tabla18[[#This Row],[Pagado]]</f>
        <v>0</v>
      </c>
      <c r="H2326" s="161" t="s">
        <v>23674</v>
      </c>
    </row>
    <row r="2327" spans="1:8" x14ac:dyDescent="0.25">
      <c r="A2327" s="148">
        <v>44764</v>
      </c>
      <c r="B2327" s="149" t="s">
        <v>23675</v>
      </c>
      <c r="C2327" s="153" t="s">
        <v>275</v>
      </c>
      <c r="D2327" s="154">
        <v>5993.7</v>
      </c>
      <c r="E2327" s="155">
        <v>44778</v>
      </c>
      <c r="F2327" s="154">
        <v>5993.7</v>
      </c>
      <c r="G2327" s="156">
        <f>Tabla18[[#This Row],[Importe]]-Tabla18[[#This Row],[Pagado]]</f>
        <v>0</v>
      </c>
      <c r="H2327" s="153" t="s">
        <v>10</v>
      </c>
    </row>
    <row r="2328" spans="1:8" x14ac:dyDescent="0.25">
      <c r="A2328" s="73">
        <v>44764</v>
      </c>
      <c r="B2328" s="74" t="s">
        <v>23676</v>
      </c>
      <c r="C2328" s="75" t="s">
        <v>10157</v>
      </c>
      <c r="D2328" s="81">
        <v>43690.1</v>
      </c>
      <c r="E2328" s="151">
        <v>44772</v>
      </c>
      <c r="F2328" s="81">
        <v>43690.1</v>
      </c>
      <c r="G2328" s="156">
        <f>Tabla18[[#This Row],[Importe]]-Tabla18[[#This Row],[Pagado]]</f>
        <v>0</v>
      </c>
      <c r="H2328" s="75" t="s">
        <v>10</v>
      </c>
    </row>
    <row r="2329" spans="1:8" x14ac:dyDescent="0.25">
      <c r="A2329" s="148">
        <v>44764</v>
      </c>
      <c r="B2329" s="149" t="s">
        <v>23677</v>
      </c>
      <c r="C2329" s="153" t="s">
        <v>670</v>
      </c>
      <c r="D2329" s="154">
        <v>4766.3</v>
      </c>
      <c r="E2329" s="155">
        <v>44764</v>
      </c>
      <c r="F2329" s="154">
        <v>4766.3</v>
      </c>
      <c r="G2329" s="156">
        <f>Tabla18[[#This Row],[Importe]]-Tabla18[[#This Row],[Pagado]]</f>
        <v>0</v>
      </c>
      <c r="H2329" s="153" t="s">
        <v>10</v>
      </c>
    </row>
    <row r="2330" spans="1:8" x14ac:dyDescent="0.25">
      <c r="A2330" s="73">
        <v>44764</v>
      </c>
      <c r="B2330" s="74" t="s">
        <v>23678</v>
      </c>
      <c r="C2330" s="75" t="s">
        <v>31</v>
      </c>
      <c r="D2330" s="81">
        <v>1968</v>
      </c>
      <c r="E2330" s="151">
        <v>44764</v>
      </c>
      <c r="F2330" s="81">
        <v>1968</v>
      </c>
      <c r="G2330" s="156">
        <f>Tabla18[[#This Row],[Importe]]-Tabla18[[#This Row],[Pagado]]</f>
        <v>0</v>
      </c>
      <c r="H2330" s="75" t="s">
        <v>10</v>
      </c>
    </row>
    <row r="2331" spans="1:8" x14ac:dyDescent="0.25">
      <c r="A2331" s="148">
        <v>44764</v>
      </c>
      <c r="B2331" s="149" t="s">
        <v>23679</v>
      </c>
      <c r="C2331" s="153" t="s">
        <v>670</v>
      </c>
      <c r="D2331" s="154">
        <v>360</v>
      </c>
      <c r="E2331" s="155">
        <v>44764</v>
      </c>
      <c r="F2331" s="154">
        <v>360</v>
      </c>
      <c r="G2331" s="156">
        <f>Tabla18[[#This Row],[Importe]]-Tabla18[[#This Row],[Pagado]]</f>
        <v>0</v>
      </c>
      <c r="H2331" s="153" t="s">
        <v>10</v>
      </c>
    </row>
    <row r="2332" spans="1:8" x14ac:dyDescent="0.25">
      <c r="A2332" s="73">
        <v>44764</v>
      </c>
      <c r="B2332" s="74" t="s">
        <v>23680</v>
      </c>
      <c r="C2332" s="75" t="s">
        <v>470</v>
      </c>
      <c r="D2332" s="81">
        <v>32330.2</v>
      </c>
      <c r="E2332" s="151">
        <v>44765</v>
      </c>
      <c r="F2332" s="81">
        <v>32330.2</v>
      </c>
      <c r="G2332" s="156">
        <f>Tabla18[[#This Row],[Importe]]-Tabla18[[#This Row],[Pagado]]</f>
        <v>0</v>
      </c>
      <c r="H2332" s="75" t="s">
        <v>10</v>
      </c>
    </row>
    <row r="2333" spans="1:8" x14ac:dyDescent="0.25">
      <c r="A2333" s="148">
        <v>44764</v>
      </c>
      <c r="B2333" s="149" t="s">
        <v>23681</v>
      </c>
      <c r="C2333" s="153" t="s">
        <v>24</v>
      </c>
      <c r="D2333" s="154">
        <v>2593.6</v>
      </c>
      <c r="E2333" s="155">
        <v>44764</v>
      </c>
      <c r="F2333" s="154">
        <v>2593.6</v>
      </c>
      <c r="G2333" s="156">
        <f>Tabla18[[#This Row],[Importe]]-Tabla18[[#This Row],[Pagado]]</f>
        <v>0</v>
      </c>
      <c r="H2333" s="153" t="s">
        <v>10</v>
      </c>
    </row>
    <row r="2334" spans="1:8" x14ac:dyDescent="0.25">
      <c r="A2334" s="73">
        <v>44764</v>
      </c>
      <c r="B2334" s="74" t="s">
        <v>23682</v>
      </c>
      <c r="C2334" s="75" t="s">
        <v>15868</v>
      </c>
      <c r="D2334" s="81">
        <v>29946.400000000001</v>
      </c>
      <c r="E2334" s="151">
        <v>44765</v>
      </c>
      <c r="F2334" s="81">
        <v>29946.400000000001</v>
      </c>
      <c r="G2334" s="156">
        <f>Tabla18[[#This Row],[Importe]]-Tabla18[[#This Row],[Pagado]]</f>
        <v>0</v>
      </c>
      <c r="H2334" s="75" t="s">
        <v>10</v>
      </c>
    </row>
    <row r="2335" spans="1:8" x14ac:dyDescent="0.25">
      <c r="A2335" s="148">
        <v>44764</v>
      </c>
      <c r="B2335" s="149" t="s">
        <v>23683</v>
      </c>
      <c r="C2335" s="153" t="s">
        <v>1003</v>
      </c>
      <c r="D2335" s="154">
        <v>9477.2999999999993</v>
      </c>
      <c r="E2335" s="155">
        <v>44766</v>
      </c>
      <c r="F2335" s="154">
        <v>9477.2999999999993</v>
      </c>
      <c r="G2335" s="156">
        <f>Tabla18[[#This Row],[Importe]]-Tabla18[[#This Row],[Pagado]]</f>
        <v>0</v>
      </c>
      <c r="H2335" s="153" t="s">
        <v>10</v>
      </c>
    </row>
    <row r="2336" spans="1:8" x14ac:dyDescent="0.25">
      <c r="A2336" s="73">
        <v>44764</v>
      </c>
      <c r="B2336" s="74" t="s">
        <v>23684</v>
      </c>
      <c r="C2336" s="75" t="s">
        <v>296</v>
      </c>
      <c r="D2336" s="81">
        <v>8771.7000000000007</v>
      </c>
      <c r="E2336" s="151">
        <v>44764</v>
      </c>
      <c r="F2336" s="81">
        <v>8771.7000000000007</v>
      </c>
      <c r="G2336" s="156">
        <f>Tabla18[[#This Row],[Importe]]-Tabla18[[#This Row],[Pagado]]</f>
        <v>0</v>
      </c>
      <c r="H2336" s="75" t="s">
        <v>10</v>
      </c>
    </row>
    <row r="2337" spans="1:8" x14ac:dyDescent="0.25">
      <c r="A2337" s="148">
        <v>44764</v>
      </c>
      <c r="B2337" s="149" t="s">
        <v>23685</v>
      </c>
      <c r="C2337" s="153" t="s">
        <v>212</v>
      </c>
      <c r="D2337" s="154">
        <v>60275.9</v>
      </c>
      <c r="E2337" s="155">
        <v>44768</v>
      </c>
      <c r="F2337" s="154">
        <v>60275.9</v>
      </c>
      <c r="G2337" s="156">
        <f>Tabla18[[#This Row],[Importe]]-Tabla18[[#This Row],[Pagado]]</f>
        <v>0</v>
      </c>
      <c r="H2337" s="153" t="s">
        <v>10</v>
      </c>
    </row>
    <row r="2338" spans="1:8" x14ac:dyDescent="0.25">
      <c r="A2338" s="73">
        <v>44764</v>
      </c>
      <c r="B2338" s="74" t="s">
        <v>23686</v>
      </c>
      <c r="C2338" s="75" t="s">
        <v>173</v>
      </c>
      <c r="D2338" s="81">
        <v>35698.400000000001</v>
      </c>
      <c r="E2338" s="151">
        <v>44765</v>
      </c>
      <c r="F2338" s="81">
        <v>35698.400000000001</v>
      </c>
      <c r="G2338" s="156">
        <f>Tabla18[[#This Row],[Importe]]-Tabla18[[#This Row],[Pagado]]</f>
        <v>0</v>
      </c>
      <c r="H2338" s="75" t="s">
        <v>10</v>
      </c>
    </row>
    <row r="2339" spans="1:8" x14ac:dyDescent="0.25">
      <c r="A2339" s="148">
        <v>44764</v>
      </c>
      <c r="B2339" s="149" t="s">
        <v>23687</v>
      </c>
      <c r="C2339" s="153" t="s">
        <v>31</v>
      </c>
      <c r="D2339" s="154">
        <v>1410.4</v>
      </c>
      <c r="E2339" s="155">
        <v>44764</v>
      </c>
      <c r="F2339" s="154">
        <v>1410.4</v>
      </c>
      <c r="G2339" s="156">
        <f>Tabla18[[#This Row],[Importe]]-Tabla18[[#This Row],[Pagado]]</f>
        <v>0</v>
      </c>
      <c r="H2339" s="153" t="s">
        <v>10</v>
      </c>
    </row>
    <row r="2340" spans="1:8" x14ac:dyDescent="0.25">
      <c r="A2340" s="73">
        <v>44764</v>
      </c>
      <c r="B2340" s="74" t="s">
        <v>23688</v>
      </c>
      <c r="C2340" s="75" t="s">
        <v>154</v>
      </c>
      <c r="D2340" s="81">
        <v>67880</v>
      </c>
      <c r="E2340" s="151">
        <v>44768</v>
      </c>
      <c r="F2340" s="81">
        <v>67880</v>
      </c>
      <c r="G2340" s="156">
        <f>Tabla18[[#This Row],[Importe]]-Tabla18[[#This Row],[Pagado]]</f>
        <v>0</v>
      </c>
      <c r="H2340" s="75" t="s">
        <v>10</v>
      </c>
    </row>
    <row r="2341" spans="1:8" x14ac:dyDescent="0.25">
      <c r="A2341" s="148">
        <v>44764</v>
      </c>
      <c r="B2341" s="149" t="s">
        <v>23689</v>
      </c>
      <c r="C2341" s="153" t="s">
        <v>218</v>
      </c>
      <c r="D2341" s="154">
        <v>33456.5</v>
      </c>
      <c r="E2341" s="155">
        <v>44768</v>
      </c>
      <c r="F2341" s="154">
        <v>33456.5</v>
      </c>
      <c r="G2341" s="156">
        <f>Tabla18[[#This Row],[Importe]]-Tabla18[[#This Row],[Pagado]]</f>
        <v>0</v>
      </c>
      <c r="H2341" s="153" t="s">
        <v>10</v>
      </c>
    </row>
    <row r="2342" spans="1:8" x14ac:dyDescent="0.25">
      <c r="A2342" s="73">
        <v>44764</v>
      </c>
      <c r="B2342" s="74" t="s">
        <v>23690</v>
      </c>
      <c r="C2342" s="75" t="s">
        <v>11383</v>
      </c>
      <c r="D2342" s="81">
        <v>41990.400000000001</v>
      </c>
      <c r="E2342" s="151">
        <v>44764</v>
      </c>
      <c r="F2342" s="81">
        <v>41990.400000000001</v>
      </c>
      <c r="G2342" s="156">
        <f>Tabla18[[#This Row],[Importe]]-Tabla18[[#This Row],[Pagado]]</f>
        <v>0</v>
      </c>
      <c r="H2342" s="75" t="s">
        <v>10</v>
      </c>
    </row>
    <row r="2343" spans="1:8" x14ac:dyDescent="0.25">
      <c r="A2343" s="148">
        <v>44764</v>
      </c>
      <c r="B2343" s="149" t="s">
        <v>23691</v>
      </c>
      <c r="C2343" s="153" t="s">
        <v>206</v>
      </c>
      <c r="D2343" s="154">
        <v>37086.199999999997</v>
      </c>
      <c r="E2343" s="155">
        <v>44768</v>
      </c>
      <c r="F2343" s="154">
        <v>37086.199999999997</v>
      </c>
      <c r="G2343" s="156">
        <f>Tabla18[[#This Row],[Importe]]-Tabla18[[#This Row],[Pagado]]</f>
        <v>0</v>
      </c>
      <c r="H2343" s="153" t="s">
        <v>10</v>
      </c>
    </row>
    <row r="2344" spans="1:8" ht="31.5" x14ac:dyDescent="0.25">
      <c r="A2344" s="73">
        <v>44764</v>
      </c>
      <c r="B2344" s="74" t="s">
        <v>23692</v>
      </c>
      <c r="C2344" s="75" t="s">
        <v>392</v>
      </c>
      <c r="D2344" s="81">
        <v>20116.3</v>
      </c>
      <c r="E2344" s="147" t="s">
        <v>24617</v>
      </c>
      <c r="F2344" s="81">
        <f>17000+3116.3</f>
        <v>20116.3</v>
      </c>
      <c r="G2344" s="156">
        <f>Tabla18[[#This Row],[Importe]]-Tabla18[[#This Row],[Pagado]]</f>
        <v>0</v>
      </c>
      <c r="H2344" s="75" t="s">
        <v>10</v>
      </c>
    </row>
    <row r="2345" spans="1:8" x14ac:dyDescent="0.25">
      <c r="A2345" s="148">
        <v>44764</v>
      </c>
      <c r="B2345" s="149" t="s">
        <v>23693</v>
      </c>
      <c r="C2345" s="153" t="s">
        <v>365</v>
      </c>
      <c r="D2345" s="154">
        <v>1551</v>
      </c>
      <c r="E2345" s="155">
        <v>44764</v>
      </c>
      <c r="F2345" s="154">
        <v>1551</v>
      </c>
      <c r="G2345" s="156">
        <f>Tabla18[[#This Row],[Importe]]-Tabla18[[#This Row],[Pagado]]</f>
        <v>0</v>
      </c>
      <c r="H2345" s="153" t="s">
        <v>10</v>
      </c>
    </row>
    <row r="2346" spans="1:8" x14ac:dyDescent="0.25">
      <c r="A2346" s="73">
        <v>44764</v>
      </c>
      <c r="B2346" s="74" t="s">
        <v>23694</v>
      </c>
      <c r="C2346" s="75" t="s">
        <v>273</v>
      </c>
      <c r="D2346" s="81">
        <v>2847.8</v>
      </c>
      <c r="E2346" s="151">
        <v>44764</v>
      </c>
      <c r="F2346" s="81">
        <v>2847.8</v>
      </c>
      <c r="G2346" s="156">
        <f>Tabla18[[#This Row],[Importe]]-Tabla18[[#This Row],[Pagado]]</f>
        <v>0</v>
      </c>
      <c r="H2346" s="75" t="s">
        <v>10</v>
      </c>
    </row>
    <row r="2347" spans="1:8" ht="31.5" x14ac:dyDescent="0.25">
      <c r="A2347" s="148">
        <v>44764</v>
      </c>
      <c r="B2347" s="149" t="s">
        <v>23695</v>
      </c>
      <c r="C2347" s="153" t="s">
        <v>67</v>
      </c>
      <c r="D2347" s="154">
        <v>12254.1</v>
      </c>
      <c r="E2347" s="150" t="s">
        <v>23525</v>
      </c>
      <c r="F2347" s="154">
        <f>11504.1+750</f>
        <v>12254.1</v>
      </c>
      <c r="G2347" s="156">
        <f>Tabla18[[#This Row],[Importe]]-Tabla18[[#This Row],[Pagado]]</f>
        <v>0</v>
      </c>
      <c r="H2347" s="153" t="s">
        <v>10</v>
      </c>
    </row>
    <row r="2348" spans="1:8" x14ac:dyDescent="0.25">
      <c r="A2348" s="73">
        <v>44764</v>
      </c>
      <c r="B2348" s="74" t="s">
        <v>23696</v>
      </c>
      <c r="C2348" s="75" t="s">
        <v>58</v>
      </c>
      <c r="D2348" s="81">
        <v>2135.6999999999998</v>
      </c>
      <c r="E2348" s="151">
        <v>44764</v>
      </c>
      <c r="F2348" s="81">
        <v>2135.6999999999998</v>
      </c>
      <c r="G2348" s="156">
        <f>Tabla18[[#This Row],[Importe]]-Tabla18[[#This Row],[Pagado]]</f>
        <v>0</v>
      </c>
      <c r="H2348" s="75" t="s">
        <v>10</v>
      </c>
    </row>
    <row r="2349" spans="1:8" x14ac:dyDescent="0.25">
      <c r="A2349" s="148">
        <v>44764</v>
      </c>
      <c r="B2349" s="149" t="s">
        <v>23697</v>
      </c>
      <c r="C2349" s="153" t="s">
        <v>23698</v>
      </c>
      <c r="D2349" s="154">
        <v>0</v>
      </c>
      <c r="E2349" s="158" t="s">
        <v>189</v>
      </c>
      <c r="F2349" s="154">
        <v>0</v>
      </c>
      <c r="G2349" s="156">
        <f>Tabla18[[#This Row],[Importe]]-Tabla18[[#This Row],[Pagado]]</f>
        <v>0</v>
      </c>
      <c r="H2349" s="153" t="s">
        <v>189</v>
      </c>
    </row>
    <row r="2350" spans="1:8" x14ac:dyDescent="0.25">
      <c r="A2350" s="73">
        <v>44764</v>
      </c>
      <c r="B2350" s="74" t="s">
        <v>23699</v>
      </c>
      <c r="C2350" s="75" t="s">
        <v>11383</v>
      </c>
      <c r="D2350" s="81">
        <v>3489</v>
      </c>
      <c r="E2350" s="151">
        <v>44764</v>
      </c>
      <c r="F2350" s="81">
        <v>3489</v>
      </c>
      <c r="G2350" s="156">
        <f>Tabla18[[#This Row],[Importe]]-Tabla18[[#This Row],[Pagado]]</f>
        <v>0</v>
      </c>
      <c r="H2350" s="75" t="s">
        <v>10</v>
      </c>
    </row>
    <row r="2351" spans="1:8" x14ac:dyDescent="0.25">
      <c r="A2351" s="148">
        <v>44764</v>
      </c>
      <c r="B2351" s="149" t="s">
        <v>23700</v>
      </c>
      <c r="C2351" s="153" t="s">
        <v>419</v>
      </c>
      <c r="D2351" s="154">
        <v>8413.7999999999993</v>
      </c>
      <c r="E2351" s="155">
        <v>44764</v>
      </c>
      <c r="F2351" s="154">
        <v>8413.7999999999993</v>
      </c>
      <c r="G2351" s="156">
        <f>Tabla18[[#This Row],[Importe]]-Tabla18[[#This Row],[Pagado]]</f>
        <v>0</v>
      </c>
      <c r="H2351" s="153" t="s">
        <v>10</v>
      </c>
    </row>
    <row r="2352" spans="1:8" x14ac:dyDescent="0.25">
      <c r="A2352" s="73">
        <v>44764</v>
      </c>
      <c r="B2352" s="74" t="s">
        <v>23701</v>
      </c>
      <c r="C2352" s="75" t="s">
        <v>9827</v>
      </c>
      <c r="D2352" s="81">
        <v>4389.6000000000004</v>
      </c>
      <c r="E2352" s="151">
        <v>44764</v>
      </c>
      <c r="F2352" s="81">
        <v>4389.6000000000004</v>
      </c>
      <c r="G2352" s="156">
        <f>Tabla18[[#This Row],[Importe]]-Tabla18[[#This Row],[Pagado]]</f>
        <v>0</v>
      </c>
      <c r="H2352" s="75" t="s">
        <v>10</v>
      </c>
    </row>
    <row r="2353" spans="1:8" x14ac:dyDescent="0.25">
      <c r="A2353" s="148">
        <v>44764</v>
      </c>
      <c r="B2353" s="149" t="s">
        <v>23702</v>
      </c>
      <c r="C2353" s="153" t="s">
        <v>214</v>
      </c>
      <c r="D2353" s="154">
        <v>2009</v>
      </c>
      <c r="E2353" s="155">
        <v>44764</v>
      </c>
      <c r="F2353" s="154">
        <v>2009</v>
      </c>
      <c r="G2353" s="156">
        <f>Tabla18[[#This Row],[Importe]]-Tabla18[[#This Row],[Pagado]]</f>
        <v>0</v>
      </c>
      <c r="H2353" s="153" t="s">
        <v>10</v>
      </c>
    </row>
    <row r="2354" spans="1:8" x14ac:dyDescent="0.25">
      <c r="A2354" s="73">
        <v>44764</v>
      </c>
      <c r="B2354" s="74" t="s">
        <v>23703</v>
      </c>
      <c r="C2354" s="75" t="s">
        <v>51</v>
      </c>
      <c r="D2354" s="81">
        <v>3944</v>
      </c>
      <c r="E2354" s="151">
        <v>44764</v>
      </c>
      <c r="F2354" s="81">
        <v>3944</v>
      </c>
      <c r="G2354" s="156">
        <f>Tabla18[[#This Row],[Importe]]-Tabla18[[#This Row],[Pagado]]</f>
        <v>0</v>
      </c>
      <c r="H2354" s="75" t="s">
        <v>10</v>
      </c>
    </row>
    <row r="2355" spans="1:8" x14ac:dyDescent="0.25">
      <c r="A2355" s="148">
        <v>44764</v>
      </c>
      <c r="B2355" s="149" t="s">
        <v>23704</v>
      </c>
      <c r="C2355" s="153" t="s">
        <v>698</v>
      </c>
      <c r="D2355" s="154">
        <v>9901.6</v>
      </c>
      <c r="E2355" s="155">
        <v>44764</v>
      </c>
      <c r="F2355" s="154">
        <v>9901.6</v>
      </c>
      <c r="G2355" s="156">
        <f>Tabla18[[#This Row],[Importe]]-Tabla18[[#This Row],[Pagado]]</f>
        <v>0</v>
      </c>
      <c r="H2355" s="153" t="s">
        <v>10</v>
      </c>
    </row>
    <row r="2356" spans="1:8" x14ac:dyDescent="0.25">
      <c r="A2356" s="73">
        <v>44764</v>
      </c>
      <c r="B2356" s="74" t="s">
        <v>23705</v>
      </c>
      <c r="C2356" s="75" t="s">
        <v>10819</v>
      </c>
      <c r="D2356" s="81">
        <v>746.2</v>
      </c>
      <c r="E2356" s="151">
        <v>44765</v>
      </c>
      <c r="F2356" s="81">
        <v>746.2</v>
      </c>
      <c r="G2356" s="156">
        <f>Tabla18[[#This Row],[Importe]]-Tabla18[[#This Row],[Pagado]]</f>
        <v>0</v>
      </c>
      <c r="H2356" s="75" t="s">
        <v>10</v>
      </c>
    </row>
    <row r="2357" spans="1:8" x14ac:dyDescent="0.25">
      <c r="A2357" s="148">
        <v>44764</v>
      </c>
      <c r="B2357" s="149" t="s">
        <v>23706</v>
      </c>
      <c r="C2357" s="153" t="s">
        <v>282</v>
      </c>
      <c r="D2357" s="154">
        <v>8817.2000000000007</v>
      </c>
      <c r="E2357" s="155">
        <v>44765</v>
      </c>
      <c r="F2357" s="154">
        <v>8817.2000000000007</v>
      </c>
      <c r="G2357" s="156">
        <f>Tabla18[[#This Row],[Importe]]-Tabla18[[#This Row],[Pagado]]</f>
        <v>0</v>
      </c>
      <c r="H2357" s="153" t="s">
        <v>10</v>
      </c>
    </row>
    <row r="2358" spans="1:8" x14ac:dyDescent="0.25">
      <c r="A2358" s="73">
        <v>44764</v>
      </c>
      <c r="B2358" s="74" t="s">
        <v>23707</v>
      </c>
      <c r="C2358" s="75" t="s">
        <v>23708</v>
      </c>
      <c r="D2358" s="81">
        <v>0</v>
      </c>
      <c r="E2358" s="157" t="s">
        <v>189</v>
      </c>
      <c r="F2358" s="81">
        <v>0</v>
      </c>
      <c r="G2358" s="156">
        <f>Tabla18[[#This Row],[Importe]]-Tabla18[[#This Row],[Pagado]]</f>
        <v>0</v>
      </c>
      <c r="H2358" s="75" t="s">
        <v>189</v>
      </c>
    </row>
    <row r="2359" spans="1:8" x14ac:dyDescent="0.25">
      <c r="A2359" s="148">
        <v>44764</v>
      </c>
      <c r="B2359" s="149" t="s">
        <v>23709</v>
      </c>
      <c r="C2359" s="153" t="s">
        <v>280</v>
      </c>
      <c r="D2359" s="154">
        <v>738</v>
      </c>
      <c r="E2359" s="155">
        <v>44765</v>
      </c>
      <c r="F2359" s="154">
        <v>738</v>
      </c>
      <c r="G2359" s="156">
        <f>Tabla18[[#This Row],[Importe]]-Tabla18[[#This Row],[Pagado]]</f>
        <v>0</v>
      </c>
      <c r="H2359" s="153" t="s">
        <v>10</v>
      </c>
    </row>
    <row r="2360" spans="1:8" x14ac:dyDescent="0.25">
      <c r="A2360" s="73">
        <v>44764</v>
      </c>
      <c r="B2360" s="74" t="s">
        <v>23710</v>
      </c>
      <c r="C2360" s="75" t="s">
        <v>647</v>
      </c>
      <c r="D2360" s="81">
        <v>1516.8</v>
      </c>
      <c r="E2360" s="151">
        <v>44764</v>
      </c>
      <c r="F2360" s="81">
        <v>1516.8</v>
      </c>
      <c r="G2360" s="156">
        <f>Tabla18[[#This Row],[Importe]]-Tabla18[[#This Row],[Pagado]]</f>
        <v>0</v>
      </c>
      <c r="H2360" s="75" t="s">
        <v>10</v>
      </c>
    </row>
    <row r="2361" spans="1:8" x14ac:dyDescent="0.25">
      <c r="A2361" s="148">
        <v>44764</v>
      </c>
      <c r="B2361" s="149" t="s">
        <v>23711</v>
      </c>
      <c r="C2361" s="153" t="s">
        <v>5345</v>
      </c>
      <c r="D2361" s="154">
        <v>1968</v>
      </c>
      <c r="E2361" s="155">
        <v>44765</v>
      </c>
      <c r="F2361" s="154">
        <v>1968</v>
      </c>
      <c r="G2361" s="156">
        <f>Tabla18[[#This Row],[Importe]]-Tabla18[[#This Row],[Pagado]]</f>
        <v>0</v>
      </c>
      <c r="H2361" s="153" t="s">
        <v>10</v>
      </c>
    </row>
    <row r="2362" spans="1:8" x14ac:dyDescent="0.25">
      <c r="A2362" s="73">
        <v>44764</v>
      </c>
      <c r="B2362" s="74" t="s">
        <v>23712</v>
      </c>
      <c r="C2362" s="75" t="s">
        <v>284</v>
      </c>
      <c r="D2362" s="81">
        <v>13390.4</v>
      </c>
      <c r="E2362" s="151">
        <v>44765</v>
      </c>
      <c r="F2362" s="81">
        <v>13390.4</v>
      </c>
      <c r="G2362" s="156">
        <f>Tabla18[[#This Row],[Importe]]-Tabla18[[#This Row],[Pagado]]</f>
        <v>0</v>
      </c>
      <c r="H2362" s="75" t="s">
        <v>10</v>
      </c>
    </row>
    <row r="2363" spans="1:8" x14ac:dyDescent="0.25">
      <c r="A2363" s="148">
        <v>44764</v>
      </c>
      <c r="B2363" s="149" t="s">
        <v>23713</v>
      </c>
      <c r="C2363" s="153" t="s">
        <v>179</v>
      </c>
      <c r="D2363" s="154">
        <v>2788</v>
      </c>
      <c r="E2363" s="155">
        <v>44765</v>
      </c>
      <c r="F2363" s="154">
        <v>2788</v>
      </c>
      <c r="G2363" s="156">
        <f>Tabla18[[#This Row],[Importe]]-Tabla18[[#This Row],[Pagado]]</f>
        <v>0</v>
      </c>
      <c r="H2363" s="153" t="s">
        <v>10</v>
      </c>
    </row>
    <row r="2364" spans="1:8" x14ac:dyDescent="0.25">
      <c r="A2364" s="73">
        <v>44764</v>
      </c>
      <c r="B2364" s="74" t="s">
        <v>23714</v>
      </c>
      <c r="C2364" s="75" t="s">
        <v>994</v>
      </c>
      <c r="D2364" s="81">
        <v>2102.9</v>
      </c>
      <c r="E2364" s="151">
        <v>44764</v>
      </c>
      <c r="F2364" s="81">
        <v>2102.9</v>
      </c>
      <c r="G2364" s="156">
        <f>Tabla18[[#This Row],[Importe]]-Tabla18[[#This Row],[Pagado]]</f>
        <v>0</v>
      </c>
      <c r="H2364" s="75" t="s">
        <v>10</v>
      </c>
    </row>
    <row r="2365" spans="1:8" x14ac:dyDescent="0.25">
      <c r="A2365" s="148">
        <v>44764</v>
      </c>
      <c r="B2365" s="149" t="s">
        <v>23715</v>
      </c>
      <c r="C2365" s="153" t="s">
        <v>654</v>
      </c>
      <c r="D2365" s="154">
        <v>13734.5</v>
      </c>
      <c r="E2365" s="155">
        <v>44766</v>
      </c>
      <c r="F2365" s="154">
        <v>13734.5</v>
      </c>
      <c r="G2365" s="156">
        <f>Tabla18[[#This Row],[Importe]]-Tabla18[[#This Row],[Pagado]]</f>
        <v>0</v>
      </c>
      <c r="H2365" s="153" t="s">
        <v>10</v>
      </c>
    </row>
    <row r="2366" spans="1:8" x14ac:dyDescent="0.25">
      <c r="A2366" s="73">
        <v>44764</v>
      </c>
      <c r="B2366" s="74" t="s">
        <v>23716</v>
      </c>
      <c r="C2366" s="75" t="s">
        <v>280</v>
      </c>
      <c r="D2366" s="81">
        <v>688.8</v>
      </c>
      <c r="E2366" s="151">
        <v>44765</v>
      </c>
      <c r="F2366" s="81">
        <v>688.8</v>
      </c>
      <c r="G2366" s="156">
        <f>Tabla18[[#This Row],[Importe]]-Tabla18[[#This Row],[Pagado]]</f>
        <v>0</v>
      </c>
      <c r="H2366" s="75" t="s">
        <v>10</v>
      </c>
    </row>
    <row r="2367" spans="1:8" x14ac:dyDescent="0.25">
      <c r="A2367" s="148">
        <v>44764</v>
      </c>
      <c r="B2367" s="149" t="s">
        <v>23717</v>
      </c>
      <c r="C2367" s="153" t="s">
        <v>414</v>
      </c>
      <c r="D2367" s="154">
        <v>2080</v>
      </c>
      <c r="E2367" s="155">
        <v>44786</v>
      </c>
      <c r="F2367" s="154">
        <v>2080</v>
      </c>
      <c r="G2367" s="156">
        <f>Tabla18[[#This Row],[Importe]]-Tabla18[[#This Row],[Pagado]]</f>
        <v>0</v>
      </c>
      <c r="H2367" s="153" t="s">
        <v>10</v>
      </c>
    </row>
    <row r="2368" spans="1:8" x14ac:dyDescent="0.25">
      <c r="A2368" s="73">
        <v>44764</v>
      </c>
      <c r="B2368" s="74" t="s">
        <v>23718</v>
      </c>
      <c r="C2368" s="75" t="s">
        <v>9780</v>
      </c>
      <c r="D2368" s="81">
        <v>3885</v>
      </c>
      <c r="E2368" s="151">
        <v>44824</v>
      </c>
      <c r="F2368" s="81">
        <v>3885</v>
      </c>
      <c r="G2368" s="156">
        <f>Tabla18[[#This Row],[Importe]]-Tabla18[[#This Row],[Pagado]]</f>
        <v>0</v>
      </c>
      <c r="H2368" s="75" t="s">
        <v>10</v>
      </c>
    </row>
    <row r="2369" spans="1:8" x14ac:dyDescent="0.25">
      <c r="A2369" s="148">
        <v>44764</v>
      </c>
      <c r="B2369" s="149" t="s">
        <v>23719</v>
      </c>
      <c r="C2369" s="153" t="s">
        <v>95</v>
      </c>
      <c r="D2369" s="154">
        <v>16200</v>
      </c>
      <c r="E2369" s="155">
        <v>44764</v>
      </c>
      <c r="F2369" s="154">
        <v>16200</v>
      </c>
      <c r="G2369" s="156">
        <f>Tabla18[[#This Row],[Importe]]-Tabla18[[#This Row],[Pagado]]</f>
        <v>0</v>
      </c>
      <c r="H2369" s="153" t="s">
        <v>10</v>
      </c>
    </row>
    <row r="2370" spans="1:8" x14ac:dyDescent="0.25">
      <c r="A2370" s="73">
        <v>44764</v>
      </c>
      <c r="B2370" s="74" t="s">
        <v>23720</v>
      </c>
      <c r="C2370" s="75" t="s">
        <v>1008</v>
      </c>
      <c r="D2370" s="81">
        <v>3268.2</v>
      </c>
      <c r="E2370" s="151">
        <v>44764</v>
      </c>
      <c r="F2370" s="81">
        <v>3268.2</v>
      </c>
      <c r="G2370" s="156">
        <f>Tabla18[[#This Row],[Importe]]-Tabla18[[#This Row],[Pagado]]</f>
        <v>0</v>
      </c>
      <c r="H2370" s="75" t="s">
        <v>10</v>
      </c>
    </row>
    <row r="2371" spans="1:8" x14ac:dyDescent="0.25">
      <c r="A2371" s="148">
        <v>44764</v>
      </c>
      <c r="B2371" s="149" t="s">
        <v>23721</v>
      </c>
      <c r="C2371" s="153" t="s">
        <v>10678</v>
      </c>
      <c r="D2371" s="154">
        <v>2307.4</v>
      </c>
      <c r="E2371" s="155">
        <v>44764</v>
      </c>
      <c r="F2371" s="154">
        <v>2307.4</v>
      </c>
      <c r="G2371" s="156">
        <f>Tabla18[[#This Row],[Importe]]-Tabla18[[#This Row],[Pagado]]</f>
        <v>0</v>
      </c>
      <c r="H2371" s="153" t="s">
        <v>10</v>
      </c>
    </row>
    <row r="2372" spans="1:8" x14ac:dyDescent="0.25">
      <c r="A2372" s="73">
        <v>44764</v>
      </c>
      <c r="B2372" s="74" t="s">
        <v>23722</v>
      </c>
      <c r="C2372" s="75" t="s">
        <v>69</v>
      </c>
      <c r="D2372" s="81">
        <v>2632.2</v>
      </c>
      <c r="E2372" s="151">
        <v>44764</v>
      </c>
      <c r="F2372" s="81">
        <v>2632.2</v>
      </c>
      <c r="G2372" s="156">
        <f>Tabla18[[#This Row],[Importe]]-Tabla18[[#This Row],[Pagado]]</f>
        <v>0</v>
      </c>
      <c r="H2372" s="75" t="s">
        <v>10</v>
      </c>
    </row>
    <row r="2373" spans="1:8" x14ac:dyDescent="0.25">
      <c r="A2373" s="148">
        <v>44764</v>
      </c>
      <c r="B2373" s="149" t="s">
        <v>23723</v>
      </c>
      <c r="C2373" s="153" t="s">
        <v>31</v>
      </c>
      <c r="D2373" s="154">
        <v>1958.8</v>
      </c>
      <c r="E2373" s="155">
        <v>44764</v>
      </c>
      <c r="F2373" s="154">
        <v>1958.8</v>
      </c>
      <c r="G2373" s="156">
        <f>Tabla18[[#This Row],[Importe]]-Tabla18[[#This Row],[Pagado]]</f>
        <v>0</v>
      </c>
      <c r="H2373" s="153" t="s">
        <v>10</v>
      </c>
    </row>
    <row r="2374" spans="1:8" x14ac:dyDescent="0.25">
      <c r="A2374" s="73">
        <v>44764</v>
      </c>
      <c r="B2374" s="74" t="s">
        <v>23724</v>
      </c>
      <c r="C2374" s="75" t="s">
        <v>27</v>
      </c>
      <c r="D2374" s="81">
        <v>1601.6</v>
      </c>
      <c r="E2374" s="151">
        <v>44764</v>
      </c>
      <c r="F2374" s="81">
        <v>1601.6</v>
      </c>
      <c r="G2374" s="156">
        <f>Tabla18[[#This Row],[Importe]]-Tabla18[[#This Row],[Pagado]]</f>
        <v>0</v>
      </c>
      <c r="H2374" s="75" t="s">
        <v>10</v>
      </c>
    </row>
    <row r="2375" spans="1:8" x14ac:dyDescent="0.25">
      <c r="A2375" s="148">
        <v>44764</v>
      </c>
      <c r="B2375" s="149" t="s">
        <v>23725</v>
      </c>
      <c r="C2375" s="153" t="s">
        <v>31</v>
      </c>
      <c r="D2375" s="154">
        <v>8211.5</v>
      </c>
      <c r="E2375" s="155">
        <v>44764</v>
      </c>
      <c r="F2375" s="154">
        <v>8211.5</v>
      </c>
      <c r="G2375" s="156">
        <f>Tabla18[[#This Row],[Importe]]-Tabla18[[#This Row],[Pagado]]</f>
        <v>0</v>
      </c>
      <c r="H2375" s="153" t="s">
        <v>10</v>
      </c>
    </row>
    <row r="2376" spans="1:8" x14ac:dyDescent="0.25">
      <c r="A2376" s="73">
        <v>44764</v>
      </c>
      <c r="B2376" s="74" t="s">
        <v>23726</v>
      </c>
      <c r="C2376" s="75" t="s">
        <v>857</v>
      </c>
      <c r="D2376" s="81">
        <v>1493.6</v>
      </c>
      <c r="E2376" s="151">
        <v>44764</v>
      </c>
      <c r="F2376" s="81">
        <v>1493.6</v>
      </c>
      <c r="G2376" s="156">
        <f>Tabla18[[#This Row],[Importe]]-Tabla18[[#This Row],[Pagado]]</f>
        <v>0</v>
      </c>
      <c r="H2376" s="75" t="s">
        <v>10</v>
      </c>
    </row>
    <row r="2377" spans="1:8" x14ac:dyDescent="0.25">
      <c r="A2377" s="148">
        <v>44764</v>
      </c>
      <c r="B2377" s="149" t="s">
        <v>23727</v>
      </c>
      <c r="C2377" s="153" t="s">
        <v>31</v>
      </c>
      <c r="D2377" s="154">
        <v>1576</v>
      </c>
      <c r="E2377" s="155">
        <v>44764</v>
      </c>
      <c r="F2377" s="154">
        <v>1576</v>
      </c>
      <c r="G2377" s="156">
        <f>Tabla18[[#This Row],[Importe]]-Tabla18[[#This Row],[Pagado]]</f>
        <v>0</v>
      </c>
      <c r="H2377" s="153" t="s">
        <v>10</v>
      </c>
    </row>
    <row r="2378" spans="1:8" x14ac:dyDescent="0.25">
      <c r="A2378" s="73">
        <v>44764</v>
      </c>
      <c r="B2378" s="74" t="s">
        <v>23728</v>
      </c>
      <c r="C2378" s="75" t="s">
        <v>31</v>
      </c>
      <c r="D2378" s="81">
        <v>618</v>
      </c>
      <c r="E2378" s="151">
        <v>44764</v>
      </c>
      <c r="F2378" s="81">
        <v>618</v>
      </c>
      <c r="G2378" s="156">
        <f>Tabla18[[#This Row],[Importe]]-Tabla18[[#This Row],[Pagado]]</f>
        <v>0</v>
      </c>
      <c r="H2378" s="75" t="s">
        <v>10</v>
      </c>
    </row>
    <row r="2379" spans="1:8" x14ac:dyDescent="0.25">
      <c r="A2379" s="148">
        <v>44764</v>
      </c>
      <c r="B2379" s="149" t="s">
        <v>23729</v>
      </c>
      <c r="C2379" s="153" t="s">
        <v>409</v>
      </c>
      <c r="D2379" s="154">
        <v>11930.7</v>
      </c>
      <c r="E2379" s="155">
        <v>44770</v>
      </c>
      <c r="F2379" s="154">
        <v>11930.7</v>
      </c>
      <c r="G2379" s="156">
        <f>Tabla18[[#This Row],[Importe]]-Tabla18[[#This Row],[Pagado]]</f>
        <v>0</v>
      </c>
      <c r="H2379" s="153" t="s">
        <v>10</v>
      </c>
    </row>
    <row r="2380" spans="1:8" x14ac:dyDescent="0.25">
      <c r="A2380" s="73">
        <v>44764</v>
      </c>
      <c r="B2380" s="74" t="s">
        <v>23730</v>
      </c>
      <c r="C2380" s="75" t="s">
        <v>470</v>
      </c>
      <c r="D2380" s="81">
        <v>5378</v>
      </c>
      <c r="E2380" s="151">
        <v>44765</v>
      </c>
      <c r="F2380" s="81">
        <v>5378</v>
      </c>
      <c r="G2380" s="156">
        <f>Tabla18[[#This Row],[Importe]]-Tabla18[[#This Row],[Pagado]]</f>
        <v>0</v>
      </c>
      <c r="H2380" s="75" t="s">
        <v>10</v>
      </c>
    </row>
    <row r="2381" spans="1:8" x14ac:dyDescent="0.25">
      <c r="A2381" s="148">
        <v>44765</v>
      </c>
      <c r="B2381" s="149" t="s">
        <v>23731</v>
      </c>
      <c r="C2381" s="153" t="s">
        <v>887</v>
      </c>
      <c r="D2381" s="154">
        <v>30154</v>
      </c>
      <c r="E2381" s="155">
        <v>44765</v>
      </c>
      <c r="F2381" s="154">
        <v>30154</v>
      </c>
      <c r="G2381" s="156">
        <f>Tabla18[[#This Row],[Importe]]-Tabla18[[#This Row],[Pagado]]</f>
        <v>0</v>
      </c>
      <c r="H2381" s="153" t="s">
        <v>10</v>
      </c>
    </row>
    <row r="2382" spans="1:8" x14ac:dyDescent="0.25">
      <c r="A2382" s="73">
        <v>44765</v>
      </c>
      <c r="B2382" s="74" t="s">
        <v>23732</v>
      </c>
      <c r="C2382" s="75" t="s">
        <v>296</v>
      </c>
      <c r="D2382" s="81">
        <v>5151.6000000000004</v>
      </c>
      <c r="E2382" s="151">
        <v>44765</v>
      </c>
      <c r="F2382" s="81">
        <v>5151.6000000000004</v>
      </c>
      <c r="G2382" s="156">
        <f>Tabla18[[#This Row],[Importe]]-Tabla18[[#This Row],[Pagado]]</f>
        <v>0</v>
      </c>
      <c r="H2382" s="75" t="s">
        <v>10</v>
      </c>
    </row>
    <row r="2383" spans="1:8" ht="31.5" x14ac:dyDescent="0.25">
      <c r="A2383" s="148">
        <v>44765</v>
      </c>
      <c r="B2383" s="149" t="s">
        <v>23733</v>
      </c>
      <c r="C2383" s="153" t="s">
        <v>475</v>
      </c>
      <c r="D2383" s="154">
        <v>83068.3</v>
      </c>
      <c r="E2383" s="150" t="s">
        <v>23734</v>
      </c>
      <c r="F2383" s="154">
        <f>70000+13068.3</f>
        <v>83068.3</v>
      </c>
      <c r="G2383" s="156">
        <f>Tabla18[[#This Row],[Importe]]-Tabla18[[#This Row],[Pagado]]</f>
        <v>0</v>
      </c>
      <c r="H2383" s="153" t="s">
        <v>10</v>
      </c>
    </row>
    <row r="2384" spans="1:8" x14ac:dyDescent="0.25">
      <c r="A2384" s="73">
        <v>44765</v>
      </c>
      <c r="B2384" s="74" t="s">
        <v>23735</v>
      </c>
      <c r="C2384" s="75" t="s">
        <v>501</v>
      </c>
      <c r="D2384" s="81">
        <v>5286.4</v>
      </c>
      <c r="E2384" s="151">
        <v>44765</v>
      </c>
      <c r="F2384" s="81">
        <v>5286.4</v>
      </c>
      <c r="G2384" s="156">
        <f>Tabla18[[#This Row],[Importe]]-Tabla18[[#This Row],[Pagado]]</f>
        <v>0</v>
      </c>
      <c r="H2384" s="75" t="s">
        <v>10</v>
      </c>
    </row>
    <row r="2385" spans="1:8" x14ac:dyDescent="0.25">
      <c r="A2385" s="148">
        <v>44765</v>
      </c>
      <c r="B2385" s="149" t="s">
        <v>23736</v>
      </c>
      <c r="C2385" s="153" t="s">
        <v>64</v>
      </c>
      <c r="D2385" s="154">
        <v>10368.6</v>
      </c>
      <c r="E2385" s="155">
        <v>44767</v>
      </c>
      <c r="F2385" s="154">
        <v>10368.6</v>
      </c>
      <c r="G2385" s="156">
        <f>Tabla18[[#This Row],[Importe]]-Tabla18[[#This Row],[Pagado]]</f>
        <v>0</v>
      </c>
      <c r="H2385" s="153" t="s">
        <v>10</v>
      </c>
    </row>
    <row r="2386" spans="1:8" x14ac:dyDescent="0.25">
      <c r="A2386" s="73">
        <v>44765</v>
      </c>
      <c r="B2386" s="74" t="s">
        <v>23737</v>
      </c>
      <c r="C2386" s="75" t="s">
        <v>60</v>
      </c>
      <c r="D2386" s="81">
        <v>4752</v>
      </c>
      <c r="E2386" s="151">
        <v>44770</v>
      </c>
      <c r="F2386" s="81">
        <v>4752</v>
      </c>
      <c r="G2386" s="156">
        <f>Tabla18[[#This Row],[Importe]]-Tabla18[[#This Row],[Pagado]]</f>
        <v>0</v>
      </c>
      <c r="H2386" s="75" t="s">
        <v>10</v>
      </c>
    </row>
    <row r="2387" spans="1:8" ht="47.25" x14ac:dyDescent="0.25">
      <c r="A2387" s="148">
        <v>44765</v>
      </c>
      <c r="B2387" s="149" t="s">
        <v>23738</v>
      </c>
      <c r="C2387" s="153" t="s">
        <v>93</v>
      </c>
      <c r="D2387" s="154">
        <v>19417.599999999999</v>
      </c>
      <c r="E2387" s="150" t="s">
        <v>23739</v>
      </c>
      <c r="F2387" s="154">
        <f>5000+9500+4917.6</f>
        <v>19417.599999999999</v>
      </c>
      <c r="G2387" s="156">
        <f>Tabla18[[#This Row],[Importe]]-Tabla18[[#This Row],[Pagado]]</f>
        <v>0</v>
      </c>
      <c r="H2387" s="153" t="s">
        <v>10</v>
      </c>
    </row>
    <row r="2388" spans="1:8" ht="47.25" x14ac:dyDescent="0.25">
      <c r="A2388" s="73">
        <v>44765</v>
      </c>
      <c r="B2388" s="74" t="s">
        <v>23740</v>
      </c>
      <c r="C2388" s="75" t="s">
        <v>99</v>
      </c>
      <c r="D2388" s="81">
        <v>10617.6</v>
      </c>
      <c r="E2388" s="147" t="s">
        <v>23741</v>
      </c>
      <c r="F2388" s="81">
        <f>4000+3900+2717.6</f>
        <v>10617.6</v>
      </c>
      <c r="G2388" s="156">
        <f>Tabla18[[#This Row],[Importe]]-Tabla18[[#This Row],[Pagado]]</f>
        <v>0</v>
      </c>
      <c r="H2388" s="75" t="s">
        <v>10</v>
      </c>
    </row>
    <row r="2389" spans="1:8" x14ac:dyDescent="0.25">
      <c r="A2389" s="148">
        <v>44765</v>
      </c>
      <c r="B2389" s="149" t="s">
        <v>23742</v>
      </c>
      <c r="C2389" s="153" t="s">
        <v>5043</v>
      </c>
      <c r="D2389" s="154">
        <v>5174.3999999999996</v>
      </c>
      <c r="E2389" s="155">
        <v>44768</v>
      </c>
      <c r="F2389" s="154">
        <v>5174.3999999999996</v>
      </c>
      <c r="G2389" s="156">
        <f>Tabla18[[#This Row],[Importe]]-Tabla18[[#This Row],[Pagado]]</f>
        <v>0</v>
      </c>
      <c r="H2389" s="153" t="s">
        <v>10</v>
      </c>
    </row>
    <row r="2390" spans="1:8" x14ac:dyDescent="0.25">
      <c r="A2390" s="73">
        <v>44765</v>
      </c>
      <c r="B2390" s="74" t="s">
        <v>23743</v>
      </c>
      <c r="C2390" s="75" t="s">
        <v>89</v>
      </c>
      <c r="D2390" s="81">
        <v>6997.2</v>
      </c>
      <c r="E2390" s="151">
        <v>44767</v>
      </c>
      <c r="F2390" s="81">
        <v>6997.2</v>
      </c>
      <c r="G2390" s="156">
        <f>Tabla18[[#This Row],[Importe]]-Tabla18[[#This Row],[Pagado]]</f>
        <v>0</v>
      </c>
      <c r="H2390" s="75" t="s">
        <v>10</v>
      </c>
    </row>
    <row r="2391" spans="1:8" x14ac:dyDescent="0.25">
      <c r="A2391" s="148">
        <v>44765</v>
      </c>
      <c r="B2391" s="149" t="s">
        <v>23744</v>
      </c>
      <c r="C2391" s="153" t="s">
        <v>89</v>
      </c>
      <c r="D2391" s="154">
        <v>15308.8</v>
      </c>
      <c r="E2391" s="155">
        <v>44767</v>
      </c>
      <c r="F2391" s="154">
        <v>15308.8</v>
      </c>
      <c r="G2391" s="156">
        <f>Tabla18[[#This Row],[Importe]]-Tabla18[[#This Row],[Pagado]]</f>
        <v>0</v>
      </c>
      <c r="H2391" s="153" t="s">
        <v>10</v>
      </c>
    </row>
    <row r="2392" spans="1:8" x14ac:dyDescent="0.25">
      <c r="A2392" s="73">
        <v>44765</v>
      </c>
      <c r="B2392" s="74" t="s">
        <v>23745</v>
      </c>
      <c r="C2392" s="75" t="s">
        <v>97</v>
      </c>
      <c r="D2392" s="81">
        <v>10955.2</v>
      </c>
      <c r="E2392" s="151">
        <v>44767</v>
      </c>
      <c r="F2392" s="81">
        <v>10955.2</v>
      </c>
      <c r="G2392" s="156">
        <f>Tabla18[[#This Row],[Importe]]-Tabla18[[#This Row],[Pagado]]</f>
        <v>0</v>
      </c>
      <c r="H2392" s="75" t="s">
        <v>10</v>
      </c>
    </row>
    <row r="2393" spans="1:8" x14ac:dyDescent="0.25">
      <c r="A2393" s="148">
        <v>44765</v>
      </c>
      <c r="B2393" s="149" t="s">
        <v>23746</v>
      </c>
      <c r="C2393" s="153" t="s">
        <v>473</v>
      </c>
      <c r="D2393" s="154">
        <v>2782</v>
      </c>
      <c r="E2393" s="155">
        <v>44765</v>
      </c>
      <c r="F2393" s="154">
        <v>2782</v>
      </c>
      <c r="G2393" s="156">
        <f>Tabla18[[#This Row],[Importe]]-Tabla18[[#This Row],[Pagado]]</f>
        <v>0</v>
      </c>
      <c r="H2393" s="153" t="s">
        <v>10</v>
      </c>
    </row>
    <row r="2394" spans="1:8" x14ac:dyDescent="0.25">
      <c r="A2394" s="73">
        <v>44765</v>
      </c>
      <c r="B2394" s="74" t="s">
        <v>23747</v>
      </c>
      <c r="C2394" s="75" t="s">
        <v>326</v>
      </c>
      <c r="D2394" s="81">
        <v>13709.6</v>
      </c>
      <c r="E2394" s="151">
        <v>44767</v>
      </c>
      <c r="F2394" s="81">
        <v>13709.6</v>
      </c>
      <c r="G2394" s="156">
        <f>Tabla18[[#This Row],[Importe]]-Tabla18[[#This Row],[Pagado]]</f>
        <v>0</v>
      </c>
      <c r="H2394" s="75" t="s">
        <v>10</v>
      </c>
    </row>
    <row r="2395" spans="1:8" x14ac:dyDescent="0.25">
      <c r="A2395" s="148">
        <v>44765</v>
      </c>
      <c r="B2395" s="149" t="s">
        <v>23748</v>
      </c>
      <c r="C2395" s="153" t="s">
        <v>918</v>
      </c>
      <c r="D2395" s="154">
        <v>423</v>
      </c>
      <c r="E2395" s="155">
        <v>44765</v>
      </c>
      <c r="F2395" s="154">
        <v>423</v>
      </c>
      <c r="G2395" s="156">
        <f>Tabla18[[#This Row],[Importe]]-Tabla18[[#This Row],[Pagado]]</f>
        <v>0</v>
      </c>
      <c r="H2395" s="153" t="s">
        <v>10</v>
      </c>
    </row>
    <row r="2396" spans="1:8" x14ac:dyDescent="0.25">
      <c r="A2396" s="73">
        <v>44765</v>
      </c>
      <c r="B2396" s="74" t="s">
        <v>23749</v>
      </c>
      <c r="C2396" s="75" t="s">
        <v>75</v>
      </c>
      <c r="D2396" s="81">
        <v>30626.400000000001</v>
      </c>
      <c r="E2396" s="151">
        <v>44765</v>
      </c>
      <c r="F2396" s="81">
        <v>30626.400000000001</v>
      </c>
      <c r="G2396" s="156">
        <f>Tabla18[[#This Row],[Importe]]-Tabla18[[#This Row],[Pagado]]</f>
        <v>0</v>
      </c>
      <c r="H2396" s="75" t="s">
        <v>10</v>
      </c>
    </row>
    <row r="2397" spans="1:8" ht="31.5" x14ac:dyDescent="0.25">
      <c r="A2397" s="148">
        <v>44765</v>
      </c>
      <c r="B2397" s="149" t="s">
        <v>23750</v>
      </c>
      <c r="C2397" s="153" t="s">
        <v>22</v>
      </c>
      <c r="D2397" s="154">
        <v>54098.8</v>
      </c>
      <c r="E2397" s="150" t="s">
        <v>23734</v>
      </c>
      <c r="F2397" s="154">
        <f>48000+6098.8</f>
        <v>54098.8</v>
      </c>
      <c r="G2397" s="156">
        <f>Tabla18[[#This Row],[Importe]]-Tabla18[[#This Row],[Pagado]]</f>
        <v>0</v>
      </c>
      <c r="H2397" s="153" t="s">
        <v>10</v>
      </c>
    </row>
    <row r="2398" spans="1:8" x14ac:dyDescent="0.25">
      <c r="A2398" s="73">
        <v>44765</v>
      </c>
      <c r="B2398" s="74" t="s">
        <v>23751</v>
      </c>
      <c r="C2398" s="75" t="s">
        <v>114</v>
      </c>
      <c r="D2398" s="81">
        <v>16998.400000000001</v>
      </c>
      <c r="E2398" s="151">
        <v>44768</v>
      </c>
      <c r="F2398" s="81">
        <v>16998.400000000001</v>
      </c>
      <c r="G2398" s="156">
        <f>Tabla18[[#This Row],[Importe]]-Tabla18[[#This Row],[Pagado]]</f>
        <v>0</v>
      </c>
      <c r="H2398" s="75" t="s">
        <v>10</v>
      </c>
    </row>
    <row r="2399" spans="1:8" x14ac:dyDescent="0.25">
      <c r="A2399" s="148">
        <v>44765</v>
      </c>
      <c r="B2399" s="149" t="s">
        <v>23752</v>
      </c>
      <c r="C2399" s="153" t="s">
        <v>450</v>
      </c>
      <c r="D2399" s="154">
        <v>9937.5</v>
      </c>
      <c r="E2399" s="155">
        <v>44765</v>
      </c>
      <c r="F2399" s="154">
        <v>9937.5</v>
      </c>
      <c r="G2399" s="156">
        <f>Tabla18[[#This Row],[Importe]]-Tabla18[[#This Row],[Pagado]]</f>
        <v>0</v>
      </c>
      <c r="H2399" s="153" t="s">
        <v>10</v>
      </c>
    </row>
    <row r="2400" spans="1:8" x14ac:dyDescent="0.25">
      <c r="A2400" s="73">
        <v>44765</v>
      </c>
      <c r="B2400" s="74" t="s">
        <v>23753</v>
      </c>
      <c r="C2400" s="75" t="s">
        <v>9</v>
      </c>
      <c r="D2400" s="81">
        <v>8928.6</v>
      </c>
      <c r="E2400" s="151">
        <v>44765</v>
      </c>
      <c r="F2400" s="81">
        <v>8928.6</v>
      </c>
      <c r="G2400" s="156">
        <f>Tabla18[[#This Row],[Importe]]-Tabla18[[#This Row],[Pagado]]</f>
        <v>0</v>
      </c>
      <c r="H2400" s="75" t="s">
        <v>10</v>
      </c>
    </row>
    <row r="2401" spans="1:8" x14ac:dyDescent="0.25">
      <c r="A2401" s="148">
        <v>44765</v>
      </c>
      <c r="B2401" s="149" t="s">
        <v>23754</v>
      </c>
      <c r="C2401" s="153" t="s">
        <v>31</v>
      </c>
      <c r="D2401" s="154">
        <v>4435.3999999999996</v>
      </c>
      <c r="E2401" s="155">
        <v>44765</v>
      </c>
      <c r="F2401" s="154">
        <v>4435.3999999999996</v>
      </c>
      <c r="G2401" s="156">
        <f>Tabla18[[#This Row],[Importe]]-Tabla18[[#This Row],[Pagado]]</f>
        <v>0</v>
      </c>
      <c r="H2401" s="153" t="s">
        <v>10</v>
      </c>
    </row>
    <row r="2402" spans="1:8" x14ac:dyDescent="0.25">
      <c r="A2402" s="73">
        <v>44765</v>
      </c>
      <c r="B2402" s="74" t="s">
        <v>23755</v>
      </c>
      <c r="C2402" s="75" t="s">
        <v>348</v>
      </c>
      <c r="D2402" s="81">
        <v>11859.2</v>
      </c>
      <c r="E2402" s="151">
        <v>44767</v>
      </c>
      <c r="F2402" s="81">
        <v>11859.2</v>
      </c>
      <c r="G2402" s="156">
        <f>Tabla18[[#This Row],[Importe]]-Tabla18[[#This Row],[Pagado]]</f>
        <v>0</v>
      </c>
      <c r="H2402" s="75" t="s">
        <v>10</v>
      </c>
    </row>
    <row r="2403" spans="1:8" x14ac:dyDescent="0.25">
      <c r="A2403" s="148">
        <v>44765</v>
      </c>
      <c r="B2403" s="149" t="s">
        <v>23756</v>
      </c>
      <c r="C2403" s="153" t="s">
        <v>111</v>
      </c>
      <c r="D2403" s="154">
        <v>10348.799999999999</v>
      </c>
      <c r="E2403" s="155">
        <v>44767</v>
      </c>
      <c r="F2403" s="154">
        <v>10348.799999999999</v>
      </c>
      <c r="G2403" s="156">
        <f>Tabla18[[#This Row],[Importe]]-Tabla18[[#This Row],[Pagado]]</f>
        <v>0</v>
      </c>
      <c r="H2403" s="153" t="s">
        <v>10</v>
      </c>
    </row>
    <row r="2404" spans="1:8" x14ac:dyDescent="0.25">
      <c r="A2404" s="73">
        <v>44765</v>
      </c>
      <c r="B2404" s="74" t="s">
        <v>23757</v>
      </c>
      <c r="C2404" s="75" t="s">
        <v>481</v>
      </c>
      <c r="D2404" s="81">
        <v>1718.4</v>
      </c>
      <c r="E2404" s="151">
        <v>44765</v>
      </c>
      <c r="F2404" s="81">
        <v>1718.4</v>
      </c>
      <c r="G2404" s="156">
        <f>Tabla18[[#This Row],[Importe]]-Tabla18[[#This Row],[Pagado]]</f>
        <v>0</v>
      </c>
      <c r="H2404" s="75" t="s">
        <v>10</v>
      </c>
    </row>
    <row r="2405" spans="1:8" x14ac:dyDescent="0.25">
      <c r="A2405" s="148">
        <v>44765</v>
      </c>
      <c r="B2405" s="149" t="s">
        <v>23758</v>
      </c>
      <c r="C2405" s="153" t="s">
        <v>2151</v>
      </c>
      <c r="D2405" s="154">
        <v>44843.6</v>
      </c>
      <c r="E2405" s="155">
        <v>44765</v>
      </c>
      <c r="F2405" s="154">
        <v>44843.6</v>
      </c>
      <c r="G2405" s="156">
        <f>Tabla18[[#This Row],[Importe]]-Tabla18[[#This Row],[Pagado]]</f>
        <v>0</v>
      </c>
      <c r="H2405" s="153" t="s">
        <v>10</v>
      </c>
    </row>
    <row r="2406" spans="1:8" x14ac:dyDescent="0.25">
      <c r="A2406" s="73">
        <v>44765</v>
      </c>
      <c r="B2406" s="74" t="s">
        <v>23759</v>
      </c>
      <c r="C2406" s="75" t="s">
        <v>105</v>
      </c>
      <c r="D2406" s="81">
        <v>11372.8</v>
      </c>
      <c r="E2406" s="151">
        <v>44767</v>
      </c>
      <c r="F2406" s="81">
        <v>11372.8</v>
      </c>
      <c r="G2406" s="156">
        <f>Tabla18[[#This Row],[Importe]]-Tabla18[[#This Row],[Pagado]]</f>
        <v>0</v>
      </c>
      <c r="H2406" s="75" t="s">
        <v>10</v>
      </c>
    </row>
    <row r="2407" spans="1:8" x14ac:dyDescent="0.25">
      <c r="A2407" s="148">
        <v>44765</v>
      </c>
      <c r="B2407" s="149" t="s">
        <v>23760</v>
      </c>
      <c r="C2407" s="153" t="s">
        <v>2563</v>
      </c>
      <c r="D2407" s="154">
        <v>4943.3999999999996</v>
      </c>
      <c r="E2407" s="155">
        <v>44767</v>
      </c>
      <c r="F2407" s="154">
        <v>4943.3999999999996</v>
      </c>
      <c r="G2407" s="156">
        <f>Tabla18[[#This Row],[Importe]]-Tabla18[[#This Row],[Pagado]]</f>
        <v>0</v>
      </c>
      <c r="H2407" s="153" t="s">
        <v>10</v>
      </c>
    </row>
    <row r="2408" spans="1:8" x14ac:dyDescent="0.25">
      <c r="A2408" s="73">
        <v>44765</v>
      </c>
      <c r="B2408" s="74" t="s">
        <v>23761</v>
      </c>
      <c r="C2408" s="75" t="s">
        <v>79</v>
      </c>
      <c r="D2408" s="81">
        <v>40305.599999999999</v>
      </c>
      <c r="E2408" s="151">
        <v>44765</v>
      </c>
      <c r="F2408" s="81">
        <v>40305.599999999999</v>
      </c>
      <c r="G2408" s="156">
        <f>Tabla18[[#This Row],[Importe]]-Tabla18[[#This Row],[Pagado]]</f>
        <v>0</v>
      </c>
      <c r="H2408" s="75" t="s">
        <v>10</v>
      </c>
    </row>
    <row r="2409" spans="1:8" x14ac:dyDescent="0.25">
      <c r="A2409" s="148">
        <v>44765</v>
      </c>
      <c r="B2409" s="149" t="s">
        <v>23762</v>
      </c>
      <c r="C2409" s="153" t="s">
        <v>95</v>
      </c>
      <c r="D2409" s="154">
        <v>1620</v>
      </c>
      <c r="E2409" s="155">
        <v>44765</v>
      </c>
      <c r="F2409" s="154">
        <v>1620</v>
      </c>
      <c r="G2409" s="156">
        <f>Tabla18[[#This Row],[Importe]]-Tabla18[[#This Row],[Pagado]]</f>
        <v>0</v>
      </c>
      <c r="H2409" s="153" t="s">
        <v>10</v>
      </c>
    </row>
    <row r="2410" spans="1:8" x14ac:dyDescent="0.25">
      <c r="A2410" s="73">
        <v>44765</v>
      </c>
      <c r="B2410" s="74" t="s">
        <v>23763</v>
      </c>
      <c r="C2410" s="75" t="s">
        <v>31</v>
      </c>
      <c r="D2410" s="81">
        <v>2519.1999999999998</v>
      </c>
      <c r="E2410" s="151">
        <v>44765</v>
      </c>
      <c r="F2410" s="81">
        <v>2519.1999999999998</v>
      </c>
      <c r="G2410" s="156">
        <f>Tabla18[[#This Row],[Importe]]-Tabla18[[#This Row],[Pagado]]</f>
        <v>0</v>
      </c>
      <c r="H2410" s="75" t="s">
        <v>10</v>
      </c>
    </row>
    <row r="2411" spans="1:8" x14ac:dyDescent="0.25">
      <c r="A2411" s="148">
        <v>44765</v>
      </c>
      <c r="B2411" s="149" t="s">
        <v>23764</v>
      </c>
      <c r="C2411" s="153" t="s">
        <v>62</v>
      </c>
      <c r="D2411" s="154">
        <v>4329</v>
      </c>
      <c r="E2411" s="155">
        <v>44765</v>
      </c>
      <c r="F2411" s="154">
        <v>4329</v>
      </c>
      <c r="G2411" s="156">
        <f>Tabla18[[#This Row],[Importe]]-Tabla18[[#This Row],[Pagado]]</f>
        <v>0</v>
      </c>
      <c r="H2411" s="153" t="s">
        <v>10</v>
      </c>
    </row>
    <row r="2412" spans="1:8" ht="31.5" x14ac:dyDescent="0.25">
      <c r="A2412" s="73">
        <v>44765</v>
      </c>
      <c r="B2412" s="74" t="s">
        <v>23765</v>
      </c>
      <c r="C2412" s="75" t="s">
        <v>275</v>
      </c>
      <c r="D2412" s="81">
        <v>200318.15</v>
      </c>
      <c r="E2412" s="147" t="s">
        <v>24626</v>
      </c>
      <c r="F2412" s="81">
        <f>55195.47+145122.68</f>
        <v>200318.15</v>
      </c>
      <c r="G2412" s="156">
        <f>Tabla18[[#This Row],[Importe]]-Tabla18[[#This Row],[Pagado]]</f>
        <v>0</v>
      </c>
      <c r="H2412" s="75" t="s">
        <v>10</v>
      </c>
    </row>
    <row r="2413" spans="1:8" x14ac:dyDescent="0.25">
      <c r="A2413" s="148">
        <v>44765</v>
      </c>
      <c r="B2413" s="149" t="s">
        <v>23766</v>
      </c>
      <c r="C2413" s="153" t="s">
        <v>230</v>
      </c>
      <c r="D2413" s="154">
        <v>6381.4</v>
      </c>
      <c r="E2413" s="155">
        <v>44765</v>
      </c>
      <c r="F2413" s="154">
        <v>6381.4</v>
      </c>
      <c r="G2413" s="156">
        <f>Tabla18[[#This Row],[Importe]]-Tabla18[[#This Row],[Pagado]]</f>
        <v>0</v>
      </c>
      <c r="H2413" s="153" t="s">
        <v>10</v>
      </c>
    </row>
    <row r="2414" spans="1:8" x14ac:dyDescent="0.25">
      <c r="A2414" s="73">
        <v>44765</v>
      </c>
      <c r="B2414" s="74" t="s">
        <v>23767</v>
      </c>
      <c r="C2414" s="75" t="s">
        <v>35</v>
      </c>
      <c r="D2414" s="81">
        <v>3176.9</v>
      </c>
      <c r="E2414" s="151">
        <v>44765</v>
      </c>
      <c r="F2414" s="81">
        <v>3176.9</v>
      </c>
      <c r="G2414" s="156">
        <f>Tabla18[[#This Row],[Importe]]-Tabla18[[#This Row],[Pagado]]</f>
        <v>0</v>
      </c>
      <c r="H2414" s="75" t="s">
        <v>10</v>
      </c>
    </row>
    <row r="2415" spans="1:8" ht="31.5" x14ac:dyDescent="0.25">
      <c r="A2415" s="148">
        <v>44765</v>
      </c>
      <c r="B2415" s="149" t="s">
        <v>23768</v>
      </c>
      <c r="C2415" s="160" t="s">
        <v>23769</v>
      </c>
      <c r="D2415" s="154">
        <v>0</v>
      </c>
      <c r="E2415" s="158" t="s">
        <v>189</v>
      </c>
      <c r="F2415" s="154">
        <v>0</v>
      </c>
      <c r="G2415" s="156">
        <f>Tabla18[[#This Row],[Importe]]-Tabla18[[#This Row],[Pagado]]</f>
        <v>0</v>
      </c>
      <c r="H2415" s="159" t="s">
        <v>23770</v>
      </c>
    </row>
    <row r="2416" spans="1:8" x14ac:dyDescent="0.25">
      <c r="A2416" s="73">
        <v>44765</v>
      </c>
      <c r="B2416" s="74" t="s">
        <v>23771</v>
      </c>
      <c r="C2416" s="75" t="s">
        <v>142</v>
      </c>
      <c r="D2416" s="81">
        <v>111046</v>
      </c>
      <c r="E2416" s="151">
        <v>44799</v>
      </c>
      <c r="F2416" s="81">
        <v>111046</v>
      </c>
      <c r="G2416" s="156">
        <f>Tabla18[[#This Row],[Importe]]-Tabla18[[#This Row],[Pagado]]</f>
        <v>0</v>
      </c>
      <c r="H2416" s="75" t="s">
        <v>10</v>
      </c>
    </row>
    <row r="2417" spans="1:8" x14ac:dyDescent="0.25">
      <c r="A2417" s="148">
        <v>44765</v>
      </c>
      <c r="B2417" s="149" t="s">
        <v>23772</v>
      </c>
      <c r="C2417" s="153" t="s">
        <v>56</v>
      </c>
      <c r="D2417" s="154">
        <v>5583.8</v>
      </c>
      <c r="E2417" s="155">
        <v>44765</v>
      </c>
      <c r="F2417" s="154">
        <v>5583.8</v>
      </c>
      <c r="G2417" s="156">
        <f>Tabla18[[#This Row],[Importe]]-Tabla18[[#This Row],[Pagado]]</f>
        <v>0</v>
      </c>
      <c r="H2417" s="153" t="s">
        <v>10</v>
      </c>
    </row>
    <row r="2418" spans="1:8" x14ac:dyDescent="0.25">
      <c r="A2418" s="73">
        <v>44765</v>
      </c>
      <c r="B2418" s="74" t="s">
        <v>23773</v>
      </c>
      <c r="C2418" s="75" t="s">
        <v>67</v>
      </c>
      <c r="D2418" s="81">
        <v>10105.200000000001</v>
      </c>
      <c r="E2418" s="151">
        <v>44765</v>
      </c>
      <c r="F2418" s="81">
        <v>10105.200000000001</v>
      </c>
      <c r="G2418" s="156">
        <f>Tabla18[[#This Row],[Importe]]-Tabla18[[#This Row],[Pagado]]</f>
        <v>0</v>
      </c>
      <c r="H2418" s="75" t="s">
        <v>10</v>
      </c>
    </row>
    <row r="2419" spans="1:8" x14ac:dyDescent="0.25">
      <c r="A2419" s="148">
        <v>44765</v>
      </c>
      <c r="B2419" s="149" t="s">
        <v>23774</v>
      </c>
      <c r="C2419" s="153" t="s">
        <v>924</v>
      </c>
      <c r="D2419" s="154">
        <v>8926.5</v>
      </c>
      <c r="E2419" s="155">
        <v>44765</v>
      </c>
      <c r="F2419" s="154">
        <v>8926.5</v>
      </c>
      <c r="G2419" s="156">
        <f>Tabla18[[#This Row],[Importe]]-Tabla18[[#This Row],[Pagado]]</f>
        <v>0</v>
      </c>
      <c r="H2419" s="153" t="s">
        <v>10</v>
      </c>
    </row>
    <row r="2420" spans="1:8" x14ac:dyDescent="0.25">
      <c r="A2420" s="73">
        <v>44765</v>
      </c>
      <c r="B2420" s="74" t="s">
        <v>23775</v>
      </c>
      <c r="C2420" s="75" t="s">
        <v>16</v>
      </c>
      <c r="D2420" s="81">
        <v>6909.3</v>
      </c>
      <c r="E2420" s="151">
        <v>44765</v>
      </c>
      <c r="F2420" s="81">
        <v>6909.3</v>
      </c>
      <c r="G2420" s="156">
        <f>Tabla18[[#This Row],[Importe]]-Tabla18[[#This Row],[Pagado]]</f>
        <v>0</v>
      </c>
      <c r="H2420" s="75" t="s">
        <v>10</v>
      </c>
    </row>
    <row r="2421" spans="1:8" x14ac:dyDescent="0.25">
      <c r="A2421" s="148">
        <v>44765</v>
      </c>
      <c r="B2421" s="149" t="s">
        <v>23776</v>
      </c>
      <c r="C2421" s="153" t="s">
        <v>11033</v>
      </c>
      <c r="D2421" s="154">
        <v>1943.4</v>
      </c>
      <c r="E2421" s="155">
        <v>44765</v>
      </c>
      <c r="F2421" s="154">
        <v>1943.4</v>
      </c>
      <c r="G2421" s="156">
        <f>Tabla18[[#This Row],[Importe]]-Tabla18[[#This Row],[Pagado]]</f>
        <v>0</v>
      </c>
      <c r="H2421" s="153" t="s">
        <v>10</v>
      </c>
    </row>
    <row r="2422" spans="1:8" x14ac:dyDescent="0.25">
      <c r="A2422" s="73">
        <v>44765</v>
      </c>
      <c r="B2422" s="74" t="s">
        <v>23777</v>
      </c>
      <c r="C2422" s="75" t="s">
        <v>51</v>
      </c>
      <c r="D2422" s="81">
        <v>6544</v>
      </c>
      <c r="E2422" s="151">
        <v>44765</v>
      </c>
      <c r="F2422" s="81">
        <v>6544</v>
      </c>
      <c r="G2422" s="156">
        <f>Tabla18[[#This Row],[Importe]]-Tabla18[[#This Row],[Pagado]]</f>
        <v>0</v>
      </c>
      <c r="H2422" s="75" t="s">
        <v>10</v>
      </c>
    </row>
    <row r="2423" spans="1:8" x14ac:dyDescent="0.25">
      <c r="A2423" s="148">
        <v>44765</v>
      </c>
      <c r="B2423" s="149" t="s">
        <v>23778</v>
      </c>
      <c r="C2423" s="153" t="s">
        <v>934</v>
      </c>
      <c r="D2423" s="154">
        <v>3704.64</v>
      </c>
      <c r="E2423" s="155">
        <v>44765</v>
      </c>
      <c r="F2423" s="154">
        <v>3704.64</v>
      </c>
      <c r="G2423" s="156">
        <f>Tabla18[[#This Row],[Importe]]-Tabla18[[#This Row],[Pagado]]</f>
        <v>0</v>
      </c>
      <c r="H2423" s="153" t="s">
        <v>10</v>
      </c>
    </row>
    <row r="2424" spans="1:8" x14ac:dyDescent="0.25">
      <c r="A2424" s="73">
        <v>44765</v>
      </c>
      <c r="B2424" s="74" t="s">
        <v>23779</v>
      </c>
      <c r="C2424" s="75" t="s">
        <v>196</v>
      </c>
      <c r="D2424" s="81">
        <v>135754.06</v>
      </c>
      <c r="E2424" s="151">
        <v>44771</v>
      </c>
      <c r="F2424" s="81">
        <v>135754.06</v>
      </c>
      <c r="G2424" s="156">
        <f>Tabla18[[#This Row],[Importe]]-Tabla18[[#This Row],[Pagado]]</f>
        <v>0</v>
      </c>
      <c r="H2424" s="75" t="s">
        <v>10</v>
      </c>
    </row>
    <row r="2425" spans="1:8" x14ac:dyDescent="0.25">
      <c r="A2425" s="148">
        <v>44765</v>
      </c>
      <c r="B2425" s="149" t="s">
        <v>23780</v>
      </c>
      <c r="C2425" s="153" t="s">
        <v>49</v>
      </c>
      <c r="D2425" s="154">
        <v>4623</v>
      </c>
      <c r="E2425" s="155">
        <v>44765</v>
      </c>
      <c r="F2425" s="154">
        <v>4623</v>
      </c>
      <c r="G2425" s="156">
        <f>Tabla18[[#This Row],[Importe]]-Tabla18[[#This Row],[Pagado]]</f>
        <v>0</v>
      </c>
      <c r="H2425" s="153" t="s">
        <v>10</v>
      </c>
    </row>
    <row r="2426" spans="1:8" x14ac:dyDescent="0.25">
      <c r="A2426" s="73">
        <v>44765</v>
      </c>
      <c r="B2426" s="74" t="s">
        <v>23781</v>
      </c>
      <c r="C2426" s="75" t="s">
        <v>518</v>
      </c>
      <c r="D2426" s="81">
        <v>1987.4</v>
      </c>
      <c r="E2426" s="151">
        <v>44765</v>
      </c>
      <c r="F2426" s="81">
        <v>1987.4</v>
      </c>
      <c r="G2426" s="156">
        <f>Tabla18[[#This Row],[Importe]]-Tabla18[[#This Row],[Pagado]]</f>
        <v>0</v>
      </c>
      <c r="H2426" s="75" t="s">
        <v>10</v>
      </c>
    </row>
    <row r="2427" spans="1:8" x14ac:dyDescent="0.25">
      <c r="A2427" s="148">
        <v>44765</v>
      </c>
      <c r="B2427" s="149" t="s">
        <v>23782</v>
      </c>
      <c r="C2427" s="153" t="s">
        <v>525</v>
      </c>
      <c r="D2427" s="154">
        <v>5498</v>
      </c>
      <c r="E2427" s="155">
        <v>44765</v>
      </c>
      <c r="F2427" s="154">
        <v>5498</v>
      </c>
      <c r="G2427" s="156">
        <f>Tabla18[[#This Row],[Importe]]-Tabla18[[#This Row],[Pagado]]</f>
        <v>0</v>
      </c>
      <c r="H2427" s="153" t="s">
        <v>10</v>
      </c>
    </row>
    <row r="2428" spans="1:8" x14ac:dyDescent="0.25">
      <c r="A2428" s="73">
        <v>44765</v>
      </c>
      <c r="B2428" s="74" t="s">
        <v>23783</v>
      </c>
      <c r="C2428" s="75" t="s">
        <v>157</v>
      </c>
      <c r="D2428" s="81">
        <v>7469</v>
      </c>
      <c r="E2428" s="151">
        <v>44765</v>
      </c>
      <c r="F2428" s="81">
        <v>7469</v>
      </c>
      <c r="G2428" s="156">
        <f>Tabla18[[#This Row],[Importe]]-Tabla18[[#This Row],[Pagado]]</f>
        <v>0</v>
      </c>
      <c r="H2428" s="75" t="s">
        <v>10</v>
      </c>
    </row>
    <row r="2429" spans="1:8" x14ac:dyDescent="0.25">
      <c r="A2429" s="148">
        <v>44765</v>
      </c>
      <c r="B2429" s="149" t="s">
        <v>23784</v>
      </c>
      <c r="C2429" s="153" t="s">
        <v>159</v>
      </c>
      <c r="D2429" s="154">
        <v>2776</v>
      </c>
      <c r="E2429" s="155">
        <v>44765</v>
      </c>
      <c r="F2429" s="154">
        <v>2776</v>
      </c>
      <c r="G2429" s="156">
        <f>Tabla18[[#This Row],[Importe]]-Tabla18[[#This Row],[Pagado]]</f>
        <v>0</v>
      </c>
      <c r="H2429" s="153" t="s">
        <v>10</v>
      </c>
    </row>
    <row r="2430" spans="1:8" x14ac:dyDescent="0.25">
      <c r="A2430" s="73">
        <v>44765</v>
      </c>
      <c r="B2430" s="74" t="s">
        <v>23785</v>
      </c>
      <c r="C2430" s="75" t="s">
        <v>520</v>
      </c>
      <c r="D2430" s="81">
        <v>18945.400000000001</v>
      </c>
      <c r="E2430" s="151">
        <v>44765</v>
      </c>
      <c r="F2430" s="81">
        <v>18945.400000000001</v>
      </c>
      <c r="G2430" s="156">
        <f>Tabla18[[#This Row],[Importe]]-Tabla18[[#This Row],[Pagado]]</f>
        <v>0</v>
      </c>
      <c r="H2430" s="75" t="s">
        <v>10</v>
      </c>
    </row>
    <row r="2431" spans="1:8" x14ac:dyDescent="0.25">
      <c r="A2431" s="148">
        <v>44765</v>
      </c>
      <c r="B2431" s="149" t="s">
        <v>23786</v>
      </c>
      <c r="C2431" s="153" t="s">
        <v>319</v>
      </c>
      <c r="D2431" s="154">
        <v>15228.16</v>
      </c>
      <c r="E2431" s="155">
        <v>44765</v>
      </c>
      <c r="F2431" s="154">
        <v>15228.16</v>
      </c>
      <c r="G2431" s="156">
        <f>Tabla18[[#This Row],[Importe]]-Tabla18[[#This Row],[Pagado]]</f>
        <v>0</v>
      </c>
      <c r="H2431" s="153" t="s">
        <v>10</v>
      </c>
    </row>
    <row r="2432" spans="1:8" x14ac:dyDescent="0.25">
      <c r="A2432" s="73">
        <v>44765</v>
      </c>
      <c r="B2432" s="74" t="s">
        <v>23787</v>
      </c>
      <c r="C2432" s="75" t="s">
        <v>224</v>
      </c>
      <c r="D2432" s="81">
        <v>676.2</v>
      </c>
      <c r="E2432" s="151">
        <v>44765</v>
      </c>
      <c r="F2432" s="81">
        <v>676.2</v>
      </c>
      <c r="G2432" s="156">
        <f>Tabla18[[#This Row],[Importe]]-Tabla18[[#This Row],[Pagado]]</f>
        <v>0</v>
      </c>
      <c r="H2432" s="75" t="s">
        <v>10</v>
      </c>
    </row>
    <row r="2433" spans="1:8" x14ac:dyDescent="0.25">
      <c r="A2433" s="148">
        <v>44765</v>
      </c>
      <c r="B2433" s="149" t="s">
        <v>23788</v>
      </c>
      <c r="C2433" s="153" t="s">
        <v>31</v>
      </c>
      <c r="D2433" s="154">
        <v>52864</v>
      </c>
      <c r="E2433" s="155">
        <v>44765</v>
      </c>
      <c r="F2433" s="154">
        <v>52864</v>
      </c>
      <c r="G2433" s="156">
        <f>Tabla18[[#This Row],[Importe]]-Tabla18[[#This Row],[Pagado]]</f>
        <v>0</v>
      </c>
      <c r="H2433" s="153" t="s">
        <v>10</v>
      </c>
    </row>
    <row r="2434" spans="1:8" x14ac:dyDescent="0.25">
      <c r="A2434" s="73">
        <v>44765</v>
      </c>
      <c r="B2434" s="74" t="s">
        <v>23789</v>
      </c>
      <c r="C2434" s="75" t="s">
        <v>442</v>
      </c>
      <c r="D2434" s="81">
        <v>10375</v>
      </c>
      <c r="E2434" s="151">
        <v>44765</v>
      </c>
      <c r="F2434" s="81">
        <v>10375</v>
      </c>
      <c r="G2434" s="156">
        <f>Tabla18[[#This Row],[Importe]]-Tabla18[[#This Row],[Pagado]]</f>
        <v>0</v>
      </c>
      <c r="H2434" s="75" t="s">
        <v>10</v>
      </c>
    </row>
    <row r="2435" spans="1:8" x14ac:dyDescent="0.25">
      <c r="A2435" s="148">
        <v>44765</v>
      </c>
      <c r="B2435" s="149" t="s">
        <v>23790</v>
      </c>
      <c r="C2435" s="153" t="s">
        <v>146</v>
      </c>
      <c r="D2435" s="154">
        <v>15566</v>
      </c>
      <c r="E2435" s="155">
        <v>44767</v>
      </c>
      <c r="F2435" s="154">
        <v>15566</v>
      </c>
      <c r="G2435" s="156">
        <f>Tabla18[[#This Row],[Importe]]-Tabla18[[#This Row],[Pagado]]</f>
        <v>0</v>
      </c>
      <c r="H2435" s="153" t="s">
        <v>10</v>
      </c>
    </row>
    <row r="2436" spans="1:8" x14ac:dyDescent="0.25">
      <c r="A2436" s="73">
        <v>44765</v>
      </c>
      <c r="B2436" s="74" t="s">
        <v>23791</v>
      </c>
      <c r="C2436" s="75" t="s">
        <v>87</v>
      </c>
      <c r="D2436" s="81">
        <v>7638.4</v>
      </c>
      <c r="E2436" s="151">
        <v>44767</v>
      </c>
      <c r="F2436" s="81">
        <v>7638.4</v>
      </c>
      <c r="G2436" s="156">
        <f>Tabla18[[#This Row],[Importe]]-Tabla18[[#This Row],[Pagado]]</f>
        <v>0</v>
      </c>
      <c r="H2436" s="75" t="s">
        <v>10</v>
      </c>
    </row>
    <row r="2437" spans="1:8" x14ac:dyDescent="0.25">
      <c r="A2437" s="148">
        <v>44765</v>
      </c>
      <c r="B2437" s="149" t="s">
        <v>23792</v>
      </c>
      <c r="C2437" s="153" t="s">
        <v>314</v>
      </c>
      <c r="D2437" s="154">
        <v>6249.6</v>
      </c>
      <c r="E2437" s="155">
        <v>44767</v>
      </c>
      <c r="F2437" s="154">
        <v>6249.6</v>
      </c>
      <c r="G2437" s="156">
        <f>Tabla18[[#This Row],[Importe]]-Tabla18[[#This Row],[Pagado]]</f>
        <v>0</v>
      </c>
      <c r="H2437" s="153" t="s">
        <v>10</v>
      </c>
    </row>
    <row r="2438" spans="1:8" x14ac:dyDescent="0.25">
      <c r="A2438" s="73">
        <v>44765</v>
      </c>
      <c r="B2438" s="74" t="s">
        <v>23793</v>
      </c>
      <c r="C2438" s="75" t="s">
        <v>144</v>
      </c>
      <c r="D2438" s="81">
        <v>5638.68</v>
      </c>
      <c r="E2438" s="151">
        <v>44767</v>
      </c>
      <c r="F2438" s="81">
        <v>5638.68</v>
      </c>
      <c r="G2438" s="156">
        <f>Tabla18[[#This Row],[Importe]]-Tabla18[[#This Row],[Pagado]]</f>
        <v>0</v>
      </c>
      <c r="H2438" s="75" t="s">
        <v>10</v>
      </c>
    </row>
    <row r="2439" spans="1:8" x14ac:dyDescent="0.25">
      <c r="A2439" s="148">
        <v>44765</v>
      </c>
      <c r="B2439" s="149" t="s">
        <v>23794</v>
      </c>
      <c r="C2439" s="153" t="s">
        <v>463</v>
      </c>
      <c r="D2439" s="154">
        <v>550</v>
      </c>
      <c r="E2439" s="155">
        <v>44765</v>
      </c>
      <c r="F2439" s="154">
        <v>550</v>
      </c>
      <c r="G2439" s="156">
        <f>Tabla18[[#This Row],[Importe]]-Tabla18[[#This Row],[Pagado]]</f>
        <v>0</v>
      </c>
      <c r="H2439" s="153" t="s">
        <v>10</v>
      </c>
    </row>
    <row r="2440" spans="1:8" x14ac:dyDescent="0.25">
      <c r="A2440" s="73">
        <v>44765</v>
      </c>
      <c r="B2440" s="74" t="s">
        <v>23795</v>
      </c>
      <c r="C2440" s="75" t="s">
        <v>461</v>
      </c>
      <c r="D2440" s="81">
        <v>394</v>
      </c>
      <c r="E2440" s="151">
        <v>44765</v>
      </c>
      <c r="F2440" s="81">
        <v>394</v>
      </c>
      <c r="G2440" s="156">
        <f>Tabla18[[#This Row],[Importe]]-Tabla18[[#This Row],[Pagado]]</f>
        <v>0</v>
      </c>
      <c r="H2440" s="75" t="s">
        <v>10</v>
      </c>
    </row>
    <row r="2441" spans="1:8" x14ac:dyDescent="0.25">
      <c r="A2441" s="148">
        <v>44765</v>
      </c>
      <c r="B2441" s="149" t="s">
        <v>23796</v>
      </c>
      <c r="C2441" s="153" t="s">
        <v>459</v>
      </c>
      <c r="D2441" s="154">
        <v>213</v>
      </c>
      <c r="E2441" s="155">
        <v>44765</v>
      </c>
      <c r="F2441" s="154">
        <v>213</v>
      </c>
      <c r="G2441" s="156">
        <f>Tabla18[[#This Row],[Importe]]-Tabla18[[#This Row],[Pagado]]</f>
        <v>0</v>
      </c>
      <c r="H2441" s="153" t="s">
        <v>10</v>
      </c>
    </row>
    <row r="2442" spans="1:8" x14ac:dyDescent="0.25">
      <c r="A2442" s="73">
        <v>44765</v>
      </c>
      <c r="B2442" s="74" t="s">
        <v>23797</v>
      </c>
      <c r="C2442" s="75" t="s">
        <v>457</v>
      </c>
      <c r="D2442" s="81">
        <v>198</v>
      </c>
      <c r="E2442" s="151">
        <v>44765</v>
      </c>
      <c r="F2442" s="81">
        <v>198</v>
      </c>
      <c r="G2442" s="156">
        <f>Tabla18[[#This Row],[Importe]]-Tabla18[[#This Row],[Pagado]]</f>
        <v>0</v>
      </c>
      <c r="H2442" s="75" t="s">
        <v>10</v>
      </c>
    </row>
    <row r="2443" spans="1:8" x14ac:dyDescent="0.25">
      <c r="A2443" s="148">
        <v>44765</v>
      </c>
      <c r="B2443" s="149" t="s">
        <v>23798</v>
      </c>
      <c r="C2443" s="153" t="s">
        <v>107</v>
      </c>
      <c r="D2443" s="154">
        <v>26513.7</v>
      </c>
      <c r="E2443" s="155">
        <v>44767</v>
      </c>
      <c r="F2443" s="154">
        <v>26513.7</v>
      </c>
      <c r="G2443" s="156">
        <f>Tabla18[[#This Row],[Importe]]-Tabla18[[#This Row],[Pagado]]</f>
        <v>0</v>
      </c>
      <c r="H2443" s="153" t="s">
        <v>10</v>
      </c>
    </row>
    <row r="2444" spans="1:8" x14ac:dyDescent="0.25">
      <c r="A2444" s="73">
        <v>44765</v>
      </c>
      <c r="B2444" s="74" t="s">
        <v>23799</v>
      </c>
      <c r="C2444" s="75" t="s">
        <v>191</v>
      </c>
      <c r="D2444" s="81">
        <v>1769.6</v>
      </c>
      <c r="E2444" s="151">
        <v>44765</v>
      </c>
      <c r="F2444" s="81">
        <v>1769.6</v>
      </c>
      <c r="G2444" s="156">
        <f>Tabla18[[#This Row],[Importe]]-Tabla18[[#This Row],[Pagado]]</f>
        <v>0</v>
      </c>
      <c r="H2444" s="75" t="s">
        <v>10</v>
      </c>
    </row>
    <row r="2445" spans="1:8" x14ac:dyDescent="0.25">
      <c r="A2445" s="148">
        <v>44765</v>
      </c>
      <c r="B2445" s="149" t="s">
        <v>23800</v>
      </c>
      <c r="C2445" s="153" t="s">
        <v>3971</v>
      </c>
      <c r="D2445" s="154">
        <v>981</v>
      </c>
      <c r="E2445" s="155">
        <v>44765</v>
      </c>
      <c r="F2445" s="154">
        <v>981</v>
      </c>
      <c r="G2445" s="156">
        <f>Tabla18[[#This Row],[Importe]]-Tabla18[[#This Row],[Pagado]]</f>
        <v>0</v>
      </c>
      <c r="H2445" s="153" t="s">
        <v>10</v>
      </c>
    </row>
    <row r="2446" spans="1:8" x14ac:dyDescent="0.25">
      <c r="A2446" s="73">
        <v>44765</v>
      </c>
      <c r="B2446" s="74" t="s">
        <v>23801</v>
      </c>
      <c r="C2446" s="75" t="s">
        <v>31</v>
      </c>
      <c r="D2446" s="81">
        <v>2400</v>
      </c>
      <c r="E2446" s="151">
        <v>44765</v>
      </c>
      <c r="F2446" s="81">
        <v>2400</v>
      </c>
      <c r="G2446" s="156">
        <f>Tabla18[[#This Row],[Importe]]-Tabla18[[#This Row],[Pagado]]</f>
        <v>0</v>
      </c>
      <c r="H2446" s="75" t="s">
        <v>10</v>
      </c>
    </row>
    <row r="2447" spans="1:8" x14ac:dyDescent="0.25">
      <c r="A2447" s="148">
        <v>44765</v>
      </c>
      <c r="B2447" s="149" t="s">
        <v>23802</v>
      </c>
      <c r="C2447" s="153" t="s">
        <v>31</v>
      </c>
      <c r="D2447" s="154">
        <v>7700</v>
      </c>
      <c r="E2447" s="155">
        <v>44765</v>
      </c>
      <c r="F2447" s="154">
        <v>7700</v>
      </c>
      <c r="G2447" s="156">
        <f>Tabla18[[#This Row],[Importe]]-Tabla18[[#This Row],[Pagado]]</f>
        <v>0</v>
      </c>
      <c r="H2447" s="153" t="s">
        <v>10</v>
      </c>
    </row>
    <row r="2448" spans="1:8" x14ac:dyDescent="0.25">
      <c r="A2448" s="73">
        <v>44765</v>
      </c>
      <c r="B2448" s="74" t="s">
        <v>23803</v>
      </c>
      <c r="C2448" s="75" t="s">
        <v>275</v>
      </c>
      <c r="D2448" s="81">
        <v>11964.8</v>
      </c>
      <c r="E2448" s="151">
        <v>44786</v>
      </c>
      <c r="F2448" s="81">
        <v>11964.8</v>
      </c>
      <c r="G2448" s="156">
        <f>Tabla18[[#This Row],[Importe]]-Tabla18[[#This Row],[Pagado]]</f>
        <v>0</v>
      </c>
      <c r="H2448" s="75" t="s">
        <v>10</v>
      </c>
    </row>
    <row r="2449" spans="1:8" x14ac:dyDescent="0.25">
      <c r="A2449" s="148">
        <v>44765</v>
      </c>
      <c r="B2449" s="149" t="s">
        <v>23804</v>
      </c>
      <c r="C2449" s="153" t="s">
        <v>146</v>
      </c>
      <c r="D2449" s="154">
        <v>4284</v>
      </c>
      <c r="E2449" s="155">
        <v>44767</v>
      </c>
      <c r="F2449" s="154">
        <v>4284</v>
      </c>
      <c r="G2449" s="156">
        <f>Tabla18[[#This Row],[Importe]]-Tabla18[[#This Row],[Pagado]]</f>
        <v>0</v>
      </c>
      <c r="H2449" s="153" t="s">
        <v>10</v>
      </c>
    </row>
    <row r="2450" spans="1:8" x14ac:dyDescent="0.25">
      <c r="A2450" s="73">
        <v>44765</v>
      </c>
      <c r="B2450" s="74" t="s">
        <v>23805</v>
      </c>
      <c r="C2450" s="75" t="s">
        <v>664</v>
      </c>
      <c r="D2450" s="81">
        <v>6551.2</v>
      </c>
      <c r="E2450" s="151">
        <v>44767</v>
      </c>
      <c r="F2450" s="81">
        <v>6551.2</v>
      </c>
      <c r="G2450" s="156">
        <f>Tabla18[[#This Row],[Importe]]-Tabla18[[#This Row],[Pagado]]</f>
        <v>0</v>
      </c>
      <c r="H2450" s="75" t="s">
        <v>10</v>
      </c>
    </row>
    <row r="2451" spans="1:8" x14ac:dyDescent="0.25">
      <c r="A2451" s="148">
        <v>44765</v>
      </c>
      <c r="B2451" s="149" t="s">
        <v>23806</v>
      </c>
      <c r="C2451" s="153" t="s">
        <v>10190</v>
      </c>
      <c r="D2451" s="154">
        <v>11696.4</v>
      </c>
      <c r="E2451" s="155">
        <v>44767</v>
      </c>
      <c r="F2451" s="154">
        <v>11696.4</v>
      </c>
      <c r="G2451" s="156">
        <f>Tabla18[[#This Row],[Importe]]-Tabla18[[#This Row],[Pagado]]</f>
        <v>0</v>
      </c>
      <c r="H2451" s="153" t="s">
        <v>10</v>
      </c>
    </row>
    <row r="2452" spans="1:8" x14ac:dyDescent="0.25">
      <c r="A2452" s="73">
        <v>44765</v>
      </c>
      <c r="B2452" s="74" t="s">
        <v>23807</v>
      </c>
      <c r="C2452" s="75" t="s">
        <v>31</v>
      </c>
      <c r="D2452" s="81">
        <v>2142</v>
      </c>
      <c r="E2452" s="151">
        <v>44765</v>
      </c>
      <c r="F2452" s="81">
        <v>2142</v>
      </c>
      <c r="G2452" s="156">
        <f>Tabla18[[#This Row],[Importe]]-Tabla18[[#This Row],[Pagado]]</f>
        <v>0</v>
      </c>
      <c r="H2452" s="75" t="s">
        <v>10</v>
      </c>
    </row>
    <row r="2453" spans="1:8" x14ac:dyDescent="0.25">
      <c r="A2453" s="148">
        <v>44765</v>
      </c>
      <c r="B2453" s="149" t="s">
        <v>23808</v>
      </c>
      <c r="C2453" s="153" t="s">
        <v>140</v>
      </c>
      <c r="D2453" s="154">
        <v>5970.2</v>
      </c>
      <c r="E2453" s="155">
        <v>44767</v>
      </c>
      <c r="F2453" s="154">
        <v>5970.2</v>
      </c>
      <c r="G2453" s="156">
        <f>Tabla18[[#This Row],[Importe]]-Tabla18[[#This Row],[Pagado]]</f>
        <v>0</v>
      </c>
      <c r="H2453" s="153" t="s">
        <v>10</v>
      </c>
    </row>
    <row r="2454" spans="1:8" x14ac:dyDescent="0.25">
      <c r="A2454" s="73">
        <v>44765</v>
      </c>
      <c r="B2454" s="74" t="s">
        <v>23809</v>
      </c>
      <c r="C2454" s="75" t="s">
        <v>45</v>
      </c>
      <c r="D2454" s="81">
        <v>12104</v>
      </c>
      <c r="E2454" s="151">
        <v>44765</v>
      </c>
      <c r="F2454" s="81">
        <v>12104</v>
      </c>
      <c r="G2454" s="156">
        <f>Tabla18[[#This Row],[Importe]]-Tabla18[[#This Row],[Pagado]]</f>
        <v>0</v>
      </c>
      <c r="H2454" s="75" t="s">
        <v>10</v>
      </c>
    </row>
    <row r="2455" spans="1:8" x14ac:dyDescent="0.25">
      <c r="A2455" s="148">
        <v>44765</v>
      </c>
      <c r="B2455" s="149" t="s">
        <v>23810</v>
      </c>
      <c r="C2455" s="153" t="s">
        <v>9415</v>
      </c>
      <c r="D2455" s="154">
        <v>18861.2</v>
      </c>
      <c r="E2455" s="155">
        <v>44768</v>
      </c>
      <c r="F2455" s="154">
        <v>18861.2</v>
      </c>
      <c r="G2455" s="156">
        <f>Tabla18[[#This Row],[Importe]]-Tabla18[[#This Row],[Pagado]]</f>
        <v>0</v>
      </c>
      <c r="H2455" s="153" t="s">
        <v>10</v>
      </c>
    </row>
    <row r="2456" spans="1:8" x14ac:dyDescent="0.25">
      <c r="A2456" s="73">
        <v>44765</v>
      </c>
      <c r="B2456" s="74" t="s">
        <v>23811</v>
      </c>
      <c r="C2456" s="75" t="s">
        <v>127</v>
      </c>
      <c r="D2456" s="81">
        <v>4789.2</v>
      </c>
      <c r="E2456" s="151">
        <v>44767</v>
      </c>
      <c r="F2456" s="81">
        <v>4789.2</v>
      </c>
      <c r="G2456" s="156">
        <f>Tabla18[[#This Row],[Importe]]-Tabla18[[#This Row],[Pagado]]</f>
        <v>0</v>
      </c>
      <c r="H2456" s="75" t="s">
        <v>10</v>
      </c>
    </row>
    <row r="2457" spans="1:8" x14ac:dyDescent="0.25">
      <c r="A2457" s="148">
        <v>44765</v>
      </c>
      <c r="B2457" s="149" t="s">
        <v>23812</v>
      </c>
      <c r="C2457" s="153" t="s">
        <v>339</v>
      </c>
      <c r="D2457" s="154">
        <v>722.4</v>
      </c>
      <c r="E2457" s="155">
        <v>44767</v>
      </c>
      <c r="F2457" s="154">
        <v>722.4</v>
      </c>
      <c r="G2457" s="156">
        <f>Tabla18[[#This Row],[Importe]]-Tabla18[[#This Row],[Pagado]]</f>
        <v>0</v>
      </c>
      <c r="H2457" s="153" t="s">
        <v>10</v>
      </c>
    </row>
    <row r="2458" spans="1:8" x14ac:dyDescent="0.25">
      <c r="A2458" s="73">
        <v>44765</v>
      </c>
      <c r="B2458" s="74" t="s">
        <v>23813</v>
      </c>
      <c r="C2458" s="75" t="s">
        <v>129</v>
      </c>
      <c r="D2458" s="81">
        <v>2855.2</v>
      </c>
      <c r="E2458" s="151">
        <v>44767</v>
      </c>
      <c r="F2458" s="81">
        <v>2855.2</v>
      </c>
      <c r="G2458" s="156">
        <f>Tabla18[[#This Row],[Importe]]-Tabla18[[#This Row],[Pagado]]</f>
        <v>0</v>
      </c>
      <c r="H2458" s="75" t="s">
        <v>10</v>
      </c>
    </row>
    <row r="2459" spans="1:8" x14ac:dyDescent="0.25">
      <c r="A2459" s="148">
        <v>44765</v>
      </c>
      <c r="B2459" s="149" t="s">
        <v>23814</v>
      </c>
      <c r="C2459" s="153" t="s">
        <v>357</v>
      </c>
      <c r="D2459" s="154">
        <v>739.6</v>
      </c>
      <c r="E2459" s="155">
        <v>44767</v>
      </c>
      <c r="F2459" s="154">
        <v>739.6</v>
      </c>
      <c r="G2459" s="156">
        <f>Tabla18[[#This Row],[Importe]]-Tabla18[[#This Row],[Pagado]]</f>
        <v>0</v>
      </c>
      <c r="H2459" s="153" t="s">
        <v>10</v>
      </c>
    </row>
    <row r="2460" spans="1:8" x14ac:dyDescent="0.25">
      <c r="A2460" s="73">
        <v>44765</v>
      </c>
      <c r="B2460" s="74" t="s">
        <v>23815</v>
      </c>
      <c r="C2460" s="75" t="s">
        <v>1239</v>
      </c>
      <c r="D2460" s="81">
        <v>11474.4</v>
      </c>
      <c r="E2460" s="151">
        <v>44765</v>
      </c>
      <c r="F2460" s="81">
        <v>11474.4</v>
      </c>
      <c r="G2460" s="156">
        <f>Tabla18[[#This Row],[Importe]]-Tabla18[[#This Row],[Pagado]]</f>
        <v>0</v>
      </c>
      <c r="H2460" s="75" t="s">
        <v>10</v>
      </c>
    </row>
    <row r="2461" spans="1:8" x14ac:dyDescent="0.25">
      <c r="A2461" s="148">
        <v>44765</v>
      </c>
      <c r="B2461" s="149" t="s">
        <v>23816</v>
      </c>
      <c r="C2461" s="153" t="s">
        <v>127</v>
      </c>
      <c r="D2461" s="154">
        <v>780.2</v>
      </c>
      <c r="E2461" s="155">
        <v>44767</v>
      </c>
      <c r="F2461" s="154">
        <v>780.2</v>
      </c>
      <c r="G2461" s="156">
        <f>Tabla18[[#This Row],[Importe]]-Tabla18[[#This Row],[Pagado]]</f>
        <v>0</v>
      </c>
      <c r="H2461" s="153" t="s">
        <v>10</v>
      </c>
    </row>
    <row r="2462" spans="1:8" x14ac:dyDescent="0.25">
      <c r="A2462" s="73">
        <v>44765</v>
      </c>
      <c r="B2462" s="74" t="s">
        <v>23817</v>
      </c>
      <c r="C2462" s="75" t="s">
        <v>263</v>
      </c>
      <c r="D2462" s="81">
        <v>172487.7</v>
      </c>
      <c r="E2462" s="151">
        <v>44765</v>
      </c>
      <c r="F2462" s="81">
        <v>172487.7</v>
      </c>
      <c r="G2462" s="156">
        <f>Tabla18[[#This Row],[Importe]]-Tabla18[[#This Row],[Pagado]]</f>
        <v>0</v>
      </c>
      <c r="H2462" s="75" t="s">
        <v>10</v>
      </c>
    </row>
    <row r="2463" spans="1:8" x14ac:dyDescent="0.25">
      <c r="A2463" s="148">
        <v>44765</v>
      </c>
      <c r="B2463" s="149" t="s">
        <v>23818</v>
      </c>
      <c r="C2463" s="153" t="s">
        <v>698</v>
      </c>
      <c r="D2463" s="154">
        <v>6672.4</v>
      </c>
      <c r="E2463" s="155">
        <v>44765</v>
      </c>
      <c r="F2463" s="154">
        <v>6672.4</v>
      </c>
      <c r="G2463" s="156">
        <f>Tabla18[[#This Row],[Importe]]-Tabla18[[#This Row],[Pagado]]</f>
        <v>0</v>
      </c>
      <c r="H2463" s="153" t="s">
        <v>10</v>
      </c>
    </row>
    <row r="2464" spans="1:8" x14ac:dyDescent="0.25">
      <c r="A2464" s="73">
        <v>44765</v>
      </c>
      <c r="B2464" s="74" t="s">
        <v>23819</v>
      </c>
      <c r="C2464" s="75" t="s">
        <v>23820</v>
      </c>
      <c r="D2464" s="81">
        <v>0</v>
      </c>
      <c r="E2464" s="157" t="s">
        <v>189</v>
      </c>
      <c r="F2464" s="81">
        <v>0</v>
      </c>
      <c r="G2464" s="156">
        <f>Tabla18[[#This Row],[Importe]]-Tabla18[[#This Row],[Pagado]]</f>
        <v>0</v>
      </c>
      <c r="H2464" s="161" t="s">
        <v>23821</v>
      </c>
    </row>
    <row r="2465" spans="1:8" x14ac:dyDescent="0.25">
      <c r="A2465" s="148">
        <v>44765</v>
      </c>
      <c r="B2465" s="149" t="s">
        <v>23822</v>
      </c>
      <c r="C2465" s="153" t="s">
        <v>181</v>
      </c>
      <c r="D2465" s="154">
        <v>11640</v>
      </c>
      <c r="E2465" s="155">
        <v>44765</v>
      </c>
      <c r="F2465" s="154">
        <v>11640</v>
      </c>
      <c r="G2465" s="156">
        <f>Tabla18[[#This Row],[Importe]]-Tabla18[[#This Row],[Pagado]]</f>
        <v>0</v>
      </c>
      <c r="H2465" s="153" t="s">
        <v>10</v>
      </c>
    </row>
    <row r="2466" spans="1:8" x14ac:dyDescent="0.25">
      <c r="A2466" s="73">
        <v>44765</v>
      </c>
      <c r="B2466" s="74" t="s">
        <v>23823</v>
      </c>
      <c r="C2466" s="75" t="s">
        <v>681</v>
      </c>
      <c r="D2466" s="81">
        <v>2.12</v>
      </c>
      <c r="E2466" s="151">
        <v>44769</v>
      </c>
      <c r="F2466" s="81">
        <v>2.12</v>
      </c>
      <c r="G2466" s="156">
        <f>Tabla18[[#This Row],[Importe]]-Tabla18[[#This Row],[Pagado]]</f>
        <v>0</v>
      </c>
      <c r="H2466" s="75" t="s">
        <v>10</v>
      </c>
    </row>
    <row r="2467" spans="1:8" x14ac:dyDescent="0.25">
      <c r="A2467" s="148">
        <v>44765</v>
      </c>
      <c r="B2467" s="149" t="s">
        <v>23824</v>
      </c>
      <c r="C2467" s="153" t="s">
        <v>6405</v>
      </c>
      <c r="D2467" s="154">
        <v>1.94</v>
      </c>
      <c r="E2467" s="155">
        <v>44782</v>
      </c>
      <c r="F2467" s="154">
        <v>1.94</v>
      </c>
      <c r="G2467" s="156">
        <f>Tabla18[[#This Row],[Importe]]-Tabla18[[#This Row],[Pagado]]</f>
        <v>0</v>
      </c>
      <c r="H2467" s="153" t="s">
        <v>10</v>
      </c>
    </row>
    <row r="2468" spans="1:8" x14ac:dyDescent="0.25">
      <c r="A2468" s="73">
        <v>44765</v>
      </c>
      <c r="B2468" s="74" t="s">
        <v>23825</v>
      </c>
      <c r="C2468" s="75" t="s">
        <v>200</v>
      </c>
      <c r="D2468" s="81">
        <v>2209.1999999999998</v>
      </c>
      <c r="E2468" s="151">
        <v>44765</v>
      </c>
      <c r="F2468" s="81">
        <v>2209.1999999999998</v>
      </c>
      <c r="G2468" s="156">
        <f>Tabla18[[#This Row],[Importe]]-Tabla18[[#This Row],[Pagado]]</f>
        <v>0</v>
      </c>
      <c r="H2468" s="75" t="s">
        <v>10</v>
      </c>
    </row>
    <row r="2469" spans="1:8" x14ac:dyDescent="0.25">
      <c r="A2469" s="148">
        <v>44765</v>
      </c>
      <c r="B2469" s="149" t="s">
        <v>23826</v>
      </c>
      <c r="C2469" s="153" t="s">
        <v>233</v>
      </c>
      <c r="D2469" s="154">
        <v>5460</v>
      </c>
      <c r="E2469" s="155">
        <v>44765</v>
      </c>
      <c r="F2469" s="154">
        <v>5460</v>
      </c>
      <c r="G2469" s="156">
        <f>Tabla18[[#This Row],[Importe]]-Tabla18[[#This Row],[Pagado]]</f>
        <v>0</v>
      </c>
      <c r="H2469" s="153" t="s">
        <v>10</v>
      </c>
    </row>
    <row r="2470" spans="1:8" x14ac:dyDescent="0.25">
      <c r="A2470" s="73">
        <v>44765</v>
      </c>
      <c r="B2470" s="74" t="s">
        <v>23827</v>
      </c>
      <c r="C2470" s="75" t="s">
        <v>175</v>
      </c>
      <c r="D2470" s="81">
        <v>5544</v>
      </c>
      <c r="E2470" s="151">
        <v>44765</v>
      </c>
      <c r="F2470" s="81">
        <v>5544</v>
      </c>
      <c r="G2470" s="156">
        <f>Tabla18[[#This Row],[Importe]]-Tabla18[[#This Row],[Pagado]]</f>
        <v>0</v>
      </c>
      <c r="H2470" s="75" t="s">
        <v>10</v>
      </c>
    </row>
    <row r="2471" spans="1:8" x14ac:dyDescent="0.25">
      <c r="A2471" s="148">
        <v>44765</v>
      </c>
      <c r="B2471" s="149" t="s">
        <v>23828</v>
      </c>
      <c r="C2471" s="153" t="s">
        <v>1481</v>
      </c>
      <c r="D2471" s="154">
        <v>1176</v>
      </c>
      <c r="E2471" s="155">
        <v>44765</v>
      </c>
      <c r="F2471" s="154">
        <v>1176</v>
      </c>
      <c r="G2471" s="156">
        <f>Tabla18[[#This Row],[Importe]]-Tabla18[[#This Row],[Pagado]]</f>
        <v>0</v>
      </c>
      <c r="H2471" s="153" t="s">
        <v>10</v>
      </c>
    </row>
    <row r="2472" spans="1:8" x14ac:dyDescent="0.25">
      <c r="A2472" s="73">
        <v>44765</v>
      </c>
      <c r="B2472" s="74" t="s">
        <v>23829</v>
      </c>
      <c r="C2472" s="75" t="s">
        <v>31</v>
      </c>
      <c r="D2472" s="81">
        <v>1201.7</v>
      </c>
      <c r="E2472" s="151">
        <v>44765</v>
      </c>
      <c r="F2472" s="81">
        <v>1201.7</v>
      </c>
      <c r="G2472" s="156">
        <f>Tabla18[[#This Row],[Importe]]-Tabla18[[#This Row],[Pagado]]</f>
        <v>0</v>
      </c>
      <c r="H2472" s="75" t="s">
        <v>10</v>
      </c>
    </row>
    <row r="2473" spans="1:8" x14ac:dyDescent="0.25">
      <c r="A2473" s="148">
        <v>44765</v>
      </c>
      <c r="B2473" s="149" t="s">
        <v>23830</v>
      </c>
      <c r="C2473" s="153" t="s">
        <v>359</v>
      </c>
      <c r="D2473" s="154">
        <v>1513.5</v>
      </c>
      <c r="E2473" s="155">
        <v>44765</v>
      </c>
      <c r="F2473" s="154">
        <v>1513.5</v>
      </c>
      <c r="G2473" s="156">
        <f>Tabla18[[#This Row],[Importe]]-Tabla18[[#This Row],[Pagado]]</f>
        <v>0</v>
      </c>
      <c r="H2473" s="153" t="s">
        <v>10</v>
      </c>
    </row>
    <row r="2474" spans="1:8" x14ac:dyDescent="0.25">
      <c r="A2474" s="73">
        <v>44765</v>
      </c>
      <c r="B2474" s="74" t="s">
        <v>23831</v>
      </c>
      <c r="C2474" s="75" t="s">
        <v>31</v>
      </c>
      <c r="D2474" s="81">
        <v>151.80000000000001</v>
      </c>
      <c r="E2474" s="151">
        <v>44765</v>
      </c>
      <c r="F2474" s="81">
        <v>151.80000000000001</v>
      </c>
      <c r="G2474" s="156">
        <f>Tabla18[[#This Row],[Importe]]-Tabla18[[#This Row],[Pagado]]</f>
        <v>0</v>
      </c>
      <c r="H2474" s="75" t="s">
        <v>10</v>
      </c>
    </row>
    <row r="2475" spans="1:8" x14ac:dyDescent="0.25">
      <c r="A2475" s="148">
        <v>44765</v>
      </c>
      <c r="B2475" s="149" t="s">
        <v>23832</v>
      </c>
      <c r="C2475" s="153" t="s">
        <v>484</v>
      </c>
      <c r="D2475" s="154">
        <v>3806.4</v>
      </c>
      <c r="E2475" s="155">
        <v>44765</v>
      </c>
      <c r="F2475" s="154">
        <v>3806.4</v>
      </c>
      <c r="G2475" s="156">
        <f>Tabla18[[#This Row],[Importe]]-Tabla18[[#This Row],[Pagado]]</f>
        <v>0</v>
      </c>
      <c r="H2475" s="153" t="s">
        <v>10</v>
      </c>
    </row>
    <row r="2476" spans="1:8" x14ac:dyDescent="0.25">
      <c r="A2476" s="73">
        <v>44765</v>
      </c>
      <c r="B2476" s="74" t="s">
        <v>23833</v>
      </c>
      <c r="C2476" s="75" t="s">
        <v>4136</v>
      </c>
      <c r="D2476" s="81">
        <v>3072.5</v>
      </c>
      <c r="E2476" s="151">
        <v>44765</v>
      </c>
      <c r="F2476" s="81">
        <v>3072.5</v>
      </c>
      <c r="G2476" s="156">
        <f>Tabla18[[#This Row],[Importe]]-Tabla18[[#This Row],[Pagado]]</f>
        <v>0</v>
      </c>
      <c r="H2476" s="75" t="s">
        <v>10</v>
      </c>
    </row>
    <row r="2477" spans="1:8" x14ac:dyDescent="0.25">
      <c r="A2477" s="148">
        <v>44765</v>
      </c>
      <c r="B2477" s="149" t="s">
        <v>23834</v>
      </c>
      <c r="C2477" s="153" t="s">
        <v>587</v>
      </c>
      <c r="D2477" s="154">
        <v>3759.12</v>
      </c>
      <c r="E2477" s="155">
        <v>44765</v>
      </c>
      <c r="F2477" s="154">
        <v>3759.12</v>
      </c>
      <c r="G2477" s="156">
        <f>Tabla18[[#This Row],[Importe]]-Tabla18[[#This Row],[Pagado]]</f>
        <v>0</v>
      </c>
      <c r="H2477" s="153" t="s">
        <v>10</v>
      </c>
    </row>
    <row r="2478" spans="1:8" x14ac:dyDescent="0.25">
      <c r="A2478" s="73">
        <v>44765</v>
      </c>
      <c r="B2478" s="74" t="s">
        <v>23835</v>
      </c>
      <c r="C2478" s="75" t="s">
        <v>31</v>
      </c>
      <c r="D2478" s="81">
        <v>1224</v>
      </c>
      <c r="E2478" s="151">
        <v>44765</v>
      </c>
      <c r="F2478" s="81">
        <v>1224</v>
      </c>
      <c r="G2478" s="156">
        <f>Tabla18[[#This Row],[Importe]]-Tabla18[[#This Row],[Pagado]]</f>
        <v>0</v>
      </c>
      <c r="H2478" s="75" t="s">
        <v>10</v>
      </c>
    </row>
    <row r="2479" spans="1:8" x14ac:dyDescent="0.25">
      <c r="A2479" s="148">
        <v>44765</v>
      </c>
      <c r="B2479" s="149" t="s">
        <v>23836</v>
      </c>
      <c r="C2479" s="153" t="s">
        <v>31</v>
      </c>
      <c r="D2479" s="154">
        <v>2024.4</v>
      </c>
      <c r="E2479" s="155">
        <v>44765</v>
      </c>
      <c r="F2479" s="154">
        <v>2024.4</v>
      </c>
      <c r="G2479" s="156">
        <f>Tabla18[[#This Row],[Importe]]-Tabla18[[#This Row],[Pagado]]</f>
        <v>0</v>
      </c>
      <c r="H2479" s="153" t="s">
        <v>10</v>
      </c>
    </row>
    <row r="2480" spans="1:8" x14ac:dyDescent="0.25">
      <c r="A2480" s="73">
        <v>44765</v>
      </c>
      <c r="B2480" s="74" t="s">
        <v>23837</v>
      </c>
      <c r="C2480" s="75" t="s">
        <v>555</v>
      </c>
      <c r="D2480" s="81">
        <v>26100</v>
      </c>
      <c r="E2480" s="151">
        <v>44765</v>
      </c>
      <c r="F2480" s="81">
        <v>26100</v>
      </c>
      <c r="G2480" s="156">
        <f>Tabla18[[#This Row],[Importe]]-Tabla18[[#This Row],[Pagado]]</f>
        <v>0</v>
      </c>
      <c r="H2480" s="75" t="s">
        <v>10</v>
      </c>
    </row>
    <row r="2481" spans="1:8" x14ac:dyDescent="0.25">
      <c r="A2481" s="148">
        <v>44765</v>
      </c>
      <c r="B2481" s="149" t="s">
        <v>23838</v>
      </c>
      <c r="C2481" s="153" t="s">
        <v>24</v>
      </c>
      <c r="D2481" s="154">
        <v>4476.3999999999996</v>
      </c>
      <c r="E2481" s="155">
        <v>44765</v>
      </c>
      <c r="F2481" s="154">
        <v>4476.3999999999996</v>
      </c>
      <c r="G2481" s="156">
        <f>Tabla18[[#This Row],[Importe]]-Tabla18[[#This Row],[Pagado]]</f>
        <v>0</v>
      </c>
      <c r="H2481" s="153" t="s">
        <v>10</v>
      </c>
    </row>
    <row r="2482" spans="1:8" x14ac:dyDescent="0.25">
      <c r="A2482" s="73">
        <v>44765</v>
      </c>
      <c r="B2482" s="74" t="s">
        <v>23839</v>
      </c>
      <c r="C2482" s="75" t="s">
        <v>9827</v>
      </c>
      <c r="D2482" s="81">
        <v>9487.7999999999993</v>
      </c>
      <c r="E2482" s="151">
        <v>44765</v>
      </c>
      <c r="F2482" s="81">
        <v>9487.7999999999993</v>
      </c>
      <c r="G2482" s="156">
        <f>Tabla18[[#This Row],[Importe]]-Tabla18[[#This Row],[Pagado]]</f>
        <v>0</v>
      </c>
      <c r="H2482" s="75" t="s">
        <v>10</v>
      </c>
    </row>
    <row r="2483" spans="1:8" x14ac:dyDescent="0.25">
      <c r="A2483" s="148">
        <v>44765</v>
      </c>
      <c r="B2483" s="149" t="s">
        <v>23840</v>
      </c>
      <c r="C2483" s="153" t="s">
        <v>67</v>
      </c>
      <c r="D2483" s="154">
        <v>2454.6</v>
      </c>
      <c r="E2483" s="155">
        <v>44765</v>
      </c>
      <c r="F2483" s="154">
        <v>2454.6</v>
      </c>
      <c r="G2483" s="156">
        <f>Tabla18[[#This Row],[Importe]]-Tabla18[[#This Row],[Pagado]]</f>
        <v>0</v>
      </c>
      <c r="H2483" s="153" t="s">
        <v>10</v>
      </c>
    </row>
    <row r="2484" spans="1:8" x14ac:dyDescent="0.25">
      <c r="A2484" s="73">
        <v>44765</v>
      </c>
      <c r="B2484" s="74" t="s">
        <v>23841</v>
      </c>
      <c r="C2484" s="75" t="s">
        <v>214</v>
      </c>
      <c r="D2484" s="81">
        <v>1512</v>
      </c>
      <c r="E2484" s="151">
        <v>44765</v>
      </c>
      <c r="F2484" s="81">
        <v>1512</v>
      </c>
      <c r="G2484" s="156">
        <f>Tabla18[[#This Row],[Importe]]-Tabla18[[#This Row],[Pagado]]</f>
        <v>0</v>
      </c>
      <c r="H2484" s="75" t="s">
        <v>10</v>
      </c>
    </row>
    <row r="2485" spans="1:8" x14ac:dyDescent="0.25">
      <c r="A2485" s="148">
        <v>44765</v>
      </c>
      <c r="B2485" s="149" t="s">
        <v>23842</v>
      </c>
      <c r="C2485" s="153" t="s">
        <v>244</v>
      </c>
      <c r="D2485" s="154">
        <v>620.5</v>
      </c>
      <c r="E2485" s="155">
        <v>44765</v>
      </c>
      <c r="F2485" s="154">
        <v>620.5</v>
      </c>
      <c r="G2485" s="156">
        <f>Tabla18[[#This Row],[Importe]]-Tabla18[[#This Row],[Pagado]]</f>
        <v>0</v>
      </c>
      <c r="H2485" s="153" t="s">
        <v>10</v>
      </c>
    </row>
    <row r="2486" spans="1:8" x14ac:dyDescent="0.25">
      <c r="A2486" s="73">
        <v>44765</v>
      </c>
      <c r="B2486" s="74" t="s">
        <v>23843</v>
      </c>
      <c r="C2486" s="75" t="s">
        <v>840</v>
      </c>
      <c r="D2486" s="81">
        <v>128378.9</v>
      </c>
      <c r="E2486" s="151">
        <v>44765</v>
      </c>
      <c r="F2486" s="81">
        <v>128378.9</v>
      </c>
      <c r="G2486" s="156">
        <f>Tabla18[[#This Row],[Importe]]-Tabla18[[#This Row],[Pagado]]</f>
        <v>0</v>
      </c>
      <c r="H2486" s="75" t="s">
        <v>10</v>
      </c>
    </row>
    <row r="2487" spans="1:8" x14ac:dyDescent="0.25">
      <c r="A2487" s="148">
        <v>44765</v>
      </c>
      <c r="B2487" s="149" t="s">
        <v>23844</v>
      </c>
      <c r="C2487" s="153" t="s">
        <v>647</v>
      </c>
      <c r="D2487" s="154">
        <v>1553.5</v>
      </c>
      <c r="E2487" s="155">
        <v>44765</v>
      </c>
      <c r="F2487" s="154">
        <v>1553.5</v>
      </c>
      <c r="G2487" s="156">
        <f>Tabla18[[#This Row],[Importe]]-Tabla18[[#This Row],[Pagado]]</f>
        <v>0</v>
      </c>
      <c r="H2487" s="153" t="s">
        <v>10</v>
      </c>
    </row>
    <row r="2488" spans="1:8" x14ac:dyDescent="0.25">
      <c r="A2488" s="73">
        <v>44765</v>
      </c>
      <c r="B2488" s="74" t="s">
        <v>23845</v>
      </c>
      <c r="C2488" s="75" t="s">
        <v>647</v>
      </c>
      <c r="D2488" s="81">
        <v>708.5</v>
      </c>
      <c r="E2488" s="151" t="s">
        <v>23846</v>
      </c>
      <c r="F2488" s="81">
        <v>708.5</v>
      </c>
      <c r="G2488" s="156">
        <f>Tabla18[[#This Row],[Importe]]-Tabla18[[#This Row],[Pagado]]</f>
        <v>0</v>
      </c>
      <c r="H2488" s="75" t="s">
        <v>10</v>
      </c>
    </row>
    <row r="2489" spans="1:8" x14ac:dyDescent="0.25">
      <c r="A2489" s="148">
        <v>44765</v>
      </c>
      <c r="B2489" s="149" t="s">
        <v>23847</v>
      </c>
      <c r="C2489" s="153" t="s">
        <v>2139</v>
      </c>
      <c r="D2489" s="154">
        <v>1560</v>
      </c>
      <c r="E2489" s="155" t="s">
        <v>23846</v>
      </c>
      <c r="F2489" s="154">
        <v>1560</v>
      </c>
      <c r="G2489" s="156">
        <f>Tabla18[[#This Row],[Importe]]-Tabla18[[#This Row],[Pagado]]</f>
        <v>0</v>
      </c>
      <c r="H2489" s="153" t="s">
        <v>10</v>
      </c>
    </row>
    <row r="2490" spans="1:8" x14ac:dyDescent="0.25">
      <c r="A2490" s="73">
        <v>44765</v>
      </c>
      <c r="B2490" s="74" t="s">
        <v>23848</v>
      </c>
      <c r="C2490" s="75" t="s">
        <v>14743</v>
      </c>
      <c r="D2490" s="81">
        <v>0</v>
      </c>
      <c r="E2490" s="157" t="s">
        <v>189</v>
      </c>
      <c r="F2490" s="81">
        <v>0</v>
      </c>
      <c r="G2490" s="156">
        <f>Tabla18[[#This Row],[Importe]]-Tabla18[[#This Row],[Pagado]]</f>
        <v>0</v>
      </c>
      <c r="H2490" s="161" t="s">
        <v>23849</v>
      </c>
    </row>
    <row r="2491" spans="1:8" x14ac:dyDescent="0.25">
      <c r="A2491" s="148">
        <v>44765</v>
      </c>
      <c r="B2491" s="149" t="s">
        <v>23850</v>
      </c>
      <c r="C2491" s="153" t="s">
        <v>296</v>
      </c>
      <c r="D2491" s="154">
        <v>1745.8</v>
      </c>
      <c r="E2491" s="155">
        <v>44765</v>
      </c>
      <c r="F2491" s="154">
        <v>1745.8</v>
      </c>
      <c r="G2491" s="156">
        <f>Tabla18[[#This Row],[Importe]]-Tabla18[[#This Row],[Pagado]]</f>
        <v>0</v>
      </c>
      <c r="H2491" s="153" t="s">
        <v>10</v>
      </c>
    </row>
    <row r="2492" spans="1:8" x14ac:dyDescent="0.25">
      <c r="A2492" s="73">
        <v>44765</v>
      </c>
      <c r="B2492" s="74" t="s">
        <v>23851</v>
      </c>
      <c r="C2492" s="75" t="s">
        <v>284</v>
      </c>
      <c r="D2492" s="81">
        <v>17136</v>
      </c>
      <c r="E2492" s="151">
        <v>44766</v>
      </c>
      <c r="F2492" s="81">
        <v>17136</v>
      </c>
      <c r="G2492" s="156">
        <f>Tabla18[[#This Row],[Importe]]-Tabla18[[#This Row],[Pagado]]</f>
        <v>0</v>
      </c>
      <c r="H2492" s="75" t="s">
        <v>10</v>
      </c>
    </row>
    <row r="2493" spans="1:8" x14ac:dyDescent="0.25">
      <c r="A2493" s="148">
        <v>44765</v>
      </c>
      <c r="B2493" s="149" t="s">
        <v>23852</v>
      </c>
      <c r="C2493" s="153" t="s">
        <v>5345</v>
      </c>
      <c r="D2493" s="154">
        <v>8769.6</v>
      </c>
      <c r="E2493" s="155">
        <v>44766</v>
      </c>
      <c r="F2493" s="154">
        <v>8769.6</v>
      </c>
      <c r="G2493" s="156">
        <f>Tabla18[[#This Row],[Importe]]-Tabla18[[#This Row],[Pagado]]</f>
        <v>0</v>
      </c>
      <c r="H2493" s="153" t="s">
        <v>10</v>
      </c>
    </row>
    <row r="2494" spans="1:8" x14ac:dyDescent="0.25">
      <c r="A2494" s="73">
        <v>44765</v>
      </c>
      <c r="B2494" s="74" t="s">
        <v>23853</v>
      </c>
      <c r="C2494" s="75" t="s">
        <v>10819</v>
      </c>
      <c r="D2494" s="81">
        <v>2422.8000000000002</v>
      </c>
      <c r="E2494" s="151">
        <v>44766</v>
      </c>
      <c r="F2494" s="81">
        <v>2422.8000000000002</v>
      </c>
      <c r="G2494" s="156">
        <f>Tabla18[[#This Row],[Importe]]-Tabla18[[#This Row],[Pagado]]</f>
        <v>0</v>
      </c>
      <c r="H2494" s="75" t="s">
        <v>10</v>
      </c>
    </row>
    <row r="2495" spans="1:8" x14ac:dyDescent="0.25">
      <c r="A2495" s="148">
        <v>44765</v>
      </c>
      <c r="B2495" s="149" t="s">
        <v>23854</v>
      </c>
      <c r="C2495" s="153" t="s">
        <v>282</v>
      </c>
      <c r="D2495" s="154">
        <v>3393.6</v>
      </c>
      <c r="E2495" s="155">
        <v>44766</v>
      </c>
      <c r="F2495" s="154">
        <v>3393.6</v>
      </c>
      <c r="G2495" s="156">
        <f>Tabla18[[#This Row],[Importe]]-Tabla18[[#This Row],[Pagado]]</f>
        <v>0</v>
      </c>
      <c r="H2495" s="153" t="s">
        <v>10</v>
      </c>
    </row>
    <row r="2496" spans="1:8" x14ac:dyDescent="0.25">
      <c r="A2496" s="73">
        <v>44765</v>
      </c>
      <c r="B2496" s="74" t="s">
        <v>23855</v>
      </c>
      <c r="C2496" s="75" t="s">
        <v>280</v>
      </c>
      <c r="D2496" s="81">
        <v>1360.8</v>
      </c>
      <c r="E2496" s="151">
        <v>44766</v>
      </c>
      <c r="F2496" s="81">
        <v>1360.8</v>
      </c>
      <c r="G2496" s="156">
        <f>Tabla18[[#This Row],[Importe]]-Tabla18[[#This Row],[Pagado]]</f>
        <v>0</v>
      </c>
      <c r="H2496" s="75" t="s">
        <v>10</v>
      </c>
    </row>
    <row r="2497" spans="1:8" x14ac:dyDescent="0.25">
      <c r="A2497" s="148">
        <v>44765</v>
      </c>
      <c r="B2497" s="149" t="s">
        <v>23856</v>
      </c>
      <c r="C2497" s="153" t="s">
        <v>142</v>
      </c>
      <c r="D2497" s="154">
        <v>3984</v>
      </c>
      <c r="E2497" s="155">
        <v>44802</v>
      </c>
      <c r="F2497" s="154">
        <v>3984</v>
      </c>
      <c r="G2497" s="156">
        <f>Tabla18[[#This Row],[Importe]]-Tabla18[[#This Row],[Pagado]]</f>
        <v>0</v>
      </c>
      <c r="H2497" s="153" t="s">
        <v>10</v>
      </c>
    </row>
    <row r="2498" spans="1:8" x14ac:dyDescent="0.25">
      <c r="A2498" s="73">
        <v>44765</v>
      </c>
      <c r="B2498" s="74" t="s">
        <v>23857</v>
      </c>
      <c r="C2498" s="75" t="s">
        <v>9</v>
      </c>
      <c r="D2498" s="81">
        <v>4603</v>
      </c>
      <c r="E2498" s="151">
        <v>44765</v>
      </c>
      <c r="F2498" s="81">
        <v>4603</v>
      </c>
      <c r="G2498" s="156">
        <f>Tabla18[[#This Row],[Importe]]-Tabla18[[#This Row],[Pagado]]</f>
        <v>0</v>
      </c>
      <c r="H2498" s="75" t="s">
        <v>10</v>
      </c>
    </row>
    <row r="2499" spans="1:8" x14ac:dyDescent="0.25">
      <c r="A2499" s="148">
        <v>44765</v>
      </c>
      <c r="B2499" s="149" t="s">
        <v>23858</v>
      </c>
      <c r="C2499" s="153" t="s">
        <v>31</v>
      </c>
      <c r="D2499" s="154">
        <v>6272</v>
      </c>
      <c r="E2499" s="155">
        <v>44765</v>
      </c>
      <c r="F2499" s="154">
        <v>6272</v>
      </c>
      <c r="G2499" s="156">
        <f>Tabla18[[#This Row],[Importe]]-Tabla18[[#This Row],[Pagado]]</f>
        <v>0</v>
      </c>
      <c r="H2499" s="153" t="s">
        <v>10</v>
      </c>
    </row>
    <row r="2500" spans="1:8" x14ac:dyDescent="0.25">
      <c r="A2500" s="73">
        <v>44765</v>
      </c>
      <c r="B2500" s="74" t="s">
        <v>23859</v>
      </c>
      <c r="C2500" s="75" t="s">
        <v>31</v>
      </c>
      <c r="D2500" s="81">
        <v>2292</v>
      </c>
      <c r="E2500" s="151">
        <v>44765</v>
      </c>
      <c r="F2500" s="81">
        <v>2292</v>
      </c>
      <c r="G2500" s="156">
        <f>Tabla18[[#This Row],[Importe]]-Tabla18[[#This Row],[Pagado]]</f>
        <v>0</v>
      </c>
      <c r="H2500" s="75" t="s">
        <v>10</v>
      </c>
    </row>
    <row r="2501" spans="1:8" ht="31.5" x14ac:dyDescent="0.25">
      <c r="A2501" s="148">
        <v>44765</v>
      </c>
      <c r="B2501" s="149" t="s">
        <v>23860</v>
      </c>
      <c r="C2501" s="160" t="s">
        <v>15500</v>
      </c>
      <c r="D2501" s="154">
        <v>0</v>
      </c>
      <c r="E2501" s="158" t="s">
        <v>189</v>
      </c>
      <c r="F2501" s="154">
        <v>0</v>
      </c>
      <c r="G2501" s="156">
        <f>Tabla18[[#This Row],[Importe]]-Tabla18[[#This Row],[Pagado]]</f>
        <v>0</v>
      </c>
      <c r="H2501" s="159" t="s">
        <v>23861</v>
      </c>
    </row>
    <row r="2502" spans="1:8" x14ac:dyDescent="0.25">
      <c r="A2502" s="73">
        <v>44765</v>
      </c>
      <c r="B2502" s="74" t="s">
        <v>23862</v>
      </c>
      <c r="C2502" s="75" t="s">
        <v>518</v>
      </c>
      <c r="D2502" s="81">
        <v>6136.2</v>
      </c>
      <c r="E2502" s="151">
        <v>44765</v>
      </c>
      <c r="F2502" s="81">
        <v>6136.2</v>
      </c>
      <c r="G2502" s="156">
        <f>Tabla18[[#This Row],[Importe]]-Tabla18[[#This Row],[Pagado]]</f>
        <v>0</v>
      </c>
      <c r="H2502" s="75" t="s">
        <v>10</v>
      </c>
    </row>
    <row r="2503" spans="1:8" x14ac:dyDescent="0.25">
      <c r="A2503" s="148">
        <v>44765</v>
      </c>
      <c r="B2503" s="149" t="s">
        <v>23863</v>
      </c>
      <c r="C2503" s="153" t="s">
        <v>191</v>
      </c>
      <c r="D2503" s="154">
        <v>768</v>
      </c>
      <c r="E2503" s="155">
        <v>44765</v>
      </c>
      <c r="F2503" s="154">
        <v>768</v>
      </c>
      <c r="G2503" s="156">
        <f>Tabla18[[#This Row],[Importe]]-Tabla18[[#This Row],[Pagado]]</f>
        <v>0</v>
      </c>
      <c r="H2503" s="153" t="s">
        <v>10</v>
      </c>
    </row>
    <row r="2504" spans="1:8" x14ac:dyDescent="0.25">
      <c r="A2504" s="73">
        <v>44765</v>
      </c>
      <c r="B2504" s="74" t="s">
        <v>23864</v>
      </c>
      <c r="C2504" s="75" t="s">
        <v>1421</v>
      </c>
      <c r="D2504" s="81">
        <v>28000</v>
      </c>
      <c r="E2504" s="151">
        <v>44765</v>
      </c>
      <c r="F2504" s="81">
        <v>28000</v>
      </c>
      <c r="G2504" s="156">
        <f>Tabla18[[#This Row],[Importe]]-Tabla18[[#This Row],[Pagado]]</f>
        <v>0</v>
      </c>
      <c r="H2504" s="75" t="s">
        <v>10</v>
      </c>
    </row>
    <row r="2505" spans="1:8" x14ac:dyDescent="0.25">
      <c r="A2505" s="148">
        <v>44765</v>
      </c>
      <c r="B2505" s="149" t="s">
        <v>23865</v>
      </c>
      <c r="C2505" s="153" t="s">
        <v>10840</v>
      </c>
      <c r="D2505" s="154">
        <v>235.2</v>
      </c>
      <c r="E2505" s="155">
        <v>44765</v>
      </c>
      <c r="F2505" s="154">
        <v>235.2</v>
      </c>
      <c r="G2505" s="156">
        <f>Tabla18[[#This Row],[Importe]]-Tabla18[[#This Row],[Pagado]]</f>
        <v>0</v>
      </c>
      <c r="H2505" s="153" t="s">
        <v>10</v>
      </c>
    </row>
    <row r="2506" spans="1:8" x14ac:dyDescent="0.25">
      <c r="A2506" s="73">
        <v>44765</v>
      </c>
      <c r="B2506" s="74" t="s">
        <v>23866</v>
      </c>
      <c r="C2506" s="75" t="s">
        <v>67</v>
      </c>
      <c r="D2506" s="81">
        <v>333</v>
      </c>
      <c r="E2506" s="151">
        <v>44765</v>
      </c>
      <c r="F2506" s="81">
        <v>333</v>
      </c>
      <c r="G2506" s="156">
        <f>Tabla18[[#This Row],[Importe]]-Tabla18[[#This Row],[Pagado]]</f>
        <v>0</v>
      </c>
      <c r="H2506" s="75" t="s">
        <v>10</v>
      </c>
    </row>
    <row r="2507" spans="1:8" x14ac:dyDescent="0.25">
      <c r="A2507" s="148">
        <v>44765</v>
      </c>
      <c r="B2507" s="149" t="s">
        <v>23867</v>
      </c>
      <c r="C2507" s="153" t="s">
        <v>89</v>
      </c>
      <c r="D2507" s="154">
        <v>126</v>
      </c>
      <c r="E2507" s="155">
        <v>44765</v>
      </c>
      <c r="F2507" s="154">
        <v>126</v>
      </c>
      <c r="G2507" s="156">
        <f>Tabla18[[#This Row],[Importe]]-Tabla18[[#This Row],[Pagado]]</f>
        <v>0</v>
      </c>
      <c r="H2507" s="153" t="s">
        <v>10</v>
      </c>
    </row>
    <row r="2508" spans="1:8" x14ac:dyDescent="0.25">
      <c r="A2508" s="73">
        <v>44765</v>
      </c>
      <c r="B2508" s="74" t="s">
        <v>23868</v>
      </c>
      <c r="C2508" s="75" t="s">
        <v>857</v>
      </c>
      <c r="D2508" s="81">
        <v>2084</v>
      </c>
      <c r="E2508" s="151">
        <v>44765</v>
      </c>
      <c r="F2508" s="81">
        <v>2084</v>
      </c>
      <c r="G2508" s="156">
        <f>Tabla18[[#This Row],[Importe]]-Tabla18[[#This Row],[Pagado]]</f>
        <v>0</v>
      </c>
      <c r="H2508" s="75" t="s">
        <v>10</v>
      </c>
    </row>
    <row r="2509" spans="1:8" x14ac:dyDescent="0.25">
      <c r="A2509" s="148">
        <v>44765</v>
      </c>
      <c r="B2509" s="149" t="s">
        <v>23869</v>
      </c>
      <c r="C2509" s="153" t="s">
        <v>31</v>
      </c>
      <c r="D2509" s="154">
        <v>218.4</v>
      </c>
      <c r="E2509" s="155">
        <v>44765</v>
      </c>
      <c r="F2509" s="154">
        <v>218.4</v>
      </c>
      <c r="G2509" s="156">
        <f>Tabla18[[#This Row],[Importe]]-Tabla18[[#This Row],[Pagado]]</f>
        <v>0</v>
      </c>
      <c r="H2509" s="153" t="s">
        <v>10</v>
      </c>
    </row>
    <row r="2510" spans="1:8" x14ac:dyDescent="0.25">
      <c r="A2510" s="73">
        <v>44765</v>
      </c>
      <c r="B2510" s="74" t="s">
        <v>23870</v>
      </c>
      <c r="C2510" s="75" t="s">
        <v>275</v>
      </c>
      <c r="D2510" s="81">
        <v>51373.75</v>
      </c>
      <c r="E2510" s="151">
        <v>44786</v>
      </c>
      <c r="F2510" s="81">
        <v>51373.75</v>
      </c>
      <c r="G2510" s="156">
        <f>Tabla18[[#This Row],[Importe]]-Tabla18[[#This Row],[Pagado]]</f>
        <v>0</v>
      </c>
      <c r="H2510" s="75" t="s">
        <v>10</v>
      </c>
    </row>
    <row r="2511" spans="1:8" x14ac:dyDescent="0.25">
      <c r="A2511" s="148">
        <v>44765</v>
      </c>
      <c r="B2511" s="149" t="s">
        <v>23871</v>
      </c>
      <c r="C2511" s="153" t="s">
        <v>196</v>
      </c>
      <c r="D2511" s="154">
        <v>4200</v>
      </c>
      <c r="E2511" s="155">
        <v>44771</v>
      </c>
      <c r="F2511" s="154">
        <v>4200</v>
      </c>
      <c r="G2511" s="156">
        <f>Tabla18[[#This Row],[Importe]]-Tabla18[[#This Row],[Pagado]]</f>
        <v>0</v>
      </c>
      <c r="H2511" s="153" t="s">
        <v>10</v>
      </c>
    </row>
    <row r="2512" spans="1:8" x14ac:dyDescent="0.25">
      <c r="A2512" s="73">
        <v>44765</v>
      </c>
      <c r="B2512" s="74" t="s">
        <v>23872</v>
      </c>
      <c r="C2512" s="75" t="s">
        <v>407</v>
      </c>
      <c r="D2512" s="81">
        <v>10400</v>
      </c>
      <c r="E2512" s="151">
        <v>44778</v>
      </c>
      <c r="F2512" s="81">
        <v>10400</v>
      </c>
      <c r="G2512" s="156">
        <f>Tabla18[[#This Row],[Importe]]-Tabla18[[#This Row],[Pagado]]</f>
        <v>0</v>
      </c>
      <c r="H2512" s="75" t="s">
        <v>10</v>
      </c>
    </row>
    <row r="2513" spans="1:8" x14ac:dyDescent="0.25">
      <c r="A2513" s="148">
        <v>44765</v>
      </c>
      <c r="B2513" s="149" t="s">
        <v>23873</v>
      </c>
      <c r="C2513" s="153" t="s">
        <v>35</v>
      </c>
      <c r="D2513" s="154">
        <v>3247.2</v>
      </c>
      <c r="E2513" s="155">
        <v>44765</v>
      </c>
      <c r="F2513" s="154">
        <v>3247.2</v>
      </c>
      <c r="G2513" s="156">
        <f>Tabla18[[#This Row],[Importe]]-Tabla18[[#This Row],[Pagado]]</f>
        <v>0</v>
      </c>
      <c r="H2513" s="153" t="s">
        <v>10</v>
      </c>
    </row>
    <row r="2514" spans="1:8" x14ac:dyDescent="0.25">
      <c r="A2514" s="73">
        <v>44765</v>
      </c>
      <c r="B2514" s="74" t="s">
        <v>23874</v>
      </c>
      <c r="C2514" s="75" t="s">
        <v>69</v>
      </c>
      <c r="D2514" s="81">
        <v>225.5</v>
      </c>
      <c r="E2514" s="151">
        <v>44765</v>
      </c>
      <c r="F2514" s="81">
        <v>225.5</v>
      </c>
      <c r="G2514" s="156">
        <f>Tabla18[[#This Row],[Importe]]-Tabla18[[#This Row],[Pagado]]</f>
        <v>0</v>
      </c>
      <c r="H2514" s="75" t="s">
        <v>10</v>
      </c>
    </row>
    <row r="2515" spans="1:8" x14ac:dyDescent="0.25">
      <c r="A2515" s="148">
        <v>44766</v>
      </c>
      <c r="B2515" s="149" t="s">
        <v>23875</v>
      </c>
      <c r="C2515" s="153" t="s">
        <v>9</v>
      </c>
      <c r="D2515" s="154">
        <v>8660.1</v>
      </c>
      <c r="E2515" s="155">
        <v>44766</v>
      </c>
      <c r="F2515" s="154">
        <v>8660.1</v>
      </c>
      <c r="G2515" s="156">
        <f>Tabla18[[#This Row],[Importe]]-Tabla18[[#This Row],[Pagado]]</f>
        <v>0</v>
      </c>
      <c r="H2515" s="153" t="s">
        <v>10</v>
      </c>
    </row>
    <row r="2516" spans="1:8" x14ac:dyDescent="0.25">
      <c r="A2516" s="73">
        <v>44766</v>
      </c>
      <c r="B2516" s="74" t="s">
        <v>23876</v>
      </c>
      <c r="C2516" s="75" t="s">
        <v>20</v>
      </c>
      <c r="D2516" s="81">
        <v>12100</v>
      </c>
      <c r="E2516" s="151">
        <v>44766</v>
      </c>
      <c r="F2516" s="81">
        <v>12100</v>
      </c>
      <c r="G2516" s="156">
        <f>Tabla18[[#This Row],[Importe]]-Tabla18[[#This Row],[Pagado]]</f>
        <v>0</v>
      </c>
      <c r="H2516" s="75" t="s">
        <v>10</v>
      </c>
    </row>
    <row r="2517" spans="1:8" x14ac:dyDescent="0.25">
      <c r="A2517" s="148">
        <v>44766</v>
      </c>
      <c r="B2517" s="149" t="s">
        <v>23877</v>
      </c>
      <c r="C2517" s="153" t="s">
        <v>1187</v>
      </c>
      <c r="D2517" s="154">
        <v>1036.8</v>
      </c>
      <c r="E2517" s="155">
        <v>44766</v>
      </c>
      <c r="F2517" s="154">
        <v>1036.8</v>
      </c>
      <c r="G2517" s="156">
        <f>Tabla18[[#This Row],[Importe]]-Tabla18[[#This Row],[Pagado]]</f>
        <v>0</v>
      </c>
      <c r="H2517" s="153" t="s">
        <v>10</v>
      </c>
    </row>
    <row r="2518" spans="1:8" ht="31.5" x14ac:dyDescent="0.25">
      <c r="A2518" s="73">
        <v>44766</v>
      </c>
      <c r="B2518" s="74" t="s">
        <v>23878</v>
      </c>
      <c r="C2518" s="75" t="s">
        <v>475</v>
      </c>
      <c r="D2518" s="81">
        <v>76743.600000000006</v>
      </c>
      <c r="E2518" s="147" t="s">
        <v>23879</v>
      </c>
      <c r="F2518" s="81">
        <f>68300+8443.6</f>
        <v>76743.600000000006</v>
      </c>
      <c r="G2518" s="156">
        <f>Tabla18[[#This Row],[Importe]]-Tabla18[[#This Row],[Pagado]]</f>
        <v>0</v>
      </c>
      <c r="H2518" s="75" t="s">
        <v>10</v>
      </c>
    </row>
    <row r="2519" spans="1:8" x14ac:dyDescent="0.25">
      <c r="A2519" s="148">
        <v>44766</v>
      </c>
      <c r="B2519" s="149" t="s">
        <v>23880</v>
      </c>
      <c r="C2519" s="153" t="s">
        <v>12</v>
      </c>
      <c r="D2519" s="154">
        <v>8150.4</v>
      </c>
      <c r="E2519" s="155">
        <v>44766</v>
      </c>
      <c r="F2519" s="154">
        <v>8150.4</v>
      </c>
      <c r="G2519" s="156">
        <f>Tabla18[[#This Row],[Importe]]-Tabla18[[#This Row],[Pagado]]</f>
        <v>0</v>
      </c>
      <c r="H2519" s="153" t="s">
        <v>10</v>
      </c>
    </row>
    <row r="2520" spans="1:8" x14ac:dyDescent="0.25">
      <c r="A2520" s="73">
        <v>44766</v>
      </c>
      <c r="B2520" s="74" t="s">
        <v>23881</v>
      </c>
      <c r="C2520" s="75" t="s">
        <v>16</v>
      </c>
      <c r="D2520" s="81">
        <v>10450.200000000001</v>
      </c>
      <c r="E2520" s="151">
        <v>44766</v>
      </c>
      <c r="F2520" s="81">
        <v>10450.200000000001</v>
      </c>
      <c r="G2520" s="156">
        <f>Tabla18[[#This Row],[Importe]]-Tabla18[[#This Row],[Pagado]]</f>
        <v>0</v>
      </c>
      <c r="H2520" s="75" t="s">
        <v>10</v>
      </c>
    </row>
    <row r="2521" spans="1:8" x14ac:dyDescent="0.25">
      <c r="A2521" s="148">
        <v>44766</v>
      </c>
      <c r="B2521" s="149" t="s">
        <v>23882</v>
      </c>
      <c r="C2521" s="153" t="s">
        <v>29</v>
      </c>
      <c r="D2521" s="154">
        <v>15120</v>
      </c>
      <c r="E2521" s="155">
        <v>44766</v>
      </c>
      <c r="F2521" s="154">
        <v>15120</v>
      </c>
      <c r="G2521" s="156">
        <f>Tabla18[[#This Row],[Importe]]-Tabla18[[#This Row],[Pagado]]</f>
        <v>0</v>
      </c>
      <c r="H2521" s="153" t="s">
        <v>10</v>
      </c>
    </row>
    <row r="2522" spans="1:8" x14ac:dyDescent="0.25">
      <c r="A2522" s="73">
        <v>44766</v>
      </c>
      <c r="B2522" s="74" t="s">
        <v>23883</v>
      </c>
      <c r="C2522" s="75" t="s">
        <v>16</v>
      </c>
      <c r="D2522" s="81">
        <v>131.19999999999999</v>
      </c>
      <c r="E2522" s="151">
        <v>44766</v>
      </c>
      <c r="F2522" s="81">
        <v>131.19999999999999</v>
      </c>
      <c r="G2522" s="156">
        <f>Tabla18[[#This Row],[Importe]]-Tabla18[[#This Row],[Pagado]]</f>
        <v>0</v>
      </c>
      <c r="H2522" s="75" t="s">
        <v>10</v>
      </c>
    </row>
    <row r="2523" spans="1:8" x14ac:dyDescent="0.25">
      <c r="A2523" s="148">
        <v>44766</v>
      </c>
      <c r="B2523" s="149" t="s">
        <v>23884</v>
      </c>
      <c r="C2523" s="153" t="s">
        <v>31</v>
      </c>
      <c r="D2523" s="154">
        <v>789.6</v>
      </c>
      <c r="E2523" s="155">
        <v>44766</v>
      </c>
      <c r="F2523" s="154">
        <v>789.6</v>
      </c>
      <c r="G2523" s="156">
        <f>Tabla18[[#This Row],[Importe]]-Tabla18[[#This Row],[Pagado]]</f>
        <v>0</v>
      </c>
      <c r="H2523" s="153" t="s">
        <v>10</v>
      </c>
    </row>
    <row r="2524" spans="1:8" x14ac:dyDescent="0.25">
      <c r="A2524" s="73">
        <v>44766</v>
      </c>
      <c r="B2524" s="74" t="s">
        <v>23885</v>
      </c>
      <c r="C2524" s="75" t="s">
        <v>51</v>
      </c>
      <c r="D2524" s="81">
        <v>756.5</v>
      </c>
      <c r="E2524" s="151">
        <v>44766</v>
      </c>
      <c r="F2524" s="81">
        <v>756.5</v>
      </c>
      <c r="G2524" s="156">
        <f>Tabla18[[#This Row],[Importe]]-Tabla18[[#This Row],[Pagado]]</f>
        <v>0</v>
      </c>
      <c r="H2524" s="75" t="s">
        <v>10</v>
      </c>
    </row>
    <row r="2525" spans="1:8" x14ac:dyDescent="0.25">
      <c r="A2525" s="148">
        <v>44766</v>
      </c>
      <c r="B2525" s="149" t="s">
        <v>23886</v>
      </c>
      <c r="C2525" s="153" t="s">
        <v>27</v>
      </c>
      <c r="D2525" s="154">
        <v>627.79999999999995</v>
      </c>
      <c r="E2525" s="155">
        <v>44766</v>
      </c>
      <c r="F2525" s="154">
        <v>627.79999999999995</v>
      </c>
      <c r="G2525" s="156">
        <f>Tabla18[[#This Row],[Importe]]-Tabla18[[#This Row],[Pagado]]</f>
        <v>0</v>
      </c>
      <c r="H2525" s="153" t="s">
        <v>10</v>
      </c>
    </row>
    <row r="2526" spans="1:8" ht="31.5" x14ac:dyDescent="0.25">
      <c r="A2526" s="73">
        <v>44766</v>
      </c>
      <c r="B2526" s="74" t="s">
        <v>23887</v>
      </c>
      <c r="C2526" s="75" t="s">
        <v>22</v>
      </c>
      <c r="D2526" s="81">
        <v>65367.4</v>
      </c>
      <c r="E2526" s="147" t="s">
        <v>23621</v>
      </c>
      <c r="F2526" s="81">
        <f>59000+6367.4</f>
        <v>65367.4</v>
      </c>
      <c r="G2526" s="156">
        <f>Tabla18[[#This Row],[Importe]]-Tabla18[[#This Row],[Pagado]]</f>
        <v>0</v>
      </c>
      <c r="H2526" s="75" t="s">
        <v>10</v>
      </c>
    </row>
    <row r="2527" spans="1:8" x14ac:dyDescent="0.25">
      <c r="A2527" s="148">
        <v>44766</v>
      </c>
      <c r="B2527" s="149" t="s">
        <v>23888</v>
      </c>
      <c r="C2527" s="153" t="s">
        <v>22</v>
      </c>
      <c r="D2527" s="154">
        <v>1968</v>
      </c>
      <c r="E2527" s="155">
        <v>44767</v>
      </c>
      <c r="F2527" s="154">
        <v>1968</v>
      </c>
      <c r="G2527" s="156">
        <f>Tabla18[[#This Row],[Importe]]-Tabla18[[#This Row],[Pagado]]</f>
        <v>0</v>
      </c>
      <c r="H2527" s="153" t="s">
        <v>10</v>
      </c>
    </row>
    <row r="2528" spans="1:8" x14ac:dyDescent="0.25">
      <c r="A2528" s="73">
        <v>44766</v>
      </c>
      <c r="B2528" s="74" t="s">
        <v>23889</v>
      </c>
      <c r="C2528" s="75" t="s">
        <v>56</v>
      </c>
      <c r="D2528" s="81">
        <v>11839.8</v>
      </c>
      <c r="E2528" s="151">
        <v>44766</v>
      </c>
      <c r="F2528" s="81">
        <v>11839.8</v>
      </c>
      <c r="G2528" s="156">
        <f>Tabla18[[#This Row],[Importe]]-Tabla18[[#This Row],[Pagado]]</f>
        <v>0</v>
      </c>
      <c r="H2528" s="75" t="s">
        <v>10</v>
      </c>
    </row>
    <row r="2529" spans="1:8" x14ac:dyDescent="0.25">
      <c r="A2529" s="148">
        <v>44766</v>
      </c>
      <c r="B2529" s="149" t="s">
        <v>23890</v>
      </c>
      <c r="C2529" s="153" t="s">
        <v>2151</v>
      </c>
      <c r="D2529" s="154">
        <v>6605.6</v>
      </c>
      <c r="E2529" s="155">
        <v>44766</v>
      </c>
      <c r="F2529" s="154">
        <v>6605.6</v>
      </c>
      <c r="G2529" s="156">
        <f>Tabla18[[#This Row],[Importe]]-Tabla18[[#This Row],[Pagado]]</f>
        <v>0</v>
      </c>
      <c r="H2529" s="153" t="s">
        <v>10</v>
      </c>
    </row>
    <row r="2530" spans="1:8" x14ac:dyDescent="0.25">
      <c r="A2530" s="73">
        <v>44766</v>
      </c>
      <c r="B2530" s="74" t="s">
        <v>23891</v>
      </c>
      <c r="C2530" s="75" t="s">
        <v>49</v>
      </c>
      <c r="D2530" s="81">
        <v>5768.5</v>
      </c>
      <c r="E2530" s="151">
        <v>44766</v>
      </c>
      <c r="F2530" s="81">
        <v>5768.5</v>
      </c>
      <c r="G2530" s="156">
        <f>Tabla18[[#This Row],[Importe]]-Tabla18[[#This Row],[Pagado]]</f>
        <v>0</v>
      </c>
      <c r="H2530" s="75" t="s">
        <v>10</v>
      </c>
    </row>
    <row r="2531" spans="1:8" x14ac:dyDescent="0.25">
      <c r="A2531" s="148">
        <v>44766</v>
      </c>
      <c r="B2531" s="149" t="s">
        <v>23892</v>
      </c>
      <c r="C2531" s="153" t="s">
        <v>24</v>
      </c>
      <c r="D2531" s="154">
        <v>3128.9</v>
      </c>
      <c r="E2531" s="155">
        <v>44766</v>
      </c>
      <c r="F2531" s="154">
        <v>3128.9</v>
      </c>
      <c r="G2531" s="156">
        <f>Tabla18[[#This Row],[Importe]]-Tabla18[[#This Row],[Pagado]]</f>
        <v>0</v>
      </c>
      <c r="H2531" s="153" t="s">
        <v>10</v>
      </c>
    </row>
    <row r="2532" spans="1:8" x14ac:dyDescent="0.25">
      <c r="A2532" s="73">
        <v>44766</v>
      </c>
      <c r="B2532" s="74" t="s">
        <v>23893</v>
      </c>
      <c r="C2532" s="75" t="s">
        <v>216</v>
      </c>
      <c r="D2532" s="81">
        <v>3326.4</v>
      </c>
      <c r="E2532" s="151">
        <v>44766</v>
      </c>
      <c r="F2532" s="81">
        <v>3326.4</v>
      </c>
      <c r="G2532" s="156">
        <f>Tabla18[[#This Row],[Importe]]-Tabla18[[#This Row],[Pagado]]</f>
        <v>0</v>
      </c>
      <c r="H2532" s="75" t="s">
        <v>10</v>
      </c>
    </row>
    <row r="2533" spans="1:8" x14ac:dyDescent="0.25">
      <c r="A2533" s="148">
        <v>44766</v>
      </c>
      <c r="B2533" s="149" t="s">
        <v>23894</v>
      </c>
      <c r="C2533" s="153" t="s">
        <v>10678</v>
      </c>
      <c r="D2533" s="154">
        <v>1031.3</v>
      </c>
      <c r="E2533" s="155">
        <v>44766</v>
      </c>
      <c r="F2533" s="154">
        <v>1031.3</v>
      </c>
      <c r="G2533" s="156">
        <f>Tabla18[[#This Row],[Importe]]-Tabla18[[#This Row],[Pagado]]</f>
        <v>0</v>
      </c>
      <c r="H2533" s="153" t="s">
        <v>10</v>
      </c>
    </row>
    <row r="2534" spans="1:8" x14ac:dyDescent="0.25">
      <c r="A2534" s="73">
        <v>44766</v>
      </c>
      <c r="B2534" s="74" t="s">
        <v>23895</v>
      </c>
      <c r="C2534" s="75" t="s">
        <v>31</v>
      </c>
      <c r="D2534" s="81">
        <v>8550.2000000000007</v>
      </c>
      <c r="E2534" s="151">
        <v>44766</v>
      </c>
      <c r="F2534" s="81">
        <v>8550.2000000000007</v>
      </c>
      <c r="G2534" s="156">
        <f>Tabla18[[#This Row],[Importe]]-Tabla18[[#This Row],[Pagado]]</f>
        <v>0</v>
      </c>
      <c r="H2534" s="75" t="s">
        <v>10</v>
      </c>
    </row>
    <row r="2535" spans="1:8" x14ac:dyDescent="0.25">
      <c r="A2535" s="148">
        <v>44766</v>
      </c>
      <c r="B2535" s="149" t="s">
        <v>23896</v>
      </c>
      <c r="C2535" s="153" t="s">
        <v>45</v>
      </c>
      <c r="D2535" s="154">
        <v>7160.9</v>
      </c>
      <c r="E2535" s="155">
        <v>44766</v>
      </c>
      <c r="F2535" s="154">
        <v>7160.9</v>
      </c>
      <c r="G2535" s="156">
        <f>Tabla18[[#This Row],[Importe]]-Tabla18[[#This Row],[Pagado]]</f>
        <v>0</v>
      </c>
      <c r="H2535" s="153" t="s">
        <v>10</v>
      </c>
    </row>
    <row r="2536" spans="1:8" x14ac:dyDescent="0.25">
      <c r="A2536" s="73">
        <v>44766</v>
      </c>
      <c r="B2536" s="74" t="s">
        <v>23897</v>
      </c>
      <c r="C2536" s="75" t="s">
        <v>1003</v>
      </c>
      <c r="D2536" s="81">
        <v>10946</v>
      </c>
      <c r="E2536" s="151">
        <v>44767</v>
      </c>
      <c r="F2536" s="81">
        <v>10946</v>
      </c>
      <c r="G2536" s="156">
        <f>Tabla18[[#This Row],[Importe]]-Tabla18[[#This Row],[Pagado]]</f>
        <v>0</v>
      </c>
      <c r="H2536" s="75" t="s">
        <v>10</v>
      </c>
    </row>
    <row r="2537" spans="1:8" x14ac:dyDescent="0.25">
      <c r="A2537" s="148">
        <v>44766</v>
      </c>
      <c r="B2537" s="149" t="s">
        <v>23898</v>
      </c>
      <c r="C2537" s="153" t="s">
        <v>654</v>
      </c>
      <c r="D2537" s="154">
        <v>10848.2</v>
      </c>
      <c r="E2537" s="155">
        <v>44771</v>
      </c>
      <c r="F2537" s="154">
        <v>10848.2</v>
      </c>
      <c r="G2537" s="156">
        <f>Tabla18[[#This Row],[Importe]]-Tabla18[[#This Row],[Pagado]]</f>
        <v>0</v>
      </c>
      <c r="H2537" s="153" t="s">
        <v>10</v>
      </c>
    </row>
    <row r="2538" spans="1:8" x14ac:dyDescent="0.25">
      <c r="A2538" s="73">
        <v>44766</v>
      </c>
      <c r="B2538" s="74" t="s">
        <v>23899</v>
      </c>
      <c r="C2538" s="75" t="s">
        <v>31</v>
      </c>
      <c r="D2538" s="81">
        <v>3979</v>
      </c>
      <c r="E2538" s="151">
        <v>44766</v>
      </c>
      <c r="F2538" s="81">
        <v>3979</v>
      </c>
      <c r="G2538" s="156">
        <f>Tabla18[[#This Row],[Importe]]-Tabla18[[#This Row],[Pagado]]</f>
        <v>0</v>
      </c>
      <c r="H2538" s="75" t="s">
        <v>10</v>
      </c>
    </row>
    <row r="2539" spans="1:8" x14ac:dyDescent="0.25">
      <c r="A2539" s="148">
        <v>44766</v>
      </c>
      <c r="B2539" s="149" t="s">
        <v>23900</v>
      </c>
      <c r="C2539" s="153" t="s">
        <v>31</v>
      </c>
      <c r="D2539" s="154">
        <v>2276.4</v>
      </c>
      <c r="E2539" s="155">
        <v>44766</v>
      </c>
      <c r="F2539" s="154">
        <v>2276.4</v>
      </c>
      <c r="G2539" s="156">
        <f>Tabla18[[#This Row],[Importe]]-Tabla18[[#This Row],[Pagado]]</f>
        <v>0</v>
      </c>
      <c r="H2539" s="153" t="s">
        <v>10</v>
      </c>
    </row>
    <row r="2540" spans="1:8" x14ac:dyDescent="0.25">
      <c r="A2540" s="73">
        <v>44766</v>
      </c>
      <c r="B2540" s="74" t="s">
        <v>23901</v>
      </c>
      <c r="C2540" s="75" t="s">
        <v>15039</v>
      </c>
      <c r="D2540" s="81">
        <v>4076.4</v>
      </c>
      <c r="E2540" s="151">
        <v>44766</v>
      </c>
      <c r="F2540" s="81">
        <v>4076.4</v>
      </c>
      <c r="G2540" s="156">
        <f>Tabla18[[#This Row],[Importe]]-Tabla18[[#This Row],[Pagado]]</f>
        <v>0</v>
      </c>
      <c r="H2540" s="75" t="s">
        <v>10</v>
      </c>
    </row>
    <row r="2541" spans="1:8" x14ac:dyDescent="0.25">
      <c r="A2541" s="148">
        <v>44766</v>
      </c>
      <c r="B2541" s="149" t="s">
        <v>23902</v>
      </c>
      <c r="C2541" s="153" t="s">
        <v>214</v>
      </c>
      <c r="D2541" s="154">
        <v>1612.8</v>
      </c>
      <c r="E2541" s="155">
        <v>44766</v>
      </c>
      <c r="F2541" s="154">
        <v>1612.8</v>
      </c>
      <c r="G2541" s="156">
        <f>Tabla18[[#This Row],[Importe]]-Tabla18[[#This Row],[Pagado]]</f>
        <v>0</v>
      </c>
      <c r="H2541" s="153" t="s">
        <v>10</v>
      </c>
    </row>
    <row r="2542" spans="1:8" x14ac:dyDescent="0.25">
      <c r="A2542" s="73">
        <v>44766</v>
      </c>
      <c r="B2542" s="74" t="s">
        <v>23903</v>
      </c>
      <c r="C2542" s="75" t="s">
        <v>69</v>
      </c>
      <c r="D2542" s="81">
        <v>3440</v>
      </c>
      <c r="E2542" s="151">
        <v>44766</v>
      </c>
      <c r="F2542" s="81">
        <v>3440</v>
      </c>
      <c r="G2542" s="156">
        <f>Tabla18[[#This Row],[Importe]]-Tabla18[[#This Row],[Pagado]]</f>
        <v>0</v>
      </c>
      <c r="H2542" s="75" t="s">
        <v>10</v>
      </c>
    </row>
    <row r="2543" spans="1:8" x14ac:dyDescent="0.25">
      <c r="A2543" s="148">
        <v>44766</v>
      </c>
      <c r="B2543" s="149" t="s">
        <v>23904</v>
      </c>
      <c r="C2543" s="153" t="s">
        <v>58</v>
      </c>
      <c r="D2543" s="154">
        <v>3820.8</v>
      </c>
      <c r="E2543" s="155">
        <v>44766</v>
      </c>
      <c r="F2543" s="154">
        <v>3820.8</v>
      </c>
      <c r="G2543" s="156">
        <f>Tabla18[[#This Row],[Importe]]-Tabla18[[#This Row],[Pagado]]</f>
        <v>0</v>
      </c>
      <c r="H2543" s="153" t="s">
        <v>10</v>
      </c>
    </row>
    <row r="2544" spans="1:8" x14ac:dyDescent="0.25">
      <c r="A2544" s="73">
        <v>44766</v>
      </c>
      <c r="B2544" s="74" t="s">
        <v>23905</v>
      </c>
      <c r="C2544" s="75" t="s">
        <v>67</v>
      </c>
      <c r="D2544" s="81">
        <v>2749.8</v>
      </c>
      <c r="E2544" s="151">
        <v>44766</v>
      </c>
      <c r="F2544" s="81">
        <v>2749.8</v>
      </c>
      <c r="G2544" s="156">
        <f>Tabla18[[#This Row],[Importe]]-Tabla18[[#This Row],[Pagado]]</f>
        <v>0</v>
      </c>
      <c r="H2544" s="75" t="s">
        <v>10</v>
      </c>
    </row>
    <row r="2545" spans="1:8" x14ac:dyDescent="0.25">
      <c r="A2545" s="148">
        <v>44766</v>
      </c>
      <c r="B2545" s="149" t="s">
        <v>23906</v>
      </c>
      <c r="C2545" s="153" t="s">
        <v>16</v>
      </c>
      <c r="D2545" s="154">
        <v>3704.3</v>
      </c>
      <c r="E2545" s="155">
        <v>44766</v>
      </c>
      <c r="F2545" s="154">
        <v>3704.3</v>
      </c>
      <c r="G2545" s="156">
        <f>Tabla18[[#This Row],[Importe]]-Tabla18[[#This Row],[Pagado]]</f>
        <v>0</v>
      </c>
      <c r="H2545" s="153" t="s">
        <v>10</v>
      </c>
    </row>
    <row r="2546" spans="1:8" x14ac:dyDescent="0.25">
      <c r="A2546" s="73">
        <v>44766</v>
      </c>
      <c r="B2546" s="74" t="s">
        <v>23907</v>
      </c>
      <c r="C2546" s="75" t="s">
        <v>244</v>
      </c>
      <c r="D2546" s="81">
        <v>671.5</v>
      </c>
      <c r="E2546" s="151">
        <v>44766</v>
      </c>
      <c r="F2546" s="81">
        <v>671.5</v>
      </c>
      <c r="G2546" s="156">
        <f>Tabla18[[#This Row],[Importe]]-Tabla18[[#This Row],[Pagado]]</f>
        <v>0</v>
      </c>
      <c r="H2546" s="75" t="s">
        <v>10</v>
      </c>
    </row>
    <row r="2547" spans="1:8" x14ac:dyDescent="0.25">
      <c r="A2547" s="148">
        <v>44766</v>
      </c>
      <c r="B2547" s="149" t="s">
        <v>23908</v>
      </c>
      <c r="C2547" s="153" t="s">
        <v>14716</v>
      </c>
      <c r="D2547" s="154">
        <v>4496.5</v>
      </c>
      <c r="E2547" s="155">
        <v>44766</v>
      </c>
      <c r="F2547" s="154">
        <v>4496.5</v>
      </c>
      <c r="G2547" s="156">
        <f>Tabla18[[#This Row],[Importe]]-Tabla18[[#This Row],[Pagado]]</f>
        <v>0</v>
      </c>
      <c r="H2547" s="153" t="s">
        <v>10</v>
      </c>
    </row>
    <row r="2548" spans="1:8" x14ac:dyDescent="0.25">
      <c r="A2548" s="73">
        <v>44766</v>
      </c>
      <c r="B2548" s="74" t="s">
        <v>23909</v>
      </c>
      <c r="C2548" s="75" t="s">
        <v>296</v>
      </c>
      <c r="D2548" s="81">
        <v>4131</v>
      </c>
      <c r="E2548" s="151">
        <v>44766</v>
      </c>
      <c r="F2548" s="81">
        <v>4131</v>
      </c>
      <c r="G2548" s="156">
        <f>Tabla18[[#This Row],[Importe]]-Tabla18[[#This Row],[Pagado]]</f>
        <v>0</v>
      </c>
      <c r="H2548" s="75" t="s">
        <v>10</v>
      </c>
    </row>
    <row r="2549" spans="1:8" x14ac:dyDescent="0.25">
      <c r="A2549" s="148">
        <v>44766</v>
      </c>
      <c r="B2549" s="149" t="s">
        <v>23910</v>
      </c>
      <c r="C2549" s="153" t="s">
        <v>56</v>
      </c>
      <c r="D2549" s="154">
        <v>5764.5</v>
      </c>
      <c r="E2549" s="155">
        <v>44766</v>
      </c>
      <c r="F2549" s="154">
        <v>5764.5</v>
      </c>
      <c r="G2549" s="156">
        <f>Tabla18[[#This Row],[Importe]]-Tabla18[[#This Row],[Pagado]]</f>
        <v>0</v>
      </c>
      <c r="H2549" s="153" t="s">
        <v>10</v>
      </c>
    </row>
    <row r="2550" spans="1:8" x14ac:dyDescent="0.25">
      <c r="A2550" s="73">
        <v>44766</v>
      </c>
      <c r="B2550" s="74" t="s">
        <v>23911</v>
      </c>
      <c r="C2550" s="75" t="s">
        <v>226</v>
      </c>
      <c r="D2550" s="81">
        <v>26073.599999999999</v>
      </c>
      <c r="E2550" s="151">
        <v>44766</v>
      </c>
      <c r="F2550" s="81">
        <v>26073.599999999999</v>
      </c>
      <c r="G2550" s="156">
        <f>Tabla18[[#This Row],[Importe]]-Tabla18[[#This Row],[Pagado]]</f>
        <v>0</v>
      </c>
      <c r="H2550" s="75" t="s">
        <v>10</v>
      </c>
    </row>
    <row r="2551" spans="1:8" x14ac:dyDescent="0.25">
      <c r="A2551" s="148">
        <v>44766</v>
      </c>
      <c r="B2551" s="149" t="s">
        <v>23912</v>
      </c>
      <c r="C2551" s="153" t="s">
        <v>275</v>
      </c>
      <c r="D2551" s="154">
        <v>58100.2</v>
      </c>
      <c r="E2551" s="155">
        <v>44786</v>
      </c>
      <c r="F2551" s="154">
        <v>58100.2</v>
      </c>
      <c r="G2551" s="156">
        <f>Tabla18[[#This Row],[Importe]]-Tabla18[[#This Row],[Pagado]]</f>
        <v>0</v>
      </c>
      <c r="H2551" s="153" t="s">
        <v>10</v>
      </c>
    </row>
    <row r="2552" spans="1:8" x14ac:dyDescent="0.25">
      <c r="A2552" s="73">
        <v>44766</v>
      </c>
      <c r="B2552" s="74" t="s">
        <v>23913</v>
      </c>
      <c r="C2552" s="75" t="s">
        <v>67</v>
      </c>
      <c r="D2552" s="81">
        <v>1705.6</v>
      </c>
      <c r="E2552" s="151">
        <v>44766</v>
      </c>
      <c r="F2552" s="81">
        <v>1705.6</v>
      </c>
      <c r="G2552" s="156">
        <f>Tabla18[[#This Row],[Importe]]-Tabla18[[#This Row],[Pagado]]</f>
        <v>0</v>
      </c>
      <c r="H2552" s="75" t="s">
        <v>10</v>
      </c>
    </row>
    <row r="2553" spans="1:8" x14ac:dyDescent="0.25">
      <c r="A2553" s="148">
        <v>44766</v>
      </c>
      <c r="B2553" s="149" t="s">
        <v>23914</v>
      </c>
      <c r="C2553" s="153" t="s">
        <v>450</v>
      </c>
      <c r="D2553" s="154">
        <v>8200</v>
      </c>
      <c r="E2553" s="155">
        <v>44766</v>
      </c>
      <c r="F2553" s="154">
        <v>8200</v>
      </c>
      <c r="G2553" s="156">
        <f>Tabla18[[#This Row],[Importe]]-Tabla18[[#This Row],[Pagado]]</f>
        <v>0</v>
      </c>
      <c r="H2553" s="153" t="s">
        <v>10</v>
      </c>
    </row>
    <row r="2554" spans="1:8" x14ac:dyDescent="0.25">
      <c r="A2554" s="73">
        <v>44766</v>
      </c>
      <c r="B2554" s="74" t="s">
        <v>23915</v>
      </c>
      <c r="C2554" s="75" t="s">
        <v>12</v>
      </c>
      <c r="D2554" s="81">
        <v>811.8</v>
      </c>
      <c r="E2554" s="151">
        <v>44767</v>
      </c>
      <c r="F2554" s="81">
        <v>811.8</v>
      </c>
      <c r="G2554" s="156">
        <f>Tabla18[[#This Row],[Importe]]-Tabla18[[#This Row],[Pagado]]</f>
        <v>0</v>
      </c>
      <c r="H2554" s="75" t="s">
        <v>10</v>
      </c>
    </row>
    <row r="2555" spans="1:8" x14ac:dyDescent="0.25">
      <c r="A2555" s="148">
        <v>44767</v>
      </c>
      <c r="B2555" s="149" t="s">
        <v>23916</v>
      </c>
      <c r="C2555" s="153" t="s">
        <v>887</v>
      </c>
      <c r="D2555" s="154">
        <v>17466.3</v>
      </c>
      <c r="E2555" s="155">
        <v>44767</v>
      </c>
      <c r="F2555" s="154">
        <v>17466.3</v>
      </c>
      <c r="G2555" s="156">
        <f>Tabla18[[#This Row],[Importe]]-Tabla18[[#This Row],[Pagado]]</f>
        <v>0</v>
      </c>
      <c r="H2555" s="153" t="s">
        <v>10</v>
      </c>
    </row>
    <row r="2556" spans="1:8" x14ac:dyDescent="0.25">
      <c r="A2556" s="73">
        <v>44767</v>
      </c>
      <c r="B2556" s="74" t="s">
        <v>23917</v>
      </c>
      <c r="C2556" s="75" t="s">
        <v>16640</v>
      </c>
      <c r="D2556" s="81">
        <v>0</v>
      </c>
      <c r="E2556" s="157" t="s">
        <v>189</v>
      </c>
      <c r="F2556" s="81">
        <v>0</v>
      </c>
      <c r="G2556" s="156">
        <f>Tabla18[[#This Row],[Importe]]-Tabla18[[#This Row],[Pagado]]</f>
        <v>0</v>
      </c>
      <c r="H2556" s="161" t="s">
        <v>23918</v>
      </c>
    </row>
    <row r="2557" spans="1:8" x14ac:dyDescent="0.25">
      <c r="A2557" s="148">
        <v>44767</v>
      </c>
      <c r="B2557" s="149" t="s">
        <v>23919</v>
      </c>
      <c r="C2557" s="153" t="s">
        <v>16640</v>
      </c>
      <c r="D2557" s="154">
        <v>0</v>
      </c>
      <c r="E2557" s="158" t="s">
        <v>189</v>
      </c>
      <c r="F2557" s="154">
        <v>0</v>
      </c>
      <c r="G2557" s="156">
        <f>Tabla18[[#This Row],[Importe]]-Tabla18[[#This Row],[Pagado]]</f>
        <v>0</v>
      </c>
      <c r="H2557" s="159" t="s">
        <v>23918</v>
      </c>
    </row>
    <row r="2558" spans="1:8" ht="31.5" x14ac:dyDescent="0.25">
      <c r="A2558" s="73">
        <v>44767</v>
      </c>
      <c r="B2558" s="74" t="s">
        <v>23920</v>
      </c>
      <c r="C2558" s="75" t="s">
        <v>475</v>
      </c>
      <c r="D2558" s="81">
        <v>165831.79999999999</v>
      </c>
      <c r="E2558" s="147" t="s">
        <v>23921</v>
      </c>
      <c r="F2558" s="81">
        <f>109000+56831.8</f>
        <v>165831.79999999999</v>
      </c>
      <c r="G2558" s="156">
        <f>Tabla18[[#This Row],[Importe]]-Tabla18[[#This Row],[Pagado]]</f>
        <v>0</v>
      </c>
      <c r="H2558" s="75" t="s">
        <v>10</v>
      </c>
    </row>
    <row r="2559" spans="1:8" x14ac:dyDescent="0.25">
      <c r="A2559" s="148">
        <v>44767</v>
      </c>
      <c r="B2559" s="149" t="s">
        <v>23922</v>
      </c>
      <c r="C2559" s="153" t="s">
        <v>83</v>
      </c>
      <c r="D2559" s="154">
        <v>12552.6</v>
      </c>
      <c r="E2559" s="155">
        <v>44767</v>
      </c>
      <c r="F2559" s="154">
        <v>12552.6</v>
      </c>
      <c r="G2559" s="156">
        <f>Tabla18[[#This Row],[Importe]]-Tabla18[[#This Row],[Pagado]]</f>
        <v>0</v>
      </c>
      <c r="H2559" s="153" t="s">
        <v>10</v>
      </c>
    </row>
    <row r="2560" spans="1:8" x14ac:dyDescent="0.25">
      <c r="A2560" s="73">
        <v>44767</v>
      </c>
      <c r="B2560" s="74" t="s">
        <v>23923</v>
      </c>
      <c r="C2560" s="75" t="s">
        <v>109</v>
      </c>
      <c r="D2560" s="81">
        <v>5683.2</v>
      </c>
      <c r="E2560" s="151">
        <v>44768</v>
      </c>
      <c r="F2560" s="81">
        <v>5683.2</v>
      </c>
      <c r="G2560" s="156">
        <f>Tabla18[[#This Row],[Importe]]-Tabla18[[#This Row],[Pagado]]</f>
        <v>0</v>
      </c>
      <c r="H2560" s="75" t="s">
        <v>10</v>
      </c>
    </row>
    <row r="2561" spans="1:8" x14ac:dyDescent="0.25">
      <c r="A2561" s="148">
        <v>44767</v>
      </c>
      <c r="B2561" s="149" t="s">
        <v>23924</v>
      </c>
      <c r="C2561" s="153" t="s">
        <v>97</v>
      </c>
      <c r="D2561" s="154">
        <v>10949.4</v>
      </c>
      <c r="E2561" s="155">
        <v>44769</v>
      </c>
      <c r="F2561" s="154">
        <v>10949.4</v>
      </c>
      <c r="G2561" s="156">
        <f>Tabla18[[#This Row],[Importe]]-Tabla18[[#This Row],[Pagado]]</f>
        <v>0</v>
      </c>
      <c r="H2561" s="153" t="s">
        <v>10</v>
      </c>
    </row>
    <row r="2562" spans="1:8" x14ac:dyDescent="0.25">
      <c r="A2562" s="73">
        <v>44767</v>
      </c>
      <c r="B2562" s="74" t="s">
        <v>23925</v>
      </c>
      <c r="C2562" s="75" t="s">
        <v>114</v>
      </c>
      <c r="D2562" s="81">
        <v>10726.4</v>
      </c>
      <c r="E2562" s="151">
        <v>44768</v>
      </c>
      <c r="F2562" s="81">
        <v>10726.4</v>
      </c>
      <c r="G2562" s="156">
        <f>Tabla18[[#This Row],[Importe]]-Tabla18[[#This Row],[Pagado]]</f>
        <v>0</v>
      </c>
      <c r="H2562" s="75" t="s">
        <v>10</v>
      </c>
    </row>
    <row r="2563" spans="1:8" x14ac:dyDescent="0.25">
      <c r="A2563" s="148">
        <v>44767</v>
      </c>
      <c r="B2563" s="149" t="s">
        <v>23926</v>
      </c>
      <c r="C2563" s="153" t="s">
        <v>60</v>
      </c>
      <c r="D2563" s="154">
        <v>5022.6000000000004</v>
      </c>
      <c r="E2563" s="155">
        <v>44772</v>
      </c>
      <c r="F2563" s="154">
        <v>5022.6000000000004</v>
      </c>
      <c r="G2563" s="156">
        <f>Tabla18[[#This Row],[Importe]]-Tabla18[[#This Row],[Pagado]]</f>
        <v>0</v>
      </c>
      <c r="H2563" s="153" t="s">
        <v>10</v>
      </c>
    </row>
    <row r="2564" spans="1:8" x14ac:dyDescent="0.25">
      <c r="A2564" s="73">
        <v>44767</v>
      </c>
      <c r="B2564" s="74" t="s">
        <v>23927</v>
      </c>
      <c r="C2564" s="75" t="s">
        <v>111</v>
      </c>
      <c r="D2564" s="81">
        <v>5766.4</v>
      </c>
      <c r="E2564" s="151">
        <v>44768</v>
      </c>
      <c r="F2564" s="81">
        <v>5766.4</v>
      </c>
      <c r="G2564" s="156">
        <f>Tabla18[[#This Row],[Importe]]-Tabla18[[#This Row],[Pagado]]</f>
        <v>0</v>
      </c>
      <c r="H2564" s="75" t="s">
        <v>10</v>
      </c>
    </row>
    <row r="2565" spans="1:8" x14ac:dyDescent="0.25">
      <c r="A2565" s="148">
        <v>44767</v>
      </c>
      <c r="B2565" s="149" t="s">
        <v>23928</v>
      </c>
      <c r="C2565" s="153" t="s">
        <v>64</v>
      </c>
      <c r="D2565" s="154">
        <v>5471.4</v>
      </c>
      <c r="E2565" s="155">
        <v>44768</v>
      </c>
      <c r="F2565" s="154">
        <v>5471.4</v>
      </c>
      <c r="G2565" s="156">
        <f>Tabla18[[#This Row],[Importe]]-Tabla18[[#This Row],[Pagado]]</f>
        <v>0</v>
      </c>
      <c r="H2565" s="153" t="s">
        <v>10</v>
      </c>
    </row>
    <row r="2566" spans="1:8" x14ac:dyDescent="0.25">
      <c r="A2566" s="73">
        <v>44767</v>
      </c>
      <c r="B2566" s="74" t="s">
        <v>23929</v>
      </c>
      <c r="C2566" s="75" t="s">
        <v>99</v>
      </c>
      <c r="D2566" s="81">
        <v>8448</v>
      </c>
      <c r="E2566" s="151">
        <v>44774</v>
      </c>
      <c r="F2566" s="81">
        <v>8448</v>
      </c>
      <c r="G2566" s="156">
        <f>Tabla18[[#This Row],[Importe]]-Tabla18[[#This Row],[Pagado]]</f>
        <v>0</v>
      </c>
      <c r="H2566" s="75" t="s">
        <v>10</v>
      </c>
    </row>
    <row r="2567" spans="1:8" x14ac:dyDescent="0.25">
      <c r="A2567" s="148">
        <v>44767</v>
      </c>
      <c r="B2567" s="149" t="s">
        <v>23930</v>
      </c>
      <c r="C2567" s="153" t="s">
        <v>87</v>
      </c>
      <c r="D2567" s="154">
        <v>2276.4</v>
      </c>
      <c r="E2567" s="155">
        <v>44767</v>
      </c>
      <c r="F2567" s="154">
        <v>2276.4</v>
      </c>
      <c r="G2567" s="156">
        <f>Tabla18[[#This Row],[Importe]]-Tabla18[[#This Row],[Pagado]]</f>
        <v>0</v>
      </c>
      <c r="H2567" s="153" t="s">
        <v>10</v>
      </c>
    </row>
    <row r="2568" spans="1:8" x14ac:dyDescent="0.25">
      <c r="A2568" s="73">
        <v>44767</v>
      </c>
      <c r="B2568" s="74" t="s">
        <v>23931</v>
      </c>
      <c r="C2568" s="75" t="s">
        <v>87</v>
      </c>
      <c r="D2568" s="81">
        <v>200</v>
      </c>
      <c r="E2568" s="151">
        <v>44767</v>
      </c>
      <c r="F2568" s="81">
        <v>200</v>
      </c>
      <c r="G2568" s="156">
        <f>Tabla18[[#This Row],[Importe]]-Tabla18[[#This Row],[Pagado]]</f>
        <v>0</v>
      </c>
      <c r="H2568" s="75" t="s">
        <v>10</v>
      </c>
    </row>
    <row r="2569" spans="1:8" x14ac:dyDescent="0.25">
      <c r="A2569" s="148">
        <v>44767</v>
      </c>
      <c r="B2569" s="149" t="s">
        <v>23932</v>
      </c>
      <c r="C2569" s="153" t="s">
        <v>75</v>
      </c>
      <c r="D2569" s="154">
        <v>9718.7999999999993</v>
      </c>
      <c r="E2569" s="155">
        <v>44767</v>
      </c>
      <c r="F2569" s="154">
        <v>9718.7999999999993</v>
      </c>
      <c r="G2569" s="156">
        <f>Tabla18[[#This Row],[Importe]]-Tabla18[[#This Row],[Pagado]]</f>
        <v>0</v>
      </c>
      <c r="H2569" s="153" t="s">
        <v>10</v>
      </c>
    </row>
    <row r="2570" spans="1:8" x14ac:dyDescent="0.25">
      <c r="A2570" s="73">
        <v>44767</v>
      </c>
      <c r="B2570" s="74" t="s">
        <v>23933</v>
      </c>
      <c r="C2570" s="75" t="s">
        <v>93</v>
      </c>
      <c r="D2570" s="81">
        <v>5537.6</v>
      </c>
      <c r="E2570" s="151">
        <v>44769</v>
      </c>
      <c r="F2570" s="81">
        <v>5537.6</v>
      </c>
      <c r="G2570" s="156">
        <f>Tabla18[[#This Row],[Importe]]-Tabla18[[#This Row],[Pagado]]</f>
        <v>0</v>
      </c>
      <c r="H2570" s="75" t="s">
        <v>10</v>
      </c>
    </row>
    <row r="2571" spans="1:8" x14ac:dyDescent="0.25">
      <c r="A2571" s="148">
        <v>44767</v>
      </c>
      <c r="B2571" s="149" t="s">
        <v>23934</v>
      </c>
      <c r="C2571" s="153" t="s">
        <v>473</v>
      </c>
      <c r="D2571" s="154">
        <v>4197.7</v>
      </c>
      <c r="E2571" s="155">
        <v>44767</v>
      </c>
      <c r="F2571" s="154">
        <v>4197.7</v>
      </c>
      <c r="G2571" s="156">
        <f>Tabla18[[#This Row],[Importe]]-Tabla18[[#This Row],[Pagado]]</f>
        <v>0</v>
      </c>
      <c r="H2571" s="153" t="s">
        <v>10</v>
      </c>
    </row>
    <row r="2572" spans="1:8" x14ac:dyDescent="0.25">
      <c r="A2572" s="73">
        <v>44767</v>
      </c>
      <c r="B2572" s="74" t="s">
        <v>23935</v>
      </c>
      <c r="C2572" s="75" t="s">
        <v>105</v>
      </c>
      <c r="D2572" s="81">
        <v>7737.6</v>
      </c>
      <c r="E2572" s="151">
        <v>44768</v>
      </c>
      <c r="F2572" s="81">
        <v>7737.6</v>
      </c>
      <c r="G2572" s="156">
        <f>Tabla18[[#This Row],[Importe]]-Tabla18[[#This Row],[Pagado]]</f>
        <v>0</v>
      </c>
      <c r="H2572" s="75" t="s">
        <v>10</v>
      </c>
    </row>
    <row r="2573" spans="1:8" x14ac:dyDescent="0.25">
      <c r="A2573" s="148">
        <v>44767</v>
      </c>
      <c r="B2573" s="149" t="s">
        <v>23936</v>
      </c>
      <c r="C2573" s="153" t="s">
        <v>348</v>
      </c>
      <c r="D2573" s="154">
        <v>3776</v>
      </c>
      <c r="E2573" s="155">
        <v>44768</v>
      </c>
      <c r="F2573" s="154">
        <v>3776</v>
      </c>
      <c r="G2573" s="156">
        <f>Tabla18[[#This Row],[Importe]]-Tabla18[[#This Row],[Pagado]]</f>
        <v>0</v>
      </c>
      <c r="H2573" s="153" t="s">
        <v>10</v>
      </c>
    </row>
    <row r="2574" spans="1:8" x14ac:dyDescent="0.25">
      <c r="A2574" s="73">
        <v>44767</v>
      </c>
      <c r="B2574" s="74" t="s">
        <v>23937</v>
      </c>
      <c r="C2574" s="75" t="s">
        <v>2151</v>
      </c>
      <c r="D2574" s="81">
        <v>14808.1</v>
      </c>
      <c r="E2574" s="151">
        <v>44767</v>
      </c>
      <c r="F2574" s="81">
        <v>14808.1</v>
      </c>
      <c r="G2574" s="156">
        <f>Tabla18[[#This Row],[Importe]]-Tabla18[[#This Row],[Pagado]]</f>
        <v>0</v>
      </c>
      <c r="H2574" s="75" t="s">
        <v>10</v>
      </c>
    </row>
    <row r="2575" spans="1:8" x14ac:dyDescent="0.25">
      <c r="A2575" s="148">
        <v>44767</v>
      </c>
      <c r="B2575" s="149" t="s">
        <v>23938</v>
      </c>
      <c r="C2575" s="153" t="s">
        <v>481</v>
      </c>
      <c r="D2575" s="154">
        <v>167.2</v>
      </c>
      <c r="E2575" s="155">
        <v>44767</v>
      </c>
      <c r="F2575" s="154">
        <v>167.2</v>
      </c>
      <c r="G2575" s="156">
        <f>Tabla18[[#This Row],[Importe]]-Tabla18[[#This Row],[Pagado]]</f>
        <v>0</v>
      </c>
      <c r="H2575" s="153" t="s">
        <v>10</v>
      </c>
    </row>
    <row r="2576" spans="1:8" x14ac:dyDescent="0.25">
      <c r="A2576" s="73">
        <v>44767</v>
      </c>
      <c r="B2576" s="74" t="s">
        <v>23939</v>
      </c>
      <c r="C2576" s="75" t="s">
        <v>18</v>
      </c>
      <c r="D2576" s="81">
        <v>2028</v>
      </c>
      <c r="E2576" s="151">
        <v>44767</v>
      </c>
      <c r="F2576" s="81">
        <v>2028</v>
      </c>
      <c r="G2576" s="156">
        <f>Tabla18[[#This Row],[Importe]]-Tabla18[[#This Row],[Pagado]]</f>
        <v>0</v>
      </c>
      <c r="H2576" s="75" t="s">
        <v>10</v>
      </c>
    </row>
    <row r="2577" spans="1:8" x14ac:dyDescent="0.25">
      <c r="A2577" s="148">
        <v>44767</v>
      </c>
      <c r="B2577" s="149" t="s">
        <v>23940</v>
      </c>
      <c r="C2577" s="153" t="s">
        <v>89</v>
      </c>
      <c r="D2577" s="154">
        <v>7227.2</v>
      </c>
      <c r="E2577" s="155">
        <v>44768</v>
      </c>
      <c r="F2577" s="154">
        <v>7227.2</v>
      </c>
      <c r="G2577" s="156">
        <f>Tabla18[[#This Row],[Importe]]-Tabla18[[#This Row],[Pagado]]</f>
        <v>0</v>
      </c>
      <c r="H2577" s="153" t="s">
        <v>10</v>
      </c>
    </row>
    <row r="2578" spans="1:8" x14ac:dyDescent="0.25">
      <c r="A2578" s="73">
        <v>44767</v>
      </c>
      <c r="B2578" s="74" t="s">
        <v>23941</v>
      </c>
      <c r="C2578" s="75" t="s">
        <v>357</v>
      </c>
      <c r="D2578" s="81">
        <v>1004</v>
      </c>
      <c r="E2578" s="151">
        <v>44767</v>
      </c>
      <c r="F2578" s="81">
        <v>1004</v>
      </c>
      <c r="G2578" s="156">
        <f>Tabla18[[#This Row],[Importe]]-Tabla18[[#This Row],[Pagado]]</f>
        <v>0</v>
      </c>
      <c r="H2578" s="75" t="s">
        <v>10</v>
      </c>
    </row>
    <row r="2579" spans="1:8" x14ac:dyDescent="0.25">
      <c r="A2579" s="148">
        <v>44767</v>
      </c>
      <c r="B2579" s="149" t="s">
        <v>23942</v>
      </c>
      <c r="C2579" s="153" t="s">
        <v>129</v>
      </c>
      <c r="D2579" s="154">
        <v>4953</v>
      </c>
      <c r="E2579" s="155">
        <v>44767</v>
      </c>
      <c r="F2579" s="154">
        <v>4953</v>
      </c>
      <c r="G2579" s="156">
        <f>Tabla18[[#This Row],[Importe]]-Tabla18[[#This Row],[Pagado]]</f>
        <v>0</v>
      </c>
      <c r="H2579" s="153" t="s">
        <v>10</v>
      </c>
    </row>
    <row r="2580" spans="1:8" x14ac:dyDescent="0.25">
      <c r="A2580" s="73">
        <v>44767</v>
      </c>
      <c r="B2580" s="74" t="s">
        <v>23943</v>
      </c>
      <c r="C2580" s="75" t="s">
        <v>140</v>
      </c>
      <c r="D2580" s="81">
        <v>2565.5</v>
      </c>
      <c r="E2580" s="151">
        <v>44767</v>
      </c>
      <c r="F2580" s="81">
        <v>2565.5</v>
      </c>
      <c r="G2580" s="156">
        <f>Tabla18[[#This Row],[Importe]]-Tabla18[[#This Row],[Pagado]]</f>
        <v>0</v>
      </c>
      <c r="H2580" s="75" t="s">
        <v>10</v>
      </c>
    </row>
    <row r="2581" spans="1:8" x14ac:dyDescent="0.25">
      <c r="A2581" s="148">
        <v>44767</v>
      </c>
      <c r="B2581" s="149" t="s">
        <v>23944</v>
      </c>
      <c r="C2581" s="153" t="s">
        <v>1187</v>
      </c>
      <c r="D2581" s="154">
        <v>3696.3</v>
      </c>
      <c r="E2581" s="155">
        <v>44767</v>
      </c>
      <c r="F2581" s="154">
        <v>3696.3</v>
      </c>
      <c r="G2581" s="156">
        <f>Tabla18[[#This Row],[Importe]]-Tabla18[[#This Row],[Pagado]]</f>
        <v>0</v>
      </c>
      <c r="H2581" s="153" t="s">
        <v>10</v>
      </c>
    </row>
    <row r="2582" spans="1:8" x14ac:dyDescent="0.25">
      <c r="A2582" s="73">
        <v>44767</v>
      </c>
      <c r="B2582" s="74" t="s">
        <v>23945</v>
      </c>
      <c r="C2582" s="75" t="s">
        <v>127</v>
      </c>
      <c r="D2582" s="81">
        <v>2345.5</v>
      </c>
      <c r="E2582" s="151">
        <v>44767</v>
      </c>
      <c r="F2582" s="81">
        <v>2345.5</v>
      </c>
      <c r="G2582" s="156">
        <f>Tabla18[[#This Row],[Importe]]-Tabla18[[#This Row],[Pagado]]</f>
        <v>0</v>
      </c>
      <c r="H2582" s="75" t="s">
        <v>10</v>
      </c>
    </row>
    <row r="2583" spans="1:8" x14ac:dyDescent="0.25">
      <c r="A2583" s="148">
        <v>44767</v>
      </c>
      <c r="B2583" s="149" t="s">
        <v>23946</v>
      </c>
      <c r="C2583" s="153" t="s">
        <v>339</v>
      </c>
      <c r="D2583" s="154">
        <v>722.5</v>
      </c>
      <c r="E2583" s="155">
        <v>44767</v>
      </c>
      <c r="F2583" s="154">
        <v>722.5</v>
      </c>
      <c r="G2583" s="156">
        <f>Tabla18[[#This Row],[Importe]]-Tabla18[[#This Row],[Pagado]]</f>
        <v>0</v>
      </c>
      <c r="H2583" s="153" t="s">
        <v>10</v>
      </c>
    </row>
    <row r="2584" spans="1:8" x14ac:dyDescent="0.25">
      <c r="A2584" s="73">
        <v>44767</v>
      </c>
      <c r="B2584" s="74" t="s">
        <v>23947</v>
      </c>
      <c r="C2584" s="75" t="s">
        <v>333</v>
      </c>
      <c r="D2584" s="81">
        <v>1334.5</v>
      </c>
      <c r="E2584" s="151">
        <v>44767</v>
      </c>
      <c r="F2584" s="81">
        <v>1334.5</v>
      </c>
      <c r="G2584" s="156">
        <f>Tabla18[[#This Row],[Importe]]-Tabla18[[#This Row],[Pagado]]</f>
        <v>0</v>
      </c>
      <c r="H2584" s="75" t="s">
        <v>10</v>
      </c>
    </row>
    <row r="2585" spans="1:8" x14ac:dyDescent="0.25">
      <c r="A2585" s="148">
        <v>44767</v>
      </c>
      <c r="B2585" s="149" t="s">
        <v>23948</v>
      </c>
      <c r="C2585" s="153" t="s">
        <v>9</v>
      </c>
      <c r="D2585" s="154">
        <v>7067.6</v>
      </c>
      <c r="E2585" s="155">
        <v>44767</v>
      </c>
      <c r="F2585" s="154">
        <v>7067.6</v>
      </c>
      <c r="G2585" s="156">
        <f>Tabla18[[#This Row],[Importe]]-Tabla18[[#This Row],[Pagado]]</f>
        <v>0</v>
      </c>
      <c r="H2585" s="153" t="s">
        <v>10</v>
      </c>
    </row>
    <row r="2586" spans="1:8" x14ac:dyDescent="0.25">
      <c r="A2586" s="73">
        <v>44767</v>
      </c>
      <c r="B2586" s="74" t="s">
        <v>23949</v>
      </c>
      <c r="C2586" s="75" t="s">
        <v>218</v>
      </c>
      <c r="D2586" s="81">
        <v>16933</v>
      </c>
      <c r="E2586" s="151">
        <v>44770</v>
      </c>
      <c r="F2586" s="81">
        <v>16933</v>
      </c>
      <c r="G2586" s="156">
        <f>Tabla18[[#This Row],[Importe]]-Tabla18[[#This Row],[Pagado]]</f>
        <v>0</v>
      </c>
      <c r="H2586" s="75" t="s">
        <v>10</v>
      </c>
    </row>
    <row r="2587" spans="1:8" x14ac:dyDescent="0.25">
      <c r="A2587" s="148">
        <v>44767</v>
      </c>
      <c r="B2587" s="149" t="s">
        <v>23950</v>
      </c>
      <c r="C2587" s="153" t="s">
        <v>4707</v>
      </c>
      <c r="D2587" s="154">
        <v>0</v>
      </c>
      <c r="E2587" s="158" t="s">
        <v>189</v>
      </c>
      <c r="F2587" s="154">
        <v>0</v>
      </c>
      <c r="G2587" s="156">
        <f>Tabla18[[#This Row],[Importe]]-Tabla18[[#This Row],[Pagado]]</f>
        <v>0</v>
      </c>
      <c r="H2587" s="153" t="s">
        <v>189</v>
      </c>
    </row>
    <row r="2588" spans="1:8" x14ac:dyDescent="0.25">
      <c r="A2588" s="73">
        <v>44767</v>
      </c>
      <c r="B2588" s="74" t="s">
        <v>23951</v>
      </c>
      <c r="C2588" s="75" t="s">
        <v>27</v>
      </c>
      <c r="D2588" s="81">
        <v>2511.6</v>
      </c>
      <c r="E2588" s="157">
        <v>44767</v>
      </c>
      <c r="F2588" s="81">
        <v>2511.6</v>
      </c>
      <c r="G2588" s="156">
        <f>Tabla18[[#This Row],[Importe]]-Tabla18[[#This Row],[Pagado]]</f>
        <v>0</v>
      </c>
      <c r="H2588" s="75" t="s">
        <v>10</v>
      </c>
    </row>
    <row r="2589" spans="1:8" x14ac:dyDescent="0.25">
      <c r="A2589" s="148">
        <v>44767</v>
      </c>
      <c r="B2589" s="149" t="s">
        <v>23952</v>
      </c>
      <c r="C2589" s="153" t="s">
        <v>23953</v>
      </c>
      <c r="D2589" s="154">
        <v>0</v>
      </c>
      <c r="E2589" s="158" t="s">
        <v>189</v>
      </c>
      <c r="F2589" s="154">
        <v>0</v>
      </c>
      <c r="G2589" s="156">
        <f>Tabla18[[#This Row],[Importe]]-Tabla18[[#This Row],[Pagado]]</f>
        <v>0</v>
      </c>
      <c r="H2589" s="159" t="s">
        <v>23954</v>
      </c>
    </row>
    <row r="2590" spans="1:8" x14ac:dyDescent="0.25">
      <c r="A2590" s="73">
        <v>44767</v>
      </c>
      <c r="B2590" s="74" t="s">
        <v>23955</v>
      </c>
      <c r="C2590" s="75" t="s">
        <v>154</v>
      </c>
      <c r="D2590" s="81">
        <v>25997.3</v>
      </c>
      <c r="E2590" s="151">
        <v>44770</v>
      </c>
      <c r="F2590" s="81">
        <v>25997.3</v>
      </c>
      <c r="G2590" s="156">
        <f>Tabla18[[#This Row],[Importe]]-Tabla18[[#This Row],[Pagado]]</f>
        <v>0</v>
      </c>
      <c r="H2590" s="75" t="s">
        <v>10</v>
      </c>
    </row>
    <row r="2591" spans="1:8" x14ac:dyDescent="0.25">
      <c r="A2591" s="148">
        <v>44767</v>
      </c>
      <c r="B2591" s="149" t="s">
        <v>23956</v>
      </c>
      <c r="C2591" s="153" t="s">
        <v>196</v>
      </c>
      <c r="D2591" s="154">
        <v>100782.12</v>
      </c>
      <c r="E2591" s="155">
        <v>44771</v>
      </c>
      <c r="F2591" s="154">
        <v>100782.12</v>
      </c>
      <c r="G2591" s="156">
        <f>Tabla18[[#This Row],[Importe]]-Tabla18[[#This Row],[Pagado]]</f>
        <v>0</v>
      </c>
      <c r="H2591" s="153" t="s">
        <v>10</v>
      </c>
    </row>
    <row r="2592" spans="1:8" ht="31.5" x14ac:dyDescent="0.25">
      <c r="A2592" s="73">
        <v>44767</v>
      </c>
      <c r="B2592" s="74" t="s">
        <v>23957</v>
      </c>
      <c r="C2592" s="75" t="s">
        <v>22</v>
      </c>
      <c r="D2592" s="81">
        <v>52491.199999999997</v>
      </c>
      <c r="E2592" s="147" t="s">
        <v>23958</v>
      </c>
      <c r="F2592" s="81">
        <f>50000+2491.2</f>
        <v>52491.199999999997</v>
      </c>
      <c r="G2592" s="156">
        <f>Tabla18[[#This Row],[Importe]]-Tabla18[[#This Row],[Pagado]]</f>
        <v>0</v>
      </c>
      <c r="H2592" s="75" t="s">
        <v>10</v>
      </c>
    </row>
    <row r="2593" spans="1:8" x14ac:dyDescent="0.25">
      <c r="A2593" s="148">
        <v>44767</v>
      </c>
      <c r="B2593" s="149" t="s">
        <v>23959</v>
      </c>
      <c r="C2593" s="153" t="s">
        <v>133</v>
      </c>
      <c r="D2593" s="154">
        <v>15620.6</v>
      </c>
      <c r="E2593" s="155">
        <v>44768</v>
      </c>
      <c r="F2593" s="154">
        <v>15620.6</v>
      </c>
      <c r="G2593" s="156">
        <f>Tabla18[[#This Row],[Importe]]-Tabla18[[#This Row],[Pagado]]</f>
        <v>0</v>
      </c>
      <c r="H2593" s="153" t="s">
        <v>10</v>
      </c>
    </row>
    <row r="2594" spans="1:8" x14ac:dyDescent="0.25">
      <c r="A2594" s="73">
        <v>44767</v>
      </c>
      <c r="B2594" s="74" t="s">
        <v>23960</v>
      </c>
      <c r="C2594" s="75" t="s">
        <v>206</v>
      </c>
      <c r="D2594" s="81">
        <v>31530.799999999999</v>
      </c>
      <c r="E2594" s="151">
        <v>44770</v>
      </c>
      <c r="F2594" s="81">
        <v>31530.799999999999</v>
      </c>
      <c r="G2594" s="156">
        <f>Tabla18[[#This Row],[Importe]]-Tabla18[[#This Row],[Pagado]]</f>
        <v>0</v>
      </c>
      <c r="H2594" s="75" t="s">
        <v>10</v>
      </c>
    </row>
    <row r="2595" spans="1:8" x14ac:dyDescent="0.25">
      <c r="A2595" s="148">
        <v>44767</v>
      </c>
      <c r="B2595" s="149" t="s">
        <v>23961</v>
      </c>
      <c r="C2595" s="153" t="s">
        <v>208</v>
      </c>
      <c r="D2595" s="154">
        <v>34397</v>
      </c>
      <c r="E2595" s="155">
        <v>44775</v>
      </c>
      <c r="F2595" s="154">
        <v>34397</v>
      </c>
      <c r="G2595" s="156">
        <f>Tabla18[[#This Row],[Importe]]-Tabla18[[#This Row],[Pagado]]</f>
        <v>0</v>
      </c>
      <c r="H2595" s="153" t="s">
        <v>10</v>
      </c>
    </row>
    <row r="2596" spans="1:8" x14ac:dyDescent="0.25">
      <c r="A2596" s="73">
        <v>44767</v>
      </c>
      <c r="B2596" s="74" t="s">
        <v>23962</v>
      </c>
      <c r="C2596" s="75" t="s">
        <v>137</v>
      </c>
      <c r="D2596" s="81">
        <v>2560</v>
      </c>
      <c r="E2596" s="151">
        <v>44767</v>
      </c>
      <c r="F2596" s="81">
        <v>2560</v>
      </c>
      <c r="G2596" s="156">
        <f>Tabla18[[#This Row],[Importe]]-Tabla18[[#This Row],[Pagado]]</f>
        <v>0</v>
      </c>
      <c r="H2596" s="75" t="s">
        <v>10</v>
      </c>
    </row>
    <row r="2597" spans="1:8" x14ac:dyDescent="0.25">
      <c r="A2597" s="148">
        <v>44767</v>
      </c>
      <c r="B2597" s="149" t="s">
        <v>23963</v>
      </c>
      <c r="C2597" s="153" t="s">
        <v>11033</v>
      </c>
      <c r="D2597" s="154">
        <v>1880.2</v>
      </c>
      <c r="E2597" s="155">
        <v>44767</v>
      </c>
      <c r="F2597" s="154">
        <v>1880.2</v>
      </c>
      <c r="G2597" s="156">
        <f>Tabla18[[#This Row],[Importe]]-Tabla18[[#This Row],[Pagado]]</f>
        <v>0</v>
      </c>
      <c r="H2597" s="153" t="s">
        <v>10</v>
      </c>
    </row>
    <row r="2598" spans="1:8" x14ac:dyDescent="0.25">
      <c r="A2598" s="73">
        <v>44767</v>
      </c>
      <c r="B2598" s="74" t="s">
        <v>23964</v>
      </c>
      <c r="C2598" s="75" t="s">
        <v>16</v>
      </c>
      <c r="D2598" s="81">
        <v>6928.5</v>
      </c>
      <c r="E2598" s="151">
        <v>44767</v>
      </c>
      <c r="F2598" s="81">
        <v>6928.5</v>
      </c>
      <c r="G2598" s="156">
        <f>Tabla18[[#This Row],[Importe]]-Tabla18[[#This Row],[Pagado]]</f>
        <v>0</v>
      </c>
      <c r="H2598" s="75" t="s">
        <v>10</v>
      </c>
    </row>
    <row r="2599" spans="1:8" x14ac:dyDescent="0.25">
      <c r="A2599" s="148">
        <v>44767</v>
      </c>
      <c r="B2599" s="149" t="s">
        <v>23965</v>
      </c>
      <c r="C2599" s="153" t="s">
        <v>56</v>
      </c>
      <c r="D2599" s="154">
        <v>7936.2</v>
      </c>
      <c r="E2599" s="155">
        <v>44767</v>
      </c>
      <c r="F2599" s="154">
        <v>7936.2</v>
      </c>
      <c r="G2599" s="156">
        <f>Tabla18[[#This Row],[Importe]]-Tabla18[[#This Row],[Pagado]]</f>
        <v>0</v>
      </c>
      <c r="H2599" s="153" t="s">
        <v>10</v>
      </c>
    </row>
    <row r="2600" spans="1:8" x14ac:dyDescent="0.25">
      <c r="A2600" s="73">
        <v>44767</v>
      </c>
      <c r="B2600" s="74" t="s">
        <v>23966</v>
      </c>
      <c r="C2600" s="75" t="s">
        <v>212</v>
      </c>
      <c r="D2600" s="81">
        <v>49467.6</v>
      </c>
      <c r="E2600" s="151">
        <v>44770</v>
      </c>
      <c r="F2600" s="81">
        <v>49467.6</v>
      </c>
      <c r="G2600" s="156">
        <f>Tabla18[[#This Row],[Importe]]-Tabla18[[#This Row],[Pagado]]</f>
        <v>0</v>
      </c>
      <c r="H2600" s="75" t="s">
        <v>10</v>
      </c>
    </row>
    <row r="2601" spans="1:8" x14ac:dyDescent="0.25">
      <c r="A2601" s="148">
        <v>44767</v>
      </c>
      <c r="B2601" s="149" t="s">
        <v>23967</v>
      </c>
      <c r="C2601" s="153" t="s">
        <v>49</v>
      </c>
      <c r="D2601" s="154">
        <v>4176</v>
      </c>
      <c r="E2601" s="155">
        <v>44767</v>
      </c>
      <c r="F2601" s="154">
        <v>4176</v>
      </c>
      <c r="G2601" s="156">
        <f>Tabla18[[#This Row],[Importe]]-Tabla18[[#This Row],[Pagado]]</f>
        <v>0</v>
      </c>
      <c r="H2601" s="153" t="s">
        <v>10</v>
      </c>
    </row>
    <row r="2602" spans="1:8" x14ac:dyDescent="0.25">
      <c r="A2602" s="73">
        <v>44767</v>
      </c>
      <c r="B2602" s="74" t="s">
        <v>23968</v>
      </c>
      <c r="C2602" s="75" t="s">
        <v>275</v>
      </c>
      <c r="D2602" s="81">
        <v>105255.69</v>
      </c>
      <c r="E2602" s="151">
        <v>44786</v>
      </c>
      <c r="F2602" s="81">
        <v>105255.69</v>
      </c>
      <c r="G2602" s="156">
        <f>Tabla18[[#This Row],[Importe]]-Tabla18[[#This Row],[Pagado]]</f>
        <v>0</v>
      </c>
      <c r="H2602" s="75" t="s">
        <v>10</v>
      </c>
    </row>
    <row r="2603" spans="1:8" x14ac:dyDescent="0.25">
      <c r="A2603" s="148">
        <v>44767</v>
      </c>
      <c r="B2603" s="149" t="s">
        <v>23969</v>
      </c>
      <c r="C2603" s="153" t="s">
        <v>240</v>
      </c>
      <c r="D2603" s="154">
        <v>11553</v>
      </c>
      <c r="E2603" s="155">
        <v>44767</v>
      </c>
      <c r="F2603" s="154">
        <v>11553</v>
      </c>
      <c r="G2603" s="156">
        <f>Tabla18[[#This Row],[Importe]]-Tabla18[[#This Row],[Pagado]]</f>
        <v>0</v>
      </c>
      <c r="H2603" s="153" t="s">
        <v>10</v>
      </c>
    </row>
    <row r="2604" spans="1:8" x14ac:dyDescent="0.25">
      <c r="A2604" s="73">
        <v>44767</v>
      </c>
      <c r="B2604" s="74" t="s">
        <v>23970</v>
      </c>
      <c r="C2604" s="75" t="s">
        <v>289</v>
      </c>
      <c r="D2604" s="81">
        <v>17008</v>
      </c>
      <c r="E2604" s="151">
        <v>44767</v>
      </c>
      <c r="F2604" s="81">
        <v>17008</v>
      </c>
      <c r="G2604" s="156">
        <f>Tabla18[[#This Row],[Importe]]-Tabla18[[#This Row],[Pagado]]</f>
        <v>0</v>
      </c>
      <c r="H2604" s="75" t="s">
        <v>10</v>
      </c>
    </row>
    <row r="2605" spans="1:8" x14ac:dyDescent="0.25">
      <c r="A2605" s="148">
        <v>44767</v>
      </c>
      <c r="B2605" s="149" t="s">
        <v>23971</v>
      </c>
      <c r="C2605" s="153" t="s">
        <v>16</v>
      </c>
      <c r="D2605" s="154">
        <v>1428.8</v>
      </c>
      <c r="E2605" s="155">
        <v>44767</v>
      </c>
      <c r="F2605" s="154">
        <v>1428.8</v>
      </c>
      <c r="G2605" s="156">
        <f>Tabla18[[#This Row],[Importe]]-Tabla18[[#This Row],[Pagado]]</f>
        <v>0</v>
      </c>
      <c r="H2605" s="153" t="s">
        <v>10</v>
      </c>
    </row>
    <row r="2606" spans="1:8" x14ac:dyDescent="0.25">
      <c r="A2606" s="73">
        <v>44767</v>
      </c>
      <c r="B2606" s="74" t="s">
        <v>23972</v>
      </c>
      <c r="C2606" s="75" t="s">
        <v>31</v>
      </c>
      <c r="D2606" s="81">
        <v>2210</v>
      </c>
      <c r="E2606" s="151">
        <v>44767</v>
      </c>
      <c r="F2606" s="81">
        <v>2210</v>
      </c>
      <c r="G2606" s="156">
        <f>Tabla18[[#This Row],[Importe]]-Tabla18[[#This Row],[Pagado]]</f>
        <v>0</v>
      </c>
      <c r="H2606" s="75" t="s">
        <v>10</v>
      </c>
    </row>
    <row r="2607" spans="1:8" x14ac:dyDescent="0.25">
      <c r="A2607" s="148">
        <v>44767</v>
      </c>
      <c r="B2607" s="149" t="s">
        <v>23973</v>
      </c>
      <c r="C2607" s="153" t="s">
        <v>7745</v>
      </c>
      <c r="D2607" s="154">
        <v>21999.599999999999</v>
      </c>
      <c r="E2607" s="155">
        <v>44767</v>
      </c>
      <c r="F2607" s="154">
        <v>21999.599999999999</v>
      </c>
      <c r="G2607" s="156">
        <f>Tabla18[[#This Row],[Importe]]-Tabla18[[#This Row],[Pagado]]</f>
        <v>0</v>
      </c>
      <c r="H2607" s="153" t="s">
        <v>10</v>
      </c>
    </row>
    <row r="2608" spans="1:8" x14ac:dyDescent="0.25">
      <c r="A2608" s="73">
        <v>44767</v>
      </c>
      <c r="B2608" s="74" t="s">
        <v>23974</v>
      </c>
      <c r="C2608" s="75" t="s">
        <v>24</v>
      </c>
      <c r="D2608" s="81">
        <v>4744.3</v>
      </c>
      <c r="E2608" s="151">
        <v>44767</v>
      </c>
      <c r="F2608" s="81">
        <v>4744.3</v>
      </c>
      <c r="G2608" s="156">
        <f>Tabla18[[#This Row],[Importe]]-Tabla18[[#This Row],[Pagado]]</f>
        <v>0</v>
      </c>
      <c r="H2608" s="75" t="s">
        <v>10</v>
      </c>
    </row>
    <row r="2609" spans="1:8" x14ac:dyDescent="0.25">
      <c r="A2609" s="148">
        <v>44767</v>
      </c>
      <c r="B2609" s="149" t="s">
        <v>23975</v>
      </c>
      <c r="C2609" s="153" t="s">
        <v>1378</v>
      </c>
      <c r="D2609" s="154">
        <v>81450.399999999994</v>
      </c>
      <c r="E2609" s="155">
        <v>44767</v>
      </c>
      <c r="F2609" s="154">
        <v>81450.399999999994</v>
      </c>
      <c r="G2609" s="156">
        <f>Tabla18[[#This Row],[Importe]]-Tabla18[[#This Row],[Pagado]]</f>
        <v>0</v>
      </c>
      <c r="H2609" s="153" t="s">
        <v>10</v>
      </c>
    </row>
    <row r="2610" spans="1:8" x14ac:dyDescent="0.25">
      <c r="A2610" s="73">
        <v>44767</v>
      </c>
      <c r="B2610" s="74" t="s">
        <v>23976</v>
      </c>
      <c r="C2610" s="75" t="s">
        <v>15868</v>
      </c>
      <c r="D2610" s="81">
        <v>17000</v>
      </c>
      <c r="E2610" s="151">
        <v>44767</v>
      </c>
      <c r="F2610" s="81">
        <v>17000</v>
      </c>
      <c r="G2610" s="156">
        <f>Tabla18[[#This Row],[Importe]]-Tabla18[[#This Row],[Pagado]]</f>
        <v>0</v>
      </c>
      <c r="H2610" s="75" t="s">
        <v>10</v>
      </c>
    </row>
    <row r="2611" spans="1:8" x14ac:dyDescent="0.25">
      <c r="A2611" s="148">
        <v>44767</v>
      </c>
      <c r="B2611" s="149" t="s">
        <v>23977</v>
      </c>
      <c r="C2611" s="153" t="s">
        <v>31</v>
      </c>
      <c r="D2611" s="154">
        <v>3068.9</v>
      </c>
      <c r="E2611" s="155">
        <v>44767</v>
      </c>
      <c r="F2611" s="154">
        <v>3068.9</v>
      </c>
      <c r="G2611" s="156">
        <f>Tabla18[[#This Row],[Importe]]-Tabla18[[#This Row],[Pagado]]</f>
        <v>0</v>
      </c>
      <c r="H2611" s="153" t="s">
        <v>10</v>
      </c>
    </row>
    <row r="2612" spans="1:8" x14ac:dyDescent="0.25">
      <c r="A2612" s="73">
        <v>44767</v>
      </c>
      <c r="B2612" s="74" t="s">
        <v>23978</v>
      </c>
      <c r="C2612" s="75" t="s">
        <v>371</v>
      </c>
      <c r="D2612" s="81">
        <v>17100.8</v>
      </c>
      <c r="E2612" s="151">
        <v>44767</v>
      </c>
      <c r="F2612" s="81">
        <v>17100.8</v>
      </c>
      <c r="G2612" s="156">
        <f>Tabla18[[#This Row],[Importe]]-Tabla18[[#This Row],[Pagado]]</f>
        <v>0</v>
      </c>
      <c r="H2612" s="75" t="s">
        <v>10</v>
      </c>
    </row>
    <row r="2613" spans="1:8" x14ac:dyDescent="0.25">
      <c r="A2613" s="148">
        <v>44767</v>
      </c>
      <c r="B2613" s="149" t="s">
        <v>23979</v>
      </c>
      <c r="C2613" s="153" t="s">
        <v>382</v>
      </c>
      <c r="D2613" s="154">
        <v>5980.8</v>
      </c>
      <c r="E2613" s="155">
        <v>44767</v>
      </c>
      <c r="F2613" s="154">
        <v>5980.8</v>
      </c>
      <c r="G2613" s="156">
        <f>Tabla18[[#This Row],[Importe]]-Tabla18[[#This Row],[Pagado]]</f>
        <v>0</v>
      </c>
      <c r="H2613" s="153" t="s">
        <v>10</v>
      </c>
    </row>
    <row r="2614" spans="1:8" x14ac:dyDescent="0.25">
      <c r="A2614" s="73">
        <v>44767</v>
      </c>
      <c r="B2614" s="74" t="s">
        <v>23980</v>
      </c>
      <c r="C2614" s="75" t="s">
        <v>222</v>
      </c>
      <c r="D2614" s="81">
        <v>12597.6</v>
      </c>
      <c r="E2614" s="151">
        <v>44767</v>
      </c>
      <c r="F2614" s="81">
        <v>12597.6</v>
      </c>
      <c r="G2614" s="156">
        <f>Tabla18[[#This Row],[Importe]]-Tabla18[[#This Row],[Pagado]]</f>
        <v>0</v>
      </c>
      <c r="H2614" s="75" t="s">
        <v>10</v>
      </c>
    </row>
    <row r="2615" spans="1:8" x14ac:dyDescent="0.25">
      <c r="A2615" s="148">
        <v>44767</v>
      </c>
      <c r="B2615" s="149" t="s">
        <v>23981</v>
      </c>
      <c r="C2615" s="153" t="s">
        <v>12</v>
      </c>
      <c r="D2615" s="154">
        <v>1754.8</v>
      </c>
      <c r="E2615" s="155">
        <v>44767</v>
      </c>
      <c r="F2615" s="154">
        <v>1754.8</v>
      </c>
      <c r="G2615" s="156">
        <f>Tabla18[[#This Row],[Importe]]-Tabla18[[#This Row],[Pagado]]</f>
        <v>0</v>
      </c>
      <c r="H2615" s="153" t="s">
        <v>10</v>
      </c>
    </row>
    <row r="2616" spans="1:8" x14ac:dyDescent="0.25">
      <c r="A2616" s="73">
        <v>44767</v>
      </c>
      <c r="B2616" s="74" t="s">
        <v>23982</v>
      </c>
      <c r="C2616" s="75" t="s">
        <v>1003</v>
      </c>
      <c r="D2616" s="81">
        <v>8351.5</v>
      </c>
      <c r="E2616" s="151">
        <v>44771</v>
      </c>
      <c r="F2616" s="81">
        <v>8351.5</v>
      </c>
      <c r="G2616" s="156">
        <f>Tabla18[[#This Row],[Importe]]-Tabla18[[#This Row],[Pagado]]</f>
        <v>0</v>
      </c>
      <c r="H2616" s="75" t="s">
        <v>10</v>
      </c>
    </row>
    <row r="2617" spans="1:8" x14ac:dyDescent="0.25">
      <c r="A2617" s="148">
        <v>44767</v>
      </c>
      <c r="B2617" s="149" t="s">
        <v>23983</v>
      </c>
      <c r="C2617" s="153" t="s">
        <v>426</v>
      </c>
      <c r="D2617" s="154">
        <v>12784</v>
      </c>
      <c r="E2617" s="155">
        <v>44767</v>
      </c>
      <c r="F2617" s="154">
        <v>12784</v>
      </c>
      <c r="G2617" s="156">
        <f>Tabla18[[#This Row],[Importe]]-Tabla18[[#This Row],[Pagado]]</f>
        <v>0</v>
      </c>
      <c r="H2617" s="153" t="s">
        <v>10</v>
      </c>
    </row>
    <row r="2618" spans="1:8" x14ac:dyDescent="0.25">
      <c r="A2618" s="73">
        <v>44767</v>
      </c>
      <c r="B2618" s="74" t="s">
        <v>23984</v>
      </c>
      <c r="C2618" s="75" t="s">
        <v>175</v>
      </c>
      <c r="D2618" s="81">
        <v>12531.2</v>
      </c>
      <c r="E2618" s="151">
        <v>44767</v>
      </c>
      <c r="F2618" s="81">
        <v>12531.2</v>
      </c>
      <c r="G2618" s="156">
        <f>Tabla18[[#This Row],[Importe]]-Tabla18[[#This Row],[Pagado]]</f>
        <v>0</v>
      </c>
      <c r="H2618" s="75" t="s">
        <v>10</v>
      </c>
    </row>
    <row r="2619" spans="1:8" x14ac:dyDescent="0.25">
      <c r="A2619" s="148">
        <v>44767</v>
      </c>
      <c r="B2619" s="149" t="s">
        <v>23985</v>
      </c>
      <c r="C2619" s="153" t="s">
        <v>181</v>
      </c>
      <c r="D2619" s="154">
        <v>14239.8</v>
      </c>
      <c r="E2619" s="155">
        <v>44767</v>
      </c>
      <c r="F2619" s="154">
        <v>14239.8</v>
      </c>
      <c r="G2619" s="156">
        <f>Tabla18[[#This Row],[Importe]]-Tabla18[[#This Row],[Pagado]]</f>
        <v>0</v>
      </c>
      <c r="H2619" s="153" t="s">
        <v>10</v>
      </c>
    </row>
    <row r="2620" spans="1:8" x14ac:dyDescent="0.25">
      <c r="A2620" s="73">
        <v>44767</v>
      </c>
      <c r="B2620" s="74" t="s">
        <v>23986</v>
      </c>
      <c r="C2620" s="75" t="s">
        <v>179</v>
      </c>
      <c r="D2620" s="81">
        <v>1646.4</v>
      </c>
      <c r="E2620" s="151">
        <v>44767</v>
      </c>
      <c r="F2620" s="81">
        <v>1646.4</v>
      </c>
      <c r="G2620" s="156">
        <f>Tabla18[[#This Row],[Importe]]-Tabla18[[#This Row],[Pagado]]</f>
        <v>0</v>
      </c>
      <c r="H2620" s="75" t="s">
        <v>10</v>
      </c>
    </row>
    <row r="2621" spans="1:8" x14ac:dyDescent="0.25">
      <c r="A2621" s="148">
        <v>44767</v>
      </c>
      <c r="B2621" s="149" t="s">
        <v>23987</v>
      </c>
      <c r="C2621" s="153" t="s">
        <v>142</v>
      </c>
      <c r="D2621" s="154">
        <v>26094.639999999999</v>
      </c>
      <c r="E2621" s="155">
        <v>44837</v>
      </c>
      <c r="F2621" s="154">
        <v>26094.639999999999</v>
      </c>
      <c r="G2621" s="156">
        <f>Tabla18[[#This Row],[Importe]]-Tabla18[[#This Row],[Pagado]]</f>
        <v>0</v>
      </c>
      <c r="H2621" s="153" t="s">
        <v>10</v>
      </c>
    </row>
    <row r="2622" spans="1:8" x14ac:dyDescent="0.25">
      <c r="A2622" s="73">
        <v>44767</v>
      </c>
      <c r="B2622" s="74" t="s">
        <v>23988</v>
      </c>
      <c r="C2622" s="75" t="s">
        <v>414</v>
      </c>
      <c r="D2622" s="81">
        <v>25620</v>
      </c>
      <c r="E2622" s="151">
        <v>44786</v>
      </c>
      <c r="F2622" s="81">
        <v>25620</v>
      </c>
      <c r="G2622" s="156">
        <f>Tabla18[[#This Row],[Importe]]-Tabla18[[#This Row],[Pagado]]</f>
        <v>0</v>
      </c>
      <c r="H2622" s="75" t="s">
        <v>10</v>
      </c>
    </row>
    <row r="2623" spans="1:8" x14ac:dyDescent="0.25">
      <c r="A2623" s="148">
        <v>44767</v>
      </c>
      <c r="B2623" s="149" t="s">
        <v>23989</v>
      </c>
      <c r="C2623" s="153" t="s">
        <v>840</v>
      </c>
      <c r="D2623" s="154">
        <v>25973.4</v>
      </c>
      <c r="E2623" s="155">
        <v>44767</v>
      </c>
      <c r="F2623" s="154">
        <v>25973.4</v>
      </c>
      <c r="G2623" s="156">
        <f>Tabla18[[#This Row],[Importe]]-Tabla18[[#This Row],[Pagado]]</f>
        <v>0</v>
      </c>
      <c r="H2623" s="153" t="s">
        <v>10</v>
      </c>
    </row>
    <row r="2624" spans="1:8" x14ac:dyDescent="0.25">
      <c r="A2624" s="73">
        <v>44767</v>
      </c>
      <c r="B2624" s="74" t="s">
        <v>23990</v>
      </c>
      <c r="C2624" s="75" t="s">
        <v>200</v>
      </c>
      <c r="D2624" s="81">
        <v>1461.6</v>
      </c>
      <c r="E2624" s="151">
        <v>44767</v>
      </c>
      <c r="F2624" s="81">
        <v>1461.6</v>
      </c>
      <c r="G2624" s="156">
        <f>Tabla18[[#This Row],[Importe]]-Tabla18[[#This Row],[Pagado]]</f>
        <v>0</v>
      </c>
      <c r="H2624" s="75" t="s">
        <v>10</v>
      </c>
    </row>
    <row r="2625" spans="1:8" x14ac:dyDescent="0.25">
      <c r="A2625" s="148">
        <v>44767</v>
      </c>
      <c r="B2625" s="149" t="s">
        <v>23991</v>
      </c>
      <c r="C2625" s="153" t="s">
        <v>541</v>
      </c>
      <c r="D2625" s="154">
        <v>101094.8</v>
      </c>
      <c r="E2625" s="155">
        <v>44768</v>
      </c>
      <c r="F2625" s="154">
        <v>101094.8</v>
      </c>
      <c r="G2625" s="156">
        <f>Tabla18[[#This Row],[Importe]]-Tabla18[[#This Row],[Pagado]]</f>
        <v>0</v>
      </c>
      <c r="H2625" s="153" t="s">
        <v>10</v>
      </c>
    </row>
    <row r="2626" spans="1:8" x14ac:dyDescent="0.25">
      <c r="A2626" s="73">
        <v>44767</v>
      </c>
      <c r="B2626" s="74" t="s">
        <v>23992</v>
      </c>
      <c r="C2626" s="75" t="s">
        <v>45</v>
      </c>
      <c r="D2626" s="81">
        <v>11383</v>
      </c>
      <c r="E2626" s="151">
        <v>44767</v>
      </c>
      <c r="F2626" s="81">
        <v>11383</v>
      </c>
      <c r="G2626" s="156">
        <f>Tabla18[[#This Row],[Importe]]-Tabla18[[#This Row],[Pagado]]</f>
        <v>0</v>
      </c>
      <c r="H2626" s="75" t="s">
        <v>10</v>
      </c>
    </row>
    <row r="2627" spans="1:8" x14ac:dyDescent="0.25">
      <c r="A2627" s="148">
        <v>44767</v>
      </c>
      <c r="B2627" s="149" t="s">
        <v>23993</v>
      </c>
      <c r="C2627" s="153" t="s">
        <v>173</v>
      </c>
      <c r="D2627" s="154">
        <v>21151.200000000001</v>
      </c>
      <c r="E2627" s="155">
        <v>44768</v>
      </c>
      <c r="F2627" s="154">
        <v>21151.200000000001</v>
      </c>
      <c r="G2627" s="156">
        <f>Tabla18[[#This Row],[Importe]]-Tabla18[[#This Row],[Pagado]]</f>
        <v>0</v>
      </c>
      <c r="H2627" s="153" t="s">
        <v>10</v>
      </c>
    </row>
    <row r="2628" spans="1:8" x14ac:dyDescent="0.25">
      <c r="A2628" s="73">
        <v>44767</v>
      </c>
      <c r="B2628" s="74" t="s">
        <v>23994</v>
      </c>
      <c r="C2628" s="75" t="s">
        <v>5816</v>
      </c>
      <c r="D2628" s="81">
        <v>2515.8000000000002</v>
      </c>
      <c r="E2628" s="151">
        <v>44768</v>
      </c>
      <c r="F2628" s="81">
        <v>2515.8000000000002</v>
      </c>
      <c r="G2628" s="156">
        <f>Tabla18[[#This Row],[Importe]]-Tabla18[[#This Row],[Pagado]]</f>
        <v>0</v>
      </c>
      <c r="H2628" s="75" t="s">
        <v>10</v>
      </c>
    </row>
    <row r="2629" spans="1:8" x14ac:dyDescent="0.25">
      <c r="A2629" s="148">
        <v>44767</v>
      </c>
      <c r="B2629" s="149" t="s">
        <v>23995</v>
      </c>
      <c r="C2629" s="153" t="s">
        <v>9415</v>
      </c>
      <c r="D2629" s="154">
        <v>17852.5</v>
      </c>
      <c r="E2629" s="155">
        <v>44768</v>
      </c>
      <c r="F2629" s="154">
        <v>17852.5</v>
      </c>
      <c r="G2629" s="156">
        <f>Tabla18[[#This Row],[Importe]]-Tabla18[[#This Row],[Pagado]]</f>
        <v>0</v>
      </c>
      <c r="H2629" s="153" t="s">
        <v>10</v>
      </c>
    </row>
    <row r="2630" spans="1:8" x14ac:dyDescent="0.25">
      <c r="A2630" s="73">
        <v>44767</v>
      </c>
      <c r="B2630" s="74" t="s">
        <v>23996</v>
      </c>
      <c r="C2630" s="75" t="s">
        <v>1676</v>
      </c>
      <c r="D2630" s="81">
        <v>1486.8</v>
      </c>
      <c r="E2630" s="151">
        <v>44767</v>
      </c>
      <c r="F2630" s="81">
        <v>1486.8</v>
      </c>
      <c r="G2630" s="156">
        <f>Tabla18[[#This Row],[Importe]]-Tabla18[[#This Row],[Pagado]]</f>
        <v>0</v>
      </c>
      <c r="H2630" s="75" t="s">
        <v>10</v>
      </c>
    </row>
    <row r="2631" spans="1:8" x14ac:dyDescent="0.25">
      <c r="A2631" s="148">
        <v>44767</v>
      </c>
      <c r="B2631" s="149" t="s">
        <v>23997</v>
      </c>
      <c r="C2631" s="153" t="s">
        <v>31</v>
      </c>
      <c r="D2631" s="154">
        <v>688.5</v>
      </c>
      <c r="E2631" s="155">
        <v>44767</v>
      </c>
      <c r="F2631" s="154">
        <v>688.5</v>
      </c>
      <c r="G2631" s="156">
        <f>Tabla18[[#This Row],[Importe]]-Tabla18[[#This Row],[Pagado]]</f>
        <v>0</v>
      </c>
      <c r="H2631" s="153" t="s">
        <v>10</v>
      </c>
    </row>
    <row r="2632" spans="1:8" x14ac:dyDescent="0.25">
      <c r="A2632" s="73">
        <v>44767</v>
      </c>
      <c r="B2632" s="74" t="s">
        <v>23998</v>
      </c>
      <c r="C2632" s="75" t="s">
        <v>670</v>
      </c>
      <c r="D2632" s="81">
        <v>5468.3</v>
      </c>
      <c r="E2632" s="151">
        <v>44767</v>
      </c>
      <c r="F2632" s="81">
        <v>5468.3</v>
      </c>
      <c r="G2632" s="156">
        <f>Tabla18[[#This Row],[Importe]]-Tabla18[[#This Row],[Pagado]]</f>
        <v>0</v>
      </c>
      <c r="H2632" s="75" t="s">
        <v>10</v>
      </c>
    </row>
    <row r="2633" spans="1:8" ht="31.5" x14ac:dyDescent="0.25">
      <c r="A2633" s="148">
        <v>44767</v>
      </c>
      <c r="B2633" s="149" t="s">
        <v>23999</v>
      </c>
      <c r="C2633" s="160" t="s">
        <v>11102</v>
      </c>
      <c r="D2633" s="154">
        <v>0</v>
      </c>
      <c r="E2633" s="158" t="s">
        <v>189</v>
      </c>
      <c r="F2633" s="154">
        <v>0</v>
      </c>
      <c r="G2633" s="156">
        <f>Tabla18[[#This Row],[Importe]]-Tabla18[[#This Row],[Pagado]]</f>
        <v>0</v>
      </c>
      <c r="H2633" s="159" t="s">
        <v>24000</v>
      </c>
    </row>
    <row r="2634" spans="1:8" x14ac:dyDescent="0.25">
      <c r="A2634" s="73">
        <v>44767</v>
      </c>
      <c r="B2634" s="74" t="s">
        <v>24001</v>
      </c>
      <c r="C2634" s="75" t="s">
        <v>91</v>
      </c>
      <c r="D2634" s="81">
        <v>4620</v>
      </c>
      <c r="E2634" s="151">
        <v>44768</v>
      </c>
      <c r="F2634" s="81">
        <v>4620</v>
      </c>
      <c r="G2634" s="156">
        <f>Tabla18[[#This Row],[Importe]]-Tabla18[[#This Row],[Pagado]]</f>
        <v>0</v>
      </c>
      <c r="H2634" s="75" t="s">
        <v>10</v>
      </c>
    </row>
    <row r="2635" spans="1:8" x14ac:dyDescent="0.25">
      <c r="A2635" s="148">
        <v>44767</v>
      </c>
      <c r="B2635" s="149" t="s">
        <v>24002</v>
      </c>
      <c r="C2635" s="153" t="s">
        <v>107</v>
      </c>
      <c r="D2635" s="154">
        <v>15831.8</v>
      </c>
      <c r="E2635" s="155">
        <v>44767</v>
      </c>
      <c r="F2635" s="154">
        <v>15831.8</v>
      </c>
      <c r="G2635" s="156">
        <f>Tabla18[[#This Row],[Importe]]-Tabla18[[#This Row],[Pagado]]</f>
        <v>0</v>
      </c>
      <c r="H2635" s="153" t="s">
        <v>10</v>
      </c>
    </row>
    <row r="2636" spans="1:8" x14ac:dyDescent="0.25">
      <c r="A2636" s="73">
        <v>44767</v>
      </c>
      <c r="B2636" s="74" t="s">
        <v>24003</v>
      </c>
      <c r="C2636" s="75" t="s">
        <v>142</v>
      </c>
      <c r="D2636" s="81">
        <v>6990.16</v>
      </c>
      <c r="E2636" s="151">
        <v>44837</v>
      </c>
      <c r="F2636" s="81">
        <v>6990.16</v>
      </c>
      <c r="G2636" s="156">
        <f>Tabla18[[#This Row],[Importe]]-Tabla18[[#This Row],[Pagado]]</f>
        <v>0</v>
      </c>
      <c r="H2636" s="75" t="s">
        <v>10</v>
      </c>
    </row>
    <row r="2637" spans="1:8" x14ac:dyDescent="0.25">
      <c r="A2637" s="148">
        <v>44767</v>
      </c>
      <c r="B2637" s="149" t="s">
        <v>24004</v>
      </c>
      <c r="C2637" s="153" t="s">
        <v>146</v>
      </c>
      <c r="D2637" s="154">
        <v>3001.4</v>
      </c>
      <c r="E2637" s="155">
        <v>44767</v>
      </c>
      <c r="F2637" s="154">
        <v>3001.4</v>
      </c>
      <c r="G2637" s="156">
        <f>Tabla18[[#This Row],[Importe]]-Tabla18[[#This Row],[Pagado]]</f>
        <v>0</v>
      </c>
      <c r="H2637" s="153" t="s">
        <v>10</v>
      </c>
    </row>
    <row r="2638" spans="1:8" x14ac:dyDescent="0.25">
      <c r="A2638" s="73">
        <v>44767</v>
      </c>
      <c r="B2638" s="74" t="s">
        <v>24005</v>
      </c>
      <c r="C2638" s="75" t="s">
        <v>214</v>
      </c>
      <c r="D2638" s="81">
        <v>10333.5</v>
      </c>
      <c r="E2638" s="151">
        <v>44767</v>
      </c>
      <c r="F2638" s="81">
        <v>10333.5</v>
      </c>
      <c r="G2638" s="156">
        <f>Tabla18[[#This Row],[Importe]]-Tabla18[[#This Row],[Pagado]]</f>
        <v>0</v>
      </c>
      <c r="H2638" s="75" t="s">
        <v>10</v>
      </c>
    </row>
    <row r="2639" spans="1:8" x14ac:dyDescent="0.25">
      <c r="A2639" s="148">
        <v>44767</v>
      </c>
      <c r="B2639" s="149" t="s">
        <v>24006</v>
      </c>
      <c r="C2639" s="153" t="s">
        <v>9827</v>
      </c>
      <c r="D2639" s="154">
        <v>9416.4</v>
      </c>
      <c r="E2639" s="155">
        <v>44767</v>
      </c>
      <c r="F2639" s="154">
        <v>9416.4</v>
      </c>
      <c r="G2639" s="156">
        <f>Tabla18[[#This Row],[Importe]]-Tabla18[[#This Row],[Pagado]]</f>
        <v>0</v>
      </c>
      <c r="H2639" s="153" t="s">
        <v>10</v>
      </c>
    </row>
    <row r="2640" spans="1:8" x14ac:dyDescent="0.25">
      <c r="A2640" s="73">
        <v>44767</v>
      </c>
      <c r="B2640" s="74" t="s">
        <v>24007</v>
      </c>
      <c r="C2640" s="75" t="s">
        <v>421</v>
      </c>
      <c r="D2640" s="81">
        <v>8564.5</v>
      </c>
      <c r="E2640" s="151">
        <v>44767</v>
      </c>
      <c r="F2640" s="81">
        <v>8564.5</v>
      </c>
      <c r="G2640" s="156">
        <f>Tabla18[[#This Row],[Importe]]-Tabla18[[#This Row],[Pagado]]</f>
        <v>0</v>
      </c>
      <c r="H2640" s="75" t="s">
        <v>10</v>
      </c>
    </row>
    <row r="2641" spans="1:8" x14ac:dyDescent="0.25">
      <c r="A2641" s="148">
        <v>44767</v>
      </c>
      <c r="B2641" s="149" t="s">
        <v>24008</v>
      </c>
      <c r="C2641" s="153" t="s">
        <v>618</v>
      </c>
      <c r="D2641" s="154">
        <v>1992</v>
      </c>
      <c r="E2641" s="155">
        <v>44767</v>
      </c>
      <c r="F2641" s="154">
        <v>1992</v>
      </c>
      <c r="G2641" s="156">
        <f>Tabla18[[#This Row],[Importe]]-Tabla18[[#This Row],[Pagado]]</f>
        <v>0</v>
      </c>
      <c r="H2641" s="153" t="s">
        <v>10</v>
      </c>
    </row>
    <row r="2642" spans="1:8" x14ac:dyDescent="0.25">
      <c r="A2642" s="73">
        <v>44767</v>
      </c>
      <c r="B2642" s="74" t="s">
        <v>24009</v>
      </c>
      <c r="C2642" s="75" t="s">
        <v>698</v>
      </c>
      <c r="D2642" s="81">
        <v>7418.4</v>
      </c>
      <c r="E2642" s="151">
        <v>44767</v>
      </c>
      <c r="F2642" s="81">
        <v>7418.4</v>
      </c>
      <c r="G2642" s="156">
        <f>Tabla18[[#This Row],[Importe]]-Tabla18[[#This Row],[Pagado]]</f>
        <v>0</v>
      </c>
      <c r="H2642" s="75" t="s">
        <v>10</v>
      </c>
    </row>
    <row r="2643" spans="1:8" x14ac:dyDescent="0.25">
      <c r="A2643" s="148">
        <v>44767</v>
      </c>
      <c r="B2643" s="149" t="s">
        <v>24010</v>
      </c>
      <c r="C2643" s="153" t="s">
        <v>58</v>
      </c>
      <c r="D2643" s="154">
        <v>3581.6</v>
      </c>
      <c r="E2643" s="155">
        <v>44767</v>
      </c>
      <c r="F2643" s="154">
        <v>3581.6</v>
      </c>
      <c r="G2643" s="156">
        <f>Tabla18[[#This Row],[Importe]]-Tabla18[[#This Row],[Pagado]]</f>
        <v>0</v>
      </c>
      <c r="H2643" s="153" t="s">
        <v>10</v>
      </c>
    </row>
    <row r="2644" spans="1:8" x14ac:dyDescent="0.25">
      <c r="A2644" s="73">
        <v>44767</v>
      </c>
      <c r="B2644" s="74" t="s">
        <v>24011</v>
      </c>
      <c r="C2644" s="75" t="s">
        <v>16</v>
      </c>
      <c r="D2644" s="81">
        <v>377.6</v>
      </c>
      <c r="E2644" s="151">
        <v>44767</v>
      </c>
      <c r="F2644" s="81">
        <v>377.6</v>
      </c>
      <c r="G2644" s="156">
        <f>Tabla18[[#This Row],[Importe]]-Tabla18[[#This Row],[Pagado]]</f>
        <v>0</v>
      </c>
      <c r="H2644" s="75" t="s">
        <v>10</v>
      </c>
    </row>
    <row r="2645" spans="1:8" x14ac:dyDescent="0.25">
      <c r="A2645" s="148">
        <v>44767</v>
      </c>
      <c r="B2645" s="149" t="s">
        <v>24012</v>
      </c>
      <c r="C2645" s="153" t="s">
        <v>67</v>
      </c>
      <c r="D2645" s="154">
        <v>2520</v>
      </c>
      <c r="E2645" s="155">
        <v>44767</v>
      </c>
      <c r="F2645" s="154">
        <v>2520</v>
      </c>
      <c r="G2645" s="156">
        <f>Tabla18[[#This Row],[Importe]]-Tabla18[[#This Row],[Pagado]]</f>
        <v>0</v>
      </c>
      <c r="H2645" s="153" t="s">
        <v>10</v>
      </c>
    </row>
    <row r="2646" spans="1:8" x14ac:dyDescent="0.25">
      <c r="A2646" s="73">
        <v>44767</v>
      </c>
      <c r="B2646" s="74" t="s">
        <v>24013</v>
      </c>
      <c r="C2646" s="75" t="s">
        <v>31</v>
      </c>
      <c r="D2646" s="81">
        <v>741</v>
      </c>
      <c r="E2646" s="151">
        <v>44767</v>
      </c>
      <c r="F2646" s="81">
        <v>741</v>
      </c>
      <c r="G2646" s="156">
        <f>Tabla18[[#This Row],[Importe]]-Tabla18[[#This Row],[Pagado]]</f>
        <v>0</v>
      </c>
      <c r="H2646" s="75" t="s">
        <v>10</v>
      </c>
    </row>
    <row r="2647" spans="1:8" x14ac:dyDescent="0.25">
      <c r="A2647" s="148">
        <v>44767</v>
      </c>
      <c r="B2647" s="149" t="s">
        <v>24014</v>
      </c>
      <c r="C2647" s="153" t="s">
        <v>244</v>
      </c>
      <c r="D2647" s="154">
        <v>1156</v>
      </c>
      <c r="E2647" s="155">
        <v>44767</v>
      </c>
      <c r="F2647" s="154">
        <v>1156</v>
      </c>
      <c r="G2647" s="156">
        <f>Tabla18[[#This Row],[Importe]]-Tabla18[[#This Row],[Pagado]]</f>
        <v>0</v>
      </c>
      <c r="H2647" s="153" t="s">
        <v>10</v>
      </c>
    </row>
    <row r="2648" spans="1:8" x14ac:dyDescent="0.25">
      <c r="A2648" s="73">
        <v>44767</v>
      </c>
      <c r="B2648" s="74" t="s">
        <v>24015</v>
      </c>
      <c r="C2648" s="75" t="s">
        <v>214</v>
      </c>
      <c r="D2648" s="81">
        <v>1453.2</v>
      </c>
      <c r="E2648" s="151">
        <v>44767</v>
      </c>
      <c r="F2648" s="81">
        <v>1453.2</v>
      </c>
      <c r="G2648" s="156">
        <f>Tabla18[[#This Row],[Importe]]-Tabla18[[#This Row],[Pagado]]</f>
        <v>0</v>
      </c>
      <c r="H2648" s="75" t="s">
        <v>10</v>
      </c>
    </row>
    <row r="2649" spans="1:8" x14ac:dyDescent="0.25">
      <c r="A2649" s="148">
        <v>44767</v>
      </c>
      <c r="B2649" s="149" t="s">
        <v>24016</v>
      </c>
      <c r="C2649" s="153" t="s">
        <v>10819</v>
      </c>
      <c r="D2649" s="154">
        <v>870.4</v>
      </c>
      <c r="E2649" s="155">
        <v>44768</v>
      </c>
      <c r="F2649" s="154">
        <v>870.4</v>
      </c>
      <c r="G2649" s="156">
        <f>Tabla18[[#This Row],[Importe]]-Tabla18[[#This Row],[Pagado]]</f>
        <v>0</v>
      </c>
      <c r="H2649" s="153" t="s">
        <v>10</v>
      </c>
    </row>
    <row r="2650" spans="1:8" x14ac:dyDescent="0.25">
      <c r="A2650" s="73">
        <v>44767</v>
      </c>
      <c r="B2650" s="74" t="s">
        <v>24017</v>
      </c>
      <c r="C2650" s="75" t="s">
        <v>282</v>
      </c>
      <c r="D2650" s="81">
        <v>2562</v>
      </c>
      <c r="E2650" s="151">
        <v>44768</v>
      </c>
      <c r="F2650" s="81">
        <v>2562</v>
      </c>
      <c r="G2650" s="156">
        <f>Tabla18[[#This Row],[Importe]]-Tabla18[[#This Row],[Pagado]]</f>
        <v>0</v>
      </c>
      <c r="H2650" s="75" t="s">
        <v>10</v>
      </c>
    </row>
    <row r="2651" spans="1:8" x14ac:dyDescent="0.25">
      <c r="A2651" s="148">
        <v>44767</v>
      </c>
      <c r="B2651" s="149" t="s">
        <v>24018</v>
      </c>
      <c r="C2651" s="153" t="s">
        <v>284</v>
      </c>
      <c r="D2651" s="154">
        <v>4309.2</v>
      </c>
      <c r="E2651" s="155">
        <v>44768</v>
      </c>
      <c r="F2651" s="154">
        <v>4309.2</v>
      </c>
      <c r="G2651" s="156">
        <f>Tabla18[[#This Row],[Importe]]-Tabla18[[#This Row],[Pagado]]</f>
        <v>0</v>
      </c>
      <c r="H2651" s="153" t="s">
        <v>10</v>
      </c>
    </row>
    <row r="2652" spans="1:8" x14ac:dyDescent="0.25">
      <c r="A2652" s="73">
        <v>44767</v>
      </c>
      <c r="B2652" s="74" t="s">
        <v>24019</v>
      </c>
      <c r="C2652" s="75" t="s">
        <v>280</v>
      </c>
      <c r="D2652" s="81">
        <v>806.4</v>
      </c>
      <c r="E2652" s="151">
        <v>44768</v>
      </c>
      <c r="F2652" s="81">
        <v>806.4</v>
      </c>
      <c r="G2652" s="156">
        <f>Tabla18[[#This Row],[Importe]]-Tabla18[[#This Row],[Pagado]]</f>
        <v>0</v>
      </c>
      <c r="H2652" s="75" t="s">
        <v>10</v>
      </c>
    </row>
    <row r="2653" spans="1:8" x14ac:dyDescent="0.25">
      <c r="A2653" s="148">
        <v>44767</v>
      </c>
      <c r="B2653" s="149" t="s">
        <v>24020</v>
      </c>
      <c r="C2653" s="153" t="s">
        <v>22</v>
      </c>
      <c r="D2653" s="154">
        <v>5379</v>
      </c>
      <c r="E2653" s="155">
        <v>44768</v>
      </c>
      <c r="F2653" s="154">
        <v>5379</v>
      </c>
      <c r="G2653" s="156">
        <f>Tabla18[[#This Row],[Importe]]-Tabla18[[#This Row],[Pagado]]</f>
        <v>0</v>
      </c>
      <c r="H2653" s="153" t="s">
        <v>10</v>
      </c>
    </row>
    <row r="2654" spans="1:8" x14ac:dyDescent="0.25">
      <c r="A2654" s="73">
        <v>44767</v>
      </c>
      <c r="B2654" s="74" t="s">
        <v>24021</v>
      </c>
      <c r="C2654" s="75" t="s">
        <v>440</v>
      </c>
      <c r="D2654" s="81">
        <v>5524.44</v>
      </c>
      <c r="E2654" s="151">
        <v>44791</v>
      </c>
      <c r="F2654" s="81">
        <v>5524.44</v>
      </c>
      <c r="G2654" s="156">
        <f>Tabla18[[#This Row],[Importe]]-Tabla18[[#This Row],[Pagado]]</f>
        <v>0</v>
      </c>
      <c r="H2654" s="75" t="s">
        <v>10</v>
      </c>
    </row>
    <row r="2655" spans="1:8" x14ac:dyDescent="0.25">
      <c r="A2655" s="148">
        <v>44767</v>
      </c>
      <c r="B2655" s="149" t="s">
        <v>24022</v>
      </c>
      <c r="C2655" s="153" t="s">
        <v>301</v>
      </c>
      <c r="D2655" s="154">
        <v>24846</v>
      </c>
      <c r="E2655" s="155">
        <v>44767</v>
      </c>
      <c r="F2655" s="154">
        <v>24846</v>
      </c>
      <c r="G2655" s="156">
        <f>Tabla18[[#This Row],[Importe]]-Tabla18[[#This Row],[Pagado]]</f>
        <v>0</v>
      </c>
      <c r="H2655" s="153" t="s">
        <v>10</v>
      </c>
    </row>
    <row r="2656" spans="1:8" x14ac:dyDescent="0.25">
      <c r="A2656" s="73">
        <v>44767</v>
      </c>
      <c r="B2656" s="74" t="s">
        <v>24023</v>
      </c>
      <c r="C2656" s="75" t="s">
        <v>301</v>
      </c>
      <c r="D2656" s="81">
        <v>304</v>
      </c>
      <c r="E2656" s="151">
        <v>44767</v>
      </c>
      <c r="F2656" s="81">
        <v>304</v>
      </c>
      <c r="G2656" s="156">
        <f>Tabla18[[#This Row],[Importe]]-Tabla18[[#This Row],[Pagado]]</f>
        <v>0</v>
      </c>
      <c r="H2656" s="75" t="s">
        <v>10</v>
      </c>
    </row>
    <row r="2657" spans="1:8" x14ac:dyDescent="0.25">
      <c r="A2657" s="148">
        <v>44767</v>
      </c>
      <c r="B2657" s="149" t="s">
        <v>24024</v>
      </c>
      <c r="C2657" s="153" t="s">
        <v>53</v>
      </c>
      <c r="D2657" s="154">
        <v>2271.9</v>
      </c>
      <c r="E2657" s="155">
        <v>44767</v>
      </c>
      <c r="F2657" s="154">
        <v>2271.9</v>
      </c>
      <c r="G2657" s="156">
        <f>Tabla18[[#This Row],[Importe]]-Tabla18[[#This Row],[Pagado]]</f>
        <v>0</v>
      </c>
      <c r="H2657" s="153" t="s">
        <v>10</v>
      </c>
    </row>
    <row r="2658" spans="1:8" x14ac:dyDescent="0.25">
      <c r="A2658" s="73">
        <v>44767</v>
      </c>
      <c r="B2658" s="74" t="s">
        <v>24025</v>
      </c>
      <c r="C2658" s="75" t="s">
        <v>51</v>
      </c>
      <c r="D2658" s="81">
        <v>646</v>
      </c>
      <c r="E2658" s="151">
        <v>44767</v>
      </c>
      <c r="F2658" s="81">
        <v>646</v>
      </c>
      <c r="G2658" s="156">
        <f>Tabla18[[#This Row],[Importe]]-Tabla18[[#This Row],[Pagado]]</f>
        <v>0</v>
      </c>
      <c r="H2658" s="75" t="s">
        <v>10</v>
      </c>
    </row>
    <row r="2659" spans="1:8" x14ac:dyDescent="0.25">
      <c r="A2659" s="148">
        <v>44767</v>
      </c>
      <c r="B2659" s="149" t="s">
        <v>24026</v>
      </c>
      <c r="C2659" s="153" t="s">
        <v>10678</v>
      </c>
      <c r="D2659" s="154">
        <v>2747</v>
      </c>
      <c r="E2659" s="155">
        <v>44767</v>
      </c>
      <c r="F2659" s="154">
        <v>2747</v>
      </c>
      <c r="G2659" s="156">
        <f>Tabla18[[#This Row],[Importe]]-Tabla18[[#This Row],[Pagado]]</f>
        <v>0</v>
      </c>
      <c r="H2659" s="153" t="s">
        <v>10</v>
      </c>
    </row>
    <row r="2660" spans="1:8" x14ac:dyDescent="0.25">
      <c r="A2660" s="73">
        <v>44767</v>
      </c>
      <c r="B2660" s="74" t="s">
        <v>24027</v>
      </c>
      <c r="C2660" s="75" t="s">
        <v>1339</v>
      </c>
      <c r="D2660" s="81">
        <v>5053.5</v>
      </c>
      <c r="E2660" s="151">
        <v>44782</v>
      </c>
      <c r="F2660" s="81">
        <v>5053.5</v>
      </c>
      <c r="G2660" s="156">
        <f>Tabla18[[#This Row],[Importe]]-Tabla18[[#This Row],[Pagado]]</f>
        <v>0</v>
      </c>
      <c r="H2660" s="75" t="s">
        <v>10</v>
      </c>
    </row>
    <row r="2661" spans="1:8" x14ac:dyDescent="0.25">
      <c r="A2661" s="148">
        <v>44767</v>
      </c>
      <c r="B2661" s="149" t="s">
        <v>24028</v>
      </c>
      <c r="C2661" s="153" t="s">
        <v>296</v>
      </c>
      <c r="D2661" s="154">
        <v>2307.6</v>
      </c>
      <c r="E2661" s="155">
        <v>44767</v>
      </c>
      <c r="F2661" s="154">
        <v>2307.6</v>
      </c>
      <c r="G2661" s="156">
        <f>Tabla18[[#This Row],[Importe]]-Tabla18[[#This Row],[Pagado]]</f>
        <v>0</v>
      </c>
      <c r="H2661" s="153" t="s">
        <v>10</v>
      </c>
    </row>
    <row r="2662" spans="1:8" x14ac:dyDescent="0.25">
      <c r="A2662" s="73">
        <v>44767</v>
      </c>
      <c r="B2662" s="74" t="s">
        <v>24029</v>
      </c>
      <c r="C2662" s="75" t="s">
        <v>371</v>
      </c>
      <c r="D2662" s="81">
        <v>16512</v>
      </c>
      <c r="E2662" s="151">
        <v>44767</v>
      </c>
      <c r="F2662" s="81">
        <v>16512</v>
      </c>
      <c r="G2662" s="156">
        <f>Tabla18[[#This Row],[Importe]]-Tabla18[[#This Row],[Pagado]]</f>
        <v>0</v>
      </c>
      <c r="H2662" s="75" t="s">
        <v>10</v>
      </c>
    </row>
    <row r="2663" spans="1:8" x14ac:dyDescent="0.25">
      <c r="A2663" s="148">
        <v>44767</v>
      </c>
      <c r="B2663" s="149" t="s">
        <v>24030</v>
      </c>
      <c r="C2663" s="153" t="s">
        <v>994</v>
      </c>
      <c r="D2663" s="154">
        <v>1276.8</v>
      </c>
      <c r="E2663" s="155">
        <v>44767</v>
      </c>
      <c r="F2663" s="154">
        <v>1276.8</v>
      </c>
      <c r="G2663" s="156">
        <f>Tabla18[[#This Row],[Importe]]-Tabla18[[#This Row],[Pagado]]</f>
        <v>0</v>
      </c>
      <c r="H2663" s="153" t="s">
        <v>10</v>
      </c>
    </row>
    <row r="2664" spans="1:8" x14ac:dyDescent="0.25">
      <c r="A2664" s="73">
        <v>44767</v>
      </c>
      <c r="B2664" s="74" t="s">
        <v>24031</v>
      </c>
      <c r="C2664" s="75" t="s">
        <v>10840</v>
      </c>
      <c r="D2664" s="81">
        <v>33167.199999999997</v>
      </c>
      <c r="E2664" s="151">
        <v>44774</v>
      </c>
      <c r="F2664" s="81">
        <v>33167.199999999997</v>
      </c>
      <c r="G2664" s="156">
        <f>Tabla18[[#This Row],[Importe]]-Tabla18[[#This Row],[Pagado]]</f>
        <v>0</v>
      </c>
      <c r="H2664" s="75" t="s">
        <v>10</v>
      </c>
    </row>
    <row r="2665" spans="1:8" x14ac:dyDescent="0.25">
      <c r="A2665" s="148">
        <v>44767</v>
      </c>
      <c r="B2665" s="149" t="s">
        <v>24032</v>
      </c>
      <c r="C2665" s="153" t="s">
        <v>179</v>
      </c>
      <c r="D2665" s="154">
        <v>1520.4</v>
      </c>
      <c r="E2665" s="155">
        <v>44768</v>
      </c>
      <c r="F2665" s="154">
        <v>1520.4</v>
      </c>
      <c r="G2665" s="156">
        <f>Tabla18[[#This Row],[Importe]]-Tabla18[[#This Row],[Pagado]]</f>
        <v>0</v>
      </c>
      <c r="H2665" s="153" t="s">
        <v>10</v>
      </c>
    </row>
    <row r="2666" spans="1:8" x14ac:dyDescent="0.25">
      <c r="A2666" s="73">
        <v>44767</v>
      </c>
      <c r="B2666" s="74" t="s">
        <v>24033</v>
      </c>
      <c r="C2666" s="75" t="s">
        <v>31</v>
      </c>
      <c r="D2666" s="81">
        <v>273</v>
      </c>
      <c r="E2666" s="151">
        <v>44767</v>
      </c>
      <c r="F2666" s="81">
        <v>273</v>
      </c>
      <c r="G2666" s="156">
        <f>Tabla18[[#This Row],[Importe]]-Tabla18[[#This Row],[Pagado]]</f>
        <v>0</v>
      </c>
      <c r="H2666" s="75" t="s">
        <v>10</v>
      </c>
    </row>
    <row r="2667" spans="1:8" x14ac:dyDescent="0.25">
      <c r="A2667" s="148">
        <v>44767</v>
      </c>
      <c r="B2667" s="149" t="s">
        <v>24034</v>
      </c>
      <c r="C2667" s="153" t="s">
        <v>6273</v>
      </c>
      <c r="D2667" s="154">
        <v>3120</v>
      </c>
      <c r="E2667" s="155">
        <v>44791</v>
      </c>
      <c r="F2667" s="154">
        <v>3120</v>
      </c>
      <c r="G2667" s="156">
        <f>Tabla18[[#This Row],[Importe]]-Tabla18[[#This Row],[Pagado]]</f>
        <v>0</v>
      </c>
      <c r="H2667" s="153" t="s">
        <v>10</v>
      </c>
    </row>
    <row r="2668" spans="1:8" x14ac:dyDescent="0.25">
      <c r="A2668" s="73">
        <v>44767</v>
      </c>
      <c r="B2668" s="74" t="s">
        <v>24035</v>
      </c>
      <c r="C2668" s="75" t="s">
        <v>31</v>
      </c>
      <c r="D2668" s="81">
        <v>270</v>
      </c>
      <c r="E2668" s="151">
        <v>44767</v>
      </c>
      <c r="F2668" s="81">
        <v>270</v>
      </c>
      <c r="G2668" s="156">
        <f>Tabla18[[#This Row],[Importe]]-Tabla18[[#This Row],[Pagado]]</f>
        <v>0</v>
      </c>
      <c r="H2668" s="75" t="s">
        <v>10</v>
      </c>
    </row>
    <row r="2669" spans="1:8" x14ac:dyDescent="0.25">
      <c r="A2669" s="148">
        <v>44768</v>
      </c>
      <c r="B2669" s="149" t="s">
        <v>24036</v>
      </c>
      <c r="C2669" s="153" t="s">
        <v>473</v>
      </c>
      <c r="D2669" s="154">
        <v>3470.6</v>
      </c>
      <c r="E2669" s="155">
        <v>44768</v>
      </c>
      <c r="F2669" s="154">
        <v>3470.6</v>
      </c>
      <c r="G2669" s="156">
        <f>Tabla18[[#This Row],[Importe]]-Tabla18[[#This Row],[Pagado]]</f>
        <v>0</v>
      </c>
      <c r="H2669" s="153" t="s">
        <v>10</v>
      </c>
    </row>
    <row r="2670" spans="1:8" x14ac:dyDescent="0.25">
      <c r="A2670" s="73">
        <v>44768</v>
      </c>
      <c r="B2670" s="74" t="s">
        <v>24037</v>
      </c>
      <c r="C2670" s="75" t="s">
        <v>75</v>
      </c>
      <c r="D2670" s="81">
        <v>7774.4</v>
      </c>
      <c r="E2670" s="151">
        <v>44768</v>
      </c>
      <c r="F2670" s="81">
        <v>7774.4</v>
      </c>
      <c r="G2670" s="156">
        <f>Tabla18[[#This Row],[Importe]]-Tabla18[[#This Row],[Pagado]]</f>
        <v>0</v>
      </c>
      <c r="H2670" s="75" t="s">
        <v>10</v>
      </c>
    </row>
    <row r="2671" spans="1:8" x14ac:dyDescent="0.25">
      <c r="A2671" s="148">
        <v>44768</v>
      </c>
      <c r="B2671" s="149" t="s">
        <v>24038</v>
      </c>
      <c r="C2671" s="153" t="s">
        <v>326</v>
      </c>
      <c r="D2671" s="154">
        <v>5471.4</v>
      </c>
      <c r="E2671" s="155">
        <v>44769</v>
      </c>
      <c r="F2671" s="154">
        <v>5471.4</v>
      </c>
      <c r="G2671" s="156">
        <f>Tabla18[[#This Row],[Importe]]-Tabla18[[#This Row],[Pagado]]</f>
        <v>0</v>
      </c>
      <c r="H2671" s="153" t="s">
        <v>10</v>
      </c>
    </row>
    <row r="2672" spans="1:8" x14ac:dyDescent="0.25">
      <c r="A2672" s="73">
        <v>44768</v>
      </c>
      <c r="B2672" s="74" t="s">
        <v>24039</v>
      </c>
      <c r="C2672" s="75" t="s">
        <v>89</v>
      </c>
      <c r="D2672" s="81">
        <v>5572.8</v>
      </c>
      <c r="E2672" s="151">
        <v>44769</v>
      </c>
      <c r="F2672" s="81">
        <v>5572.8</v>
      </c>
      <c r="G2672" s="156">
        <f>Tabla18[[#This Row],[Importe]]-Tabla18[[#This Row],[Pagado]]</f>
        <v>0</v>
      </c>
      <c r="H2672" s="75" t="s">
        <v>10</v>
      </c>
    </row>
    <row r="2673" spans="1:8" x14ac:dyDescent="0.25">
      <c r="A2673" s="148">
        <v>44768</v>
      </c>
      <c r="B2673" s="149" t="s">
        <v>24040</v>
      </c>
      <c r="C2673" s="153" t="s">
        <v>99</v>
      </c>
      <c r="D2673" s="154">
        <v>3801.6</v>
      </c>
      <c r="E2673" s="155">
        <v>44769</v>
      </c>
      <c r="F2673" s="154">
        <v>3801.6</v>
      </c>
      <c r="G2673" s="156">
        <f>Tabla18[[#This Row],[Importe]]-Tabla18[[#This Row],[Pagado]]</f>
        <v>0</v>
      </c>
      <c r="H2673" s="153" t="s">
        <v>10</v>
      </c>
    </row>
    <row r="2674" spans="1:8" x14ac:dyDescent="0.25">
      <c r="A2674" s="73">
        <v>44768</v>
      </c>
      <c r="B2674" s="74" t="s">
        <v>24041</v>
      </c>
      <c r="C2674" s="75" t="s">
        <v>64</v>
      </c>
      <c r="D2674" s="81">
        <v>5365.8</v>
      </c>
      <c r="E2674" s="151">
        <v>44769</v>
      </c>
      <c r="F2674" s="81">
        <v>5365.8</v>
      </c>
      <c r="G2674" s="156">
        <f>Tabla18[[#This Row],[Importe]]-Tabla18[[#This Row],[Pagado]]</f>
        <v>0</v>
      </c>
      <c r="H2674" s="75" t="s">
        <v>10</v>
      </c>
    </row>
    <row r="2675" spans="1:8" x14ac:dyDescent="0.25">
      <c r="A2675" s="148">
        <v>44768</v>
      </c>
      <c r="B2675" s="149" t="s">
        <v>24042</v>
      </c>
      <c r="C2675" s="153" t="s">
        <v>114</v>
      </c>
      <c r="D2675" s="154">
        <v>5497.6</v>
      </c>
      <c r="E2675" s="155">
        <v>44770</v>
      </c>
      <c r="F2675" s="154">
        <v>5497.6</v>
      </c>
      <c r="G2675" s="156">
        <f>Tabla18[[#This Row],[Importe]]-Tabla18[[#This Row],[Pagado]]</f>
        <v>0</v>
      </c>
      <c r="H2675" s="153" t="s">
        <v>10</v>
      </c>
    </row>
    <row r="2676" spans="1:8" x14ac:dyDescent="0.25">
      <c r="A2676" s="73">
        <v>44768</v>
      </c>
      <c r="B2676" s="74" t="s">
        <v>24043</v>
      </c>
      <c r="C2676" s="75" t="s">
        <v>348</v>
      </c>
      <c r="D2676" s="81">
        <v>2323.1999999999998</v>
      </c>
      <c r="E2676" s="151">
        <v>44768</v>
      </c>
      <c r="F2676" s="81">
        <v>2323.1999999999998</v>
      </c>
      <c r="G2676" s="156">
        <f>Tabla18[[#This Row],[Importe]]-Tabla18[[#This Row],[Pagado]]</f>
        <v>0</v>
      </c>
      <c r="H2676" s="75" t="s">
        <v>10</v>
      </c>
    </row>
    <row r="2677" spans="1:8" x14ac:dyDescent="0.25">
      <c r="A2677" s="148">
        <v>44768</v>
      </c>
      <c r="B2677" s="149" t="s">
        <v>24044</v>
      </c>
      <c r="C2677" s="153" t="s">
        <v>2563</v>
      </c>
      <c r="D2677" s="154">
        <v>5299.8</v>
      </c>
      <c r="E2677" s="155">
        <v>44769</v>
      </c>
      <c r="F2677" s="154">
        <v>5299.8</v>
      </c>
      <c r="G2677" s="156">
        <f>Tabla18[[#This Row],[Importe]]-Tabla18[[#This Row],[Pagado]]</f>
        <v>0</v>
      </c>
      <c r="H2677" s="153" t="s">
        <v>10</v>
      </c>
    </row>
    <row r="2678" spans="1:8" x14ac:dyDescent="0.25">
      <c r="A2678" s="73">
        <v>44768</v>
      </c>
      <c r="B2678" s="74" t="s">
        <v>24045</v>
      </c>
      <c r="C2678" s="75" t="s">
        <v>2151</v>
      </c>
      <c r="D2678" s="81">
        <v>16222.8</v>
      </c>
      <c r="E2678" s="151">
        <v>44768</v>
      </c>
      <c r="F2678" s="81">
        <v>16222.8</v>
      </c>
      <c r="G2678" s="156">
        <f>Tabla18[[#This Row],[Importe]]-Tabla18[[#This Row],[Pagado]]</f>
        <v>0</v>
      </c>
      <c r="H2678" s="75" t="s">
        <v>10</v>
      </c>
    </row>
    <row r="2679" spans="1:8" x14ac:dyDescent="0.25">
      <c r="A2679" s="148">
        <v>44768</v>
      </c>
      <c r="B2679" s="149" t="s">
        <v>24046</v>
      </c>
      <c r="C2679" s="153" t="s">
        <v>105</v>
      </c>
      <c r="D2679" s="154">
        <v>6441.4</v>
      </c>
      <c r="E2679" s="155">
        <v>44769</v>
      </c>
      <c r="F2679" s="154">
        <v>6441.4</v>
      </c>
      <c r="G2679" s="156">
        <f>Tabla18[[#This Row],[Importe]]-Tabla18[[#This Row],[Pagado]]</f>
        <v>0</v>
      </c>
      <c r="H2679" s="153" t="s">
        <v>10</v>
      </c>
    </row>
    <row r="2680" spans="1:8" x14ac:dyDescent="0.25">
      <c r="A2680" s="73">
        <v>44768</v>
      </c>
      <c r="B2680" s="74" t="s">
        <v>24047</v>
      </c>
      <c r="C2680" s="75" t="s">
        <v>111</v>
      </c>
      <c r="D2680" s="81">
        <v>5798.4</v>
      </c>
      <c r="E2680" s="151">
        <v>44770</v>
      </c>
      <c r="F2680" s="81">
        <v>5798.4</v>
      </c>
      <c r="G2680" s="156">
        <f>Tabla18[[#This Row],[Importe]]-Tabla18[[#This Row],[Pagado]]</f>
        <v>0</v>
      </c>
      <c r="H2680" s="75" t="s">
        <v>10</v>
      </c>
    </row>
    <row r="2681" spans="1:8" x14ac:dyDescent="0.25">
      <c r="A2681" s="148">
        <v>44768</v>
      </c>
      <c r="B2681" s="149" t="s">
        <v>24048</v>
      </c>
      <c r="C2681" s="153" t="s">
        <v>353</v>
      </c>
      <c r="D2681" s="154">
        <v>704.7</v>
      </c>
      <c r="E2681" s="155">
        <v>44768</v>
      </c>
      <c r="F2681" s="154">
        <v>704.7</v>
      </c>
      <c r="G2681" s="156">
        <f>Tabla18[[#This Row],[Importe]]-Tabla18[[#This Row],[Pagado]]</f>
        <v>0</v>
      </c>
      <c r="H2681" s="153" t="s">
        <v>10</v>
      </c>
    </row>
    <row r="2682" spans="1:8" x14ac:dyDescent="0.25">
      <c r="A2682" s="73">
        <v>44768</v>
      </c>
      <c r="B2682" s="74" t="s">
        <v>24049</v>
      </c>
      <c r="C2682" s="75" t="s">
        <v>314</v>
      </c>
      <c r="D2682" s="81">
        <v>3766.8</v>
      </c>
      <c r="E2682" s="151">
        <v>44768</v>
      </c>
      <c r="F2682" s="81">
        <v>3766.8</v>
      </c>
      <c r="G2682" s="156">
        <f>Tabla18[[#This Row],[Importe]]-Tabla18[[#This Row],[Pagado]]</f>
        <v>0</v>
      </c>
      <c r="H2682" s="75" t="s">
        <v>10</v>
      </c>
    </row>
    <row r="2683" spans="1:8" x14ac:dyDescent="0.25">
      <c r="A2683" s="148">
        <v>44768</v>
      </c>
      <c r="B2683" s="149" t="s">
        <v>24050</v>
      </c>
      <c r="C2683" s="153" t="s">
        <v>83</v>
      </c>
      <c r="D2683" s="154">
        <v>6023.8</v>
      </c>
      <c r="E2683" s="155">
        <v>44768</v>
      </c>
      <c r="F2683" s="154">
        <v>6023.8</v>
      </c>
      <c r="G2683" s="156">
        <f>Tabla18[[#This Row],[Importe]]-Tabla18[[#This Row],[Pagado]]</f>
        <v>0</v>
      </c>
      <c r="H2683" s="153" t="s">
        <v>10</v>
      </c>
    </row>
    <row r="2684" spans="1:8" x14ac:dyDescent="0.25">
      <c r="A2684" s="73">
        <v>44768</v>
      </c>
      <c r="B2684" s="74" t="s">
        <v>24051</v>
      </c>
      <c r="C2684" s="75" t="s">
        <v>31</v>
      </c>
      <c r="D2684" s="81">
        <v>4951.3</v>
      </c>
      <c r="E2684" s="151">
        <v>44768</v>
      </c>
      <c r="F2684" s="81">
        <v>4951.3</v>
      </c>
      <c r="G2684" s="156">
        <f>Tabla18[[#This Row],[Importe]]-Tabla18[[#This Row],[Pagado]]</f>
        <v>0</v>
      </c>
      <c r="H2684" s="75" t="s">
        <v>10</v>
      </c>
    </row>
    <row r="2685" spans="1:8" x14ac:dyDescent="0.25">
      <c r="A2685" s="148">
        <v>44768</v>
      </c>
      <c r="B2685" s="149" t="s">
        <v>24052</v>
      </c>
      <c r="C2685" s="153" t="s">
        <v>93</v>
      </c>
      <c r="D2685" s="154">
        <v>8721.4</v>
      </c>
      <c r="E2685" s="155">
        <v>44770</v>
      </c>
      <c r="F2685" s="154">
        <v>8721.4</v>
      </c>
      <c r="G2685" s="156">
        <f>Tabla18[[#This Row],[Importe]]-Tabla18[[#This Row],[Pagado]]</f>
        <v>0</v>
      </c>
      <c r="H2685" s="153" t="s">
        <v>10</v>
      </c>
    </row>
    <row r="2686" spans="1:8" x14ac:dyDescent="0.25">
      <c r="A2686" s="73">
        <v>44768</v>
      </c>
      <c r="B2686" s="74" t="s">
        <v>24053</v>
      </c>
      <c r="C2686" s="75" t="s">
        <v>135</v>
      </c>
      <c r="D2686" s="81">
        <v>2886.9</v>
      </c>
      <c r="E2686" s="151">
        <v>44768</v>
      </c>
      <c r="F2686" s="81">
        <v>2886.9</v>
      </c>
      <c r="G2686" s="156">
        <f>Tabla18[[#This Row],[Importe]]-Tabla18[[#This Row],[Pagado]]</f>
        <v>0</v>
      </c>
      <c r="H2686" s="75" t="s">
        <v>10</v>
      </c>
    </row>
    <row r="2687" spans="1:8" x14ac:dyDescent="0.25">
      <c r="A2687" s="148">
        <v>44768</v>
      </c>
      <c r="B2687" s="149" t="s">
        <v>24054</v>
      </c>
      <c r="C2687" s="153" t="s">
        <v>9</v>
      </c>
      <c r="D2687" s="154">
        <v>6777.9</v>
      </c>
      <c r="E2687" s="155">
        <v>44768</v>
      </c>
      <c r="F2687" s="154">
        <v>6777.9</v>
      </c>
      <c r="G2687" s="156">
        <f>Tabla18[[#This Row],[Importe]]-Tabla18[[#This Row],[Pagado]]</f>
        <v>0</v>
      </c>
      <c r="H2687" s="153" t="s">
        <v>10</v>
      </c>
    </row>
    <row r="2688" spans="1:8" ht="31.5" x14ac:dyDescent="0.25">
      <c r="A2688" s="73">
        <v>44768</v>
      </c>
      <c r="B2688" s="74" t="s">
        <v>24055</v>
      </c>
      <c r="C2688" s="75" t="s">
        <v>22</v>
      </c>
      <c r="D2688" s="81">
        <v>37290</v>
      </c>
      <c r="E2688" s="147" t="s">
        <v>24056</v>
      </c>
      <c r="F2688" s="81">
        <f>24000+13290</f>
        <v>37290</v>
      </c>
      <c r="G2688" s="156">
        <f>Tabla18[[#This Row],[Importe]]-Tabla18[[#This Row],[Pagado]]</f>
        <v>0</v>
      </c>
      <c r="H2688" s="75" t="s">
        <v>10</v>
      </c>
    </row>
    <row r="2689" spans="1:8" x14ac:dyDescent="0.25">
      <c r="A2689" s="148">
        <v>44768</v>
      </c>
      <c r="B2689" s="149" t="s">
        <v>24057</v>
      </c>
      <c r="C2689" s="153" t="s">
        <v>16</v>
      </c>
      <c r="D2689" s="154">
        <v>6769.1</v>
      </c>
      <c r="E2689" s="155">
        <v>44768</v>
      </c>
      <c r="F2689" s="154">
        <v>6769.1</v>
      </c>
      <c r="G2689" s="156">
        <f>Tabla18[[#This Row],[Importe]]-Tabla18[[#This Row],[Pagado]]</f>
        <v>0</v>
      </c>
      <c r="H2689" s="153" t="s">
        <v>10</v>
      </c>
    </row>
    <row r="2690" spans="1:8" x14ac:dyDescent="0.25">
      <c r="A2690" s="73">
        <v>44768</v>
      </c>
      <c r="B2690" s="74" t="s">
        <v>24058</v>
      </c>
      <c r="C2690" s="75" t="s">
        <v>11033</v>
      </c>
      <c r="D2690" s="81">
        <v>1730.1</v>
      </c>
      <c r="E2690" s="151">
        <v>44768</v>
      </c>
      <c r="F2690" s="81">
        <v>1730.1</v>
      </c>
      <c r="G2690" s="156">
        <f>Tabla18[[#This Row],[Importe]]-Tabla18[[#This Row],[Pagado]]</f>
        <v>0</v>
      </c>
      <c r="H2690" s="75" t="s">
        <v>10</v>
      </c>
    </row>
    <row r="2691" spans="1:8" x14ac:dyDescent="0.25">
      <c r="A2691" s="148">
        <v>44768</v>
      </c>
      <c r="B2691" s="149" t="s">
        <v>24059</v>
      </c>
      <c r="C2691" s="153" t="s">
        <v>466</v>
      </c>
      <c r="D2691" s="154">
        <v>9360</v>
      </c>
      <c r="E2691" s="155">
        <v>44768</v>
      </c>
      <c r="F2691" s="154">
        <v>9360</v>
      </c>
      <c r="G2691" s="156">
        <f>Tabla18[[#This Row],[Importe]]-Tabla18[[#This Row],[Pagado]]</f>
        <v>0</v>
      </c>
      <c r="H2691" s="153" t="s">
        <v>10</v>
      </c>
    </row>
    <row r="2692" spans="1:8" x14ac:dyDescent="0.25">
      <c r="A2692" s="73">
        <v>44768</v>
      </c>
      <c r="B2692" s="74" t="s">
        <v>24060</v>
      </c>
      <c r="C2692" s="75" t="s">
        <v>1239</v>
      </c>
      <c r="D2692" s="81">
        <v>27725.599999999999</v>
      </c>
      <c r="E2692" s="151">
        <v>44768</v>
      </c>
      <c r="F2692" s="81">
        <v>27725.599999999999</v>
      </c>
      <c r="G2692" s="156">
        <f>Tabla18[[#This Row],[Importe]]-Tabla18[[#This Row],[Pagado]]</f>
        <v>0</v>
      </c>
      <c r="H2692" s="75" t="s">
        <v>10</v>
      </c>
    </row>
    <row r="2693" spans="1:8" x14ac:dyDescent="0.25">
      <c r="A2693" s="148">
        <v>44768</v>
      </c>
      <c r="B2693" s="149" t="s">
        <v>24061</v>
      </c>
      <c r="C2693" s="153" t="s">
        <v>62</v>
      </c>
      <c r="D2693" s="154">
        <v>3939</v>
      </c>
      <c r="E2693" s="155">
        <v>44768</v>
      </c>
      <c r="F2693" s="154">
        <v>3939</v>
      </c>
      <c r="G2693" s="156">
        <f>Tabla18[[#This Row],[Importe]]-Tabla18[[#This Row],[Pagado]]</f>
        <v>0</v>
      </c>
      <c r="H2693" s="153" t="s">
        <v>10</v>
      </c>
    </row>
    <row r="2694" spans="1:8" x14ac:dyDescent="0.25">
      <c r="A2694" s="73">
        <v>44768</v>
      </c>
      <c r="B2694" s="74" t="s">
        <v>24062</v>
      </c>
      <c r="C2694" s="75" t="s">
        <v>24</v>
      </c>
      <c r="D2694" s="81">
        <v>4296.3999999999996</v>
      </c>
      <c r="E2694" s="151">
        <v>44768</v>
      </c>
      <c r="F2694" s="81">
        <v>4296.3999999999996</v>
      </c>
      <c r="G2694" s="156">
        <f>Tabla18[[#This Row],[Importe]]-Tabla18[[#This Row],[Pagado]]</f>
        <v>0</v>
      </c>
      <c r="H2694" s="75" t="s">
        <v>10</v>
      </c>
    </row>
    <row r="2695" spans="1:8" x14ac:dyDescent="0.25">
      <c r="A2695" s="148">
        <v>44768</v>
      </c>
      <c r="B2695" s="149" t="s">
        <v>24063</v>
      </c>
      <c r="C2695" s="153" t="s">
        <v>45</v>
      </c>
      <c r="D2695" s="154">
        <v>9857.7999999999993</v>
      </c>
      <c r="E2695" s="155">
        <v>44768</v>
      </c>
      <c r="F2695" s="154">
        <v>9857.7999999999993</v>
      </c>
      <c r="G2695" s="156">
        <f>Tabla18[[#This Row],[Importe]]-Tabla18[[#This Row],[Pagado]]</f>
        <v>0</v>
      </c>
      <c r="H2695" s="153" t="s">
        <v>10</v>
      </c>
    </row>
    <row r="2696" spans="1:8" x14ac:dyDescent="0.25">
      <c r="A2696" s="73">
        <v>44768</v>
      </c>
      <c r="B2696" s="74" t="s">
        <v>24064</v>
      </c>
      <c r="C2696" s="75" t="s">
        <v>698</v>
      </c>
      <c r="D2696" s="81">
        <v>5773.2</v>
      </c>
      <c r="E2696" s="151">
        <v>44768</v>
      </c>
      <c r="F2696" s="81">
        <v>5773.2</v>
      </c>
      <c r="G2696" s="156">
        <f>Tabla18[[#This Row],[Importe]]-Tabla18[[#This Row],[Pagado]]</f>
        <v>0</v>
      </c>
      <c r="H2696" s="75" t="s">
        <v>10</v>
      </c>
    </row>
    <row r="2697" spans="1:8" x14ac:dyDescent="0.25">
      <c r="A2697" s="148">
        <v>44768</v>
      </c>
      <c r="B2697" s="149" t="s">
        <v>24065</v>
      </c>
      <c r="C2697" s="153" t="s">
        <v>22783</v>
      </c>
      <c r="D2697" s="154">
        <v>1976.7</v>
      </c>
      <c r="E2697" s="155">
        <v>44768</v>
      </c>
      <c r="F2697" s="154">
        <v>1976.7</v>
      </c>
      <c r="G2697" s="156">
        <f>Tabla18[[#This Row],[Importe]]-Tabla18[[#This Row],[Pagado]]</f>
        <v>0</v>
      </c>
      <c r="H2697" s="153" t="s">
        <v>10</v>
      </c>
    </row>
    <row r="2698" spans="1:8" x14ac:dyDescent="0.25">
      <c r="A2698" s="73">
        <v>44768</v>
      </c>
      <c r="B2698" s="74" t="s">
        <v>24066</v>
      </c>
      <c r="C2698" s="75" t="s">
        <v>31</v>
      </c>
      <c r="D2698" s="81">
        <v>2107</v>
      </c>
      <c r="E2698" s="151">
        <v>44768</v>
      </c>
      <c r="F2698" s="81">
        <v>2107</v>
      </c>
      <c r="G2698" s="156">
        <f>Tabla18[[#This Row],[Importe]]-Tabla18[[#This Row],[Pagado]]</f>
        <v>0</v>
      </c>
      <c r="H2698" s="75" t="s">
        <v>10</v>
      </c>
    </row>
    <row r="2699" spans="1:8" x14ac:dyDescent="0.25">
      <c r="A2699" s="148">
        <v>44768</v>
      </c>
      <c r="B2699" s="149" t="s">
        <v>24067</v>
      </c>
      <c r="C2699" s="153" t="s">
        <v>79</v>
      </c>
      <c r="D2699" s="154">
        <v>26512.2</v>
      </c>
      <c r="E2699" s="155">
        <v>44768</v>
      </c>
      <c r="F2699" s="154">
        <v>26512.2</v>
      </c>
      <c r="G2699" s="156">
        <f>Tabla18[[#This Row],[Importe]]-Tabla18[[#This Row],[Pagado]]</f>
        <v>0</v>
      </c>
      <c r="H2699" s="153" t="s">
        <v>10</v>
      </c>
    </row>
    <row r="2700" spans="1:8" x14ac:dyDescent="0.25">
      <c r="A2700" s="73">
        <v>44768</v>
      </c>
      <c r="B2700" s="74" t="s">
        <v>24068</v>
      </c>
      <c r="C2700" s="75" t="s">
        <v>312</v>
      </c>
      <c r="D2700" s="81">
        <v>5398.9</v>
      </c>
      <c r="E2700" s="151">
        <v>44768</v>
      </c>
      <c r="F2700" s="81">
        <v>5398.9</v>
      </c>
      <c r="G2700" s="156">
        <f>Tabla18[[#This Row],[Importe]]-Tabla18[[#This Row],[Pagado]]</f>
        <v>0</v>
      </c>
      <c r="H2700" s="75" t="s">
        <v>10</v>
      </c>
    </row>
    <row r="2701" spans="1:8" x14ac:dyDescent="0.25">
      <c r="A2701" s="148">
        <v>44768</v>
      </c>
      <c r="B2701" s="149" t="s">
        <v>24069</v>
      </c>
      <c r="C2701" s="153" t="s">
        <v>1350</v>
      </c>
      <c r="D2701" s="154">
        <v>1005.4</v>
      </c>
      <c r="E2701" s="155">
        <v>44768</v>
      </c>
      <c r="F2701" s="154">
        <v>1005.4</v>
      </c>
      <c r="G2701" s="156">
        <f>Tabla18[[#This Row],[Importe]]-Tabla18[[#This Row],[Pagado]]</f>
        <v>0</v>
      </c>
      <c r="H2701" s="153" t="s">
        <v>10</v>
      </c>
    </row>
    <row r="2702" spans="1:8" x14ac:dyDescent="0.25">
      <c r="A2702" s="73">
        <v>44768</v>
      </c>
      <c r="B2702" s="74" t="s">
        <v>24070</v>
      </c>
      <c r="C2702" s="75" t="s">
        <v>198</v>
      </c>
      <c r="D2702" s="81">
        <v>5226</v>
      </c>
      <c r="E2702" s="151">
        <v>44768</v>
      </c>
      <c r="F2702" s="81">
        <v>5226</v>
      </c>
      <c r="G2702" s="156">
        <f>Tabla18[[#This Row],[Importe]]-Tabla18[[#This Row],[Pagado]]</f>
        <v>0</v>
      </c>
      <c r="H2702" s="75" t="s">
        <v>10</v>
      </c>
    </row>
    <row r="2703" spans="1:8" x14ac:dyDescent="0.25">
      <c r="A2703" s="148">
        <v>44768</v>
      </c>
      <c r="B2703" s="149" t="s">
        <v>24071</v>
      </c>
      <c r="C2703" s="153" t="s">
        <v>359</v>
      </c>
      <c r="D2703" s="154">
        <v>1750.8</v>
      </c>
      <c r="E2703" s="155">
        <v>44768</v>
      </c>
      <c r="F2703" s="154">
        <v>1750.8</v>
      </c>
      <c r="G2703" s="156">
        <f>Tabla18[[#This Row],[Importe]]-Tabla18[[#This Row],[Pagado]]</f>
        <v>0</v>
      </c>
      <c r="H2703" s="153" t="s">
        <v>10</v>
      </c>
    </row>
    <row r="2704" spans="1:8" x14ac:dyDescent="0.25">
      <c r="A2704" s="73">
        <v>44768</v>
      </c>
      <c r="B2704" s="74" t="s">
        <v>24072</v>
      </c>
      <c r="C2704" s="75" t="s">
        <v>426</v>
      </c>
      <c r="D2704" s="81">
        <v>12837.3</v>
      </c>
      <c r="E2704" s="151">
        <v>44768</v>
      </c>
      <c r="F2704" s="81">
        <v>12837.3</v>
      </c>
      <c r="G2704" s="156">
        <f>Tabla18[[#This Row],[Importe]]-Tabla18[[#This Row],[Pagado]]</f>
        <v>0</v>
      </c>
      <c r="H2704" s="75" t="s">
        <v>10</v>
      </c>
    </row>
    <row r="2705" spans="1:8" x14ac:dyDescent="0.25">
      <c r="A2705" s="148">
        <v>44768</v>
      </c>
      <c r="B2705" s="149" t="s">
        <v>24073</v>
      </c>
      <c r="C2705" s="153" t="s">
        <v>1558</v>
      </c>
      <c r="D2705" s="154">
        <v>2074.6</v>
      </c>
      <c r="E2705" s="155">
        <v>44768</v>
      </c>
      <c r="F2705" s="154">
        <v>2074.6</v>
      </c>
      <c r="G2705" s="156">
        <f>Tabla18[[#This Row],[Importe]]-Tabla18[[#This Row],[Pagado]]</f>
        <v>0</v>
      </c>
      <c r="H2705" s="153" t="s">
        <v>10</v>
      </c>
    </row>
    <row r="2706" spans="1:8" x14ac:dyDescent="0.25">
      <c r="A2706" s="73">
        <v>44768</v>
      </c>
      <c r="B2706" s="74" t="s">
        <v>24074</v>
      </c>
      <c r="C2706" s="75" t="s">
        <v>91</v>
      </c>
      <c r="D2706" s="81">
        <v>4300</v>
      </c>
      <c r="E2706" s="151">
        <v>44770</v>
      </c>
      <c r="F2706" s="81">
        <v>4300</v>
      </c>
      <c r="G2706" s="156">
        <f>Tabla18[[#This Row],[Importe]]-Tabla18[[#This Row],[Pagado]]</f>
        <v>0</v>
      </c>
      <c r="H2706" s="75" t="s">
        <v>10</v>
      </c>
    </row>
    <row r="2707" spans="1:8" x14ac:dyDescent="0.25">
      <c r="A2707" s="148">
        <v>44768</v>
      </c>
      <c r="B2707" s="149" t="s">
        <v>24075</v>
      </c>
      <c r="C2707" s="153" t="s">
        <v>670</v>
      </c>
      <c r="D2707" s="154">
        <v>4496.8</v>
      </c>
      <c r="E2707" s="155">
        <v>44768</v>
      </c>
      <c r="F2707" s="154">
        <v>4496.8</v>
      </c>
      <c r="G2707" s="156">
        <f>Tabla18[[#This Row],[Importe]]-Tabla18[[#This Row],[Pagado]]</f>
        <v>0</v>
      </c>
      <c r="H2707" s="153" t="s">
        <v>10</v>
      </c>
    </row>
    <row r="2708" spans="1:8" x14ac:dyDescent="0.25">
      <c r="A2708" s="73">
        <v>44768</v>
      </c>
      <c r="B2708" s="74" t="s">
        <v>24076</v>
      </c>
      <c r="C2708" s="75" t="s">
        <v>31</v>
      </c>
      <c r="D2708" s="81">
        <v>841.4</v>
      </c>
      <c r="E2708" s="151">
        <v>44768</v>
      </c>
      <c r="F2708" s="81">
        <v>841.4</v>
      </c>
      <c r="G2708" s="156">
        <f>Tabla18[[#This Row],[Importe]]-Tabla18[[#This Row],[Pagado]]</f>
        <v>0</v>
      </c>
      <c r="H2708" s="75" t="s">
        <v>10</v>
      </c>
    </row>
    <row r="2709" spans="1:8" x14ac:dyDescent="0.25">
      <c r="A2709" s="148">
        <v>44768</v>
      </c>
      <c r="B2709" s="149" t="s">
        <v>24077</v>
      </c>
      <c r="C2709" s="153" t="s">
        <v>233</v>
      </c>
      <c r="D2709" s="154">
        <v>6209.2</v>
      </c>
      <c r="E2709" s="155">
        <v>44768</v>
      </c>
      <c r="F2709" s="154">
        <v>6209.2</v>
      </c>
      <c r="G2709" s="156">
        <f>Tabla18[[#This Row],[Importe]]-Tabla18[[#This Row],[Pagado]]</f>
        <v>0</v>
      </c>
      <c r="H2709" s="153" t="s">
        <v>10</v>
      </c>
    </row>
    <row r="2710" spans="1:8" x14ac:dyDescent="0.25">
      <c r="A2710" s="73">
        <v>44768</v>
      </c>
      <c r="B2710" s="74" t="s">
        <v>24078</v>
      </c>
      <c r="C2710" s="75" t="s">
        <v>31</v>
      </c>
      <c r="D2710" s="81">
        <v>131.94999999999999</v>
      </c>
      <c r="E2710" s="151">
        <v>44768</v>
      </c>
      <c r="F2710" s="81">
        <v>131.94999999999999</v>
      </c>
      <c r="G2710" s="156">
        <f>Tabla18[[#This Row],[Importe]]-Tabla18[[#This Row],[Pagado]]</f>
        <v>0</v>
      </c>
      <c r="H2710" s="75" t="s">
        <v>10</v>
      </c>
    </row>
    <row r="2711" spans="1:8" x14ac:dyDescent="0.25">
      <c r="A2711" s="148">
        <v>44768</v>
      </c>
      <c r="B2711" s="149" t="s">
        <v>24079</v>
      </c>
      <c r="C2711" s="153" t="s">
        <v>681</v>
      </c>
      <c r="D2711" s="154">
        <v>10.42</v>
      </c>
      <c r="E2711" s="155">
        <v>44779</v>
      </c>
      <c r="F2711" s="154">
        <v>10.42</v>
      </c>
      <c r="G2711" s="156">
        <f>Tabla18[[#This Row],[Importe]]-Tabla18[[#This Row],[Pagado]]</f>
        <v>0</v>
      </c>
      <c r="H2711" s="153" t="s">
        <v>10</v>
      </c>
    </row>
    <row r="2712" spans="1:8" x14ac:dyDescent="0.25">
      <c r="A2712" s="73">
        <v>44768</v>
      </c>
      <c r="B2712" s="74" t="s">
        <v>24080</v>
      </c>
      <c r="C2712" s="75" t="s">
        <v>414</v>
      </c>
      <c r="D2712" s="81">
        <v>151149.6</v>
      </c>
      <c r="E2712" s="147">
        <v>44784</v>
      </c>
      <c r="F2712" s="81">
        <f>151149.6</f>
        <v>151149.6</v>
      </c>
      <c r="G2712" s="156">
        <f>Tabla18[[#This Row],[Importe]]-Tabla18[[#This Row],[Pagado]]</f>
        <v>0</v>
      </c>
      <c r="H2712" s="75" t="s">
        <v>10</v>
      </c>
    </row>
    <row r="2713" spans="1:8" x14ac:dyDescent="0.25">
      <c r="A2713" s="148">
        <v>44768</v>
      </c>
      <c r="B2713" s="149" t="s">
        <v>24081</v>
      </c>
      <c r="C2713" s="153" t="s">
        <v>146</v>
      </c>
      <c r="D2713" s="154">
        <v>2485.4</v>
      </c>
      <c r="E2713" s="155">
        <v>44768</v>
      </c>
      <c r="F2713" s="154">
        <v>2485.4</v>
      </c>
      <c r="G2713" s="156">
        <f>Tabla18[[#This Row],[Importe]]-Tabla18[[#This Row],[Pagado]]</f>
        <v>0</v>
      </c>
      <c r="H2713" s="153" t="s">
        <v>10</v>
      </c>
    </row>
    <row r="2714" spans="1:8" x14ac:dyDescent="0.25">
      <c r="A2714" s="73">
        <v>44768</v>
      </c>
      <c r="B2714" s="74" t="s">
        <v>24082</v>
      </c>
      <c r="C2714" s="75" t="s">
        <v>107</v>
      </c>
      <c r="D2714" s="81">
        <v>15503.1</v>
      </c>
      <c r="E2714" s="151">
        <v>44768</v>
      </c>
      <c r="F2714" s="81">
        <v>15503.1</v>
      </c>
      <c r="G2714" s="156">
        <f>Tabla18[[#This Row],[Importe]]-Tabla18[[#This Row],[Pagado]]</f>
        <v>0</v>
      </c>
      <c r="H2714" s="75" t="s">
        <v>10</v>
      </c>
    </row>
    <row r="2715" spans="1:8" x14ac:dyDescent="0.25">
      <c r="A2715" s="148">
        <v>44768</v>
      </c>
      <c r="B2715" s="149" t="s">
        <v>24083</v>
      </c>
      <c r="C2715" s="153" t="s">
        <v>664</v>
      </c>
      <c r="D2715" s="154">
        <v>10651.2</v>
      </c>
      <c r="E2715" s="155">
        <v>44768</v>
      </c>
      <c r="F2715" s="154">
        <v>10651.2</v>
      </c>
      <c r="G2715" s="156">
        <f>Tabla18[[#This Row],[Importe]]-Tabla18[[#This Row],[Pagado]]</f>
        <v>0</v>
      </c>
      <c r="H2715" s="153" t="s">
        <v>10</v>
      </c>
    </row>
    <row r="2716" spans="1:8" x14ac:dyDescent="0.25">
      <c r="A2716" s="73">
        <v>44768</v>
      </c>
      <c r="B2716" s="74" t="s">
        <v>24084</v>
      </c>
      <c r="C2716" s="75" t="s">
        <v>214</v>
      </c>
      <c r="D2716" s="81">
        <v>1001</v>
      </c>
      <c r="E2716" s="151">
        <v>44768</v>
      </c>
      <c r="F2716" s="81">
        <v>1001</v>
      </c>
      <c r="G2716" s="156">
        <f>Tabla18[[#This Row],[Importe]]-Tabla18[[#This Row],[Pagado]]</f>
        <v>0</v>
      </c>
      <c r="H2716" s="75" t="s">
        <v>10</v>
      </c>
    </row>
    <row r="2717" spans="1:8" x14ac:dyDescent="0.25">
      <c r="A2717" s="148">
        <v>44768</v>
      </c>
      <c r="B2717" s="149" t="s">
        <v>24085</v>
      </c>
      <c r="C2717" s="153" t="s">
        <v>357</v>
      </c>
      <c r="D2717" s="154">
        <v>1479</v>
      </c>
      <c r="E2717" s="155">
        <v>44768</v>
      </c>
      <c r="F2717" s="154">
        <v>1479</v>
      </c>
      <c r="G2717" s="156">
        <f>Tabla18[[#This Row],[Importe]]-Tabla18[[#This Row],[Pagado]]</f>
        <v>0</v>
      </c>
      <c r="H2717" s="153" t="s">
        <v>10</v>
      </c>
    </row>
    <row r="2718" spans="1:8" x14ac:dyDescent="0.25">
      <c r="A2718" s="73">
        <v>44768</v>
      </c>
      <c r="B2718" s="74" t="s">
        <v>24086</v>
      </c>
      <c r="C2718" s="75" t="s">
        <v>129</v>
      </c>
      <c r="D2718" s="81">
        <v>1722.6</v>
      </c>
      <c r="E2718" s="151">
        <v>44768</v>
      </c>
      <c r="F2718" s="81">
        <v>1722.6</v>
      </c>
      <c r="G2718" s="156">
        <f>Tabla18[[#This Row],[Importe]]-Tabla18[[#This Row],[Pagado]]</f>
        <v>0</v>
      </c>
      <c r="H2718" s="75" t="s">
        <v>10</v>
      </c>
    </row>
    <row r="2719" spans="1:8" x14ac:dyDescent="0.25">
      <c r="A2719" s="148">
        <v>44768</v>
      </c>
      <c r="B2719" s="149" t="s">
        <v>24087</v>
      </c>
      <c r="C2719" s="153" t="s">
        <v>127</v>
      </c>
      <c r="D2719" s="154">
        <v>6128.4</v>
      </c>
      <c r="E2719" s="155">
        <v>44768</v>
      </c>
      <c r="F2719" s="154">
        <v>6128.4</v>
      </c>
      <c r="G2719" s="156">
        <f>Tabla18[[#This Row],[Importe]]-Tabla18[[#This Row],[Pagado]]</f>
        <v>0</v>
      </c>
      <c r="H2719" s="153" t="s">
        <v>10</v>
      </c>
    </row>
    <row r="2720" spans="1:8" x14ac:dyDescent="0.25">
      <c r="A2720" s="73">
        <v>44768</v>
      </c>
      <c r="B2720" s="74" t="s">
        <v>24088</v>
      </c>
      <c r="C2720" s="75" t="s">
        <v>140</v>
      </c>
      <c r="D2720" s="81">
        <v>4773.6000000000004</v>
      </c>
      <c r="E2720" s="151">
        <v>44768</v>
      </c>
      <c r="F2720" s="81">
        <v>4773.6000000000004</v>
      </c>
      <c r="G2720" s="156">
        <f>Tabla18[[#This Row],[Importe]]-Tabla18[[#This Row],[Pagado]]</f>
        <v>0</v>
      </c>
      <c r="H2720" s="75" t="s">
        <v>10</v>
      </c>
    </row>
    <row r="2721" spans="1:8" x14ac:dyDescent="0.25">
      <c r="A2721" s="148">
        <v>44768</v>
      </c>
      <c r="B2721" s="149" t="s">
        <v>24089</v>
      </c>
      <c r="C2721" s="153" t="s">
        <v>365</v>
      </c>
      <c r="D2721" s="154">
        <v>509.6</v>
      </c>
      <c r="E2721" s="155">
        <v>44768</v>
      </c>
      <c r="F2721" s="154">
        <v>509.6</v>
      </c>
      <c r="G2721" s="156">
        <f>Tabla18[[#This Row],[Importe]]-Tabla18[[#This Row],[Pagado]]</f>
        <v>0</v>
      </c>
      <c r="H2721" s="153" t="s">
        <v>10</v>
      </c>
    </row>
    <row r="2722" spans="1:8" x14ac:dyDescent="0.25">
      <c r="A2722" s="73">
        <v>44768</v>
      </c>
      <c r="B2722" s="74" t="s">
        <v>24090</v>
      </c>
      <c r="C2722" s="75" t="s">
        <v>140</v>
      </c>
      <c r="D2722" s="81">
        <v>1548.6</v>
      </c>
      <c r="E2722" s="151">
        <v>44768</v>
      </c>
      <c r="F2722" s="81">
        <v>1548.6</v>
      </c>
      <c r="G2722" s="156">
        <f>Tabla18[[#This Row],[Importe]]-Tabla18[[#This Row],[Pagado]]</f>
        <v>0</v>
      </c>
      <c r="H2722" s="75" t="s">
        <v>10</v>
      </c>
    </row>
    <row r="2723" spans="1:8" x14ac:dyDescent="0.25">
      <c r="A2723" s="148">
        <v>44768</v>
      </c>
      <c r="B2723" s="149" t="s">
        <v>24091</v>
      </c>
      <c r="C2723" s="153" t="s">
        <v>67</v>
      </c>
      <c r="D2723" s="154">
        <v>2516.1</v>
      </c>
      <c r="E2723" s="155">
        <v>44768</v>
      </c>
      <c r="F2723" s="154">
        <v>2516.1</v>
      </c>
      <c r="G2723" s="156">
        <f>Tabla18[[#This Row],[Importe]]-Tabla18[[#This Row],[Pagado]]</f>
        <v>0</v>
      </c>
      <c r="H2723" s="153" t="s">
        <v>10</v>
      </c>
    </row>
    <row r="2724" spans="1:8" x14ac:dyDescent="0.25">
      <c r="A2724" s="73">
        <v>44768</v>
      </c>
      <c r="B2724" s="74" t="s">
        <v>24092</v>
      </c>
      <c r="C2724" s="75" t="s">
        <v>214</v>
      </c>
      <c r="D2724" s="81">
        <v>1462</v>
      </c>
      <c r="E2724" s="151">
        <v>44768</v>
      </c>
      <c r="F2724" s="81">
        <v>1462</v>
      </c>
      <c r="G2724" s="156">
        <f>Tabla18[[#This Row],[Importe]]-Tabla18[[#This Row],[Pagado]]</f>
        <v>0</v>
      </c>
      <c r="H2724" s="75" t="s">
        <v>10</v>
      </c>
    </row>
    <row r="2725" spans="1:8" x14ac:dyDescent="0.25">
      <c r="A2725" s="148">
        <v>44768</v>
      </c>
      <c r="B2725" s="149" t="s">
        <v>24093</v>
      </c>
      <c r="C2725" s="153" t="s">
        <v>249</v>
      </c>
      <c r="D2725" s="154">
        <v>4639.8999999999996</v>
      </c>
      <c r="E2725" s="155">
        <v>44768</v>
      </c>
      <c r="F2725" s="154">
        <v>4639.8999999999996</v>
      </c>
      <c r="G2725" s="156">
        <f>Tabla18[[#This Row],[Importe]]-Tabla18[[#This Row],[Pagado]]</f>
        <v>0</v>
      </c>
      <c r="H2725" s="153" t="s">
        <v>10</v>
      </c>
    </row>
    <row r="2726" spans="1:8" x14ac:dyDescent="0.25">
      <c r="A2726" s="73">
        <v>44768</v>
      </c>
      <c r="B2726" s="74" t="s">
        <v>24094</v>
      </c>
      <c r="C2726" s="75" t="s">
        <v>419</v>
      </c>
      <c r="D2726" s="81">
        <v>8068.4</v>
      </c>
      <c r="E2726" s="151">
        <v>44768</v>
      </c>
      <c r="F2726" s="81">
        <v>8068.4</v>
      </c>
      <c r="G2726" s="156">
        <f>Tabla18[[#This Row],[Importe]]-Tabla18[[#This Row],[Pagado]]</f>
        <v>0</v>
      </c>
      <c r="H2726" s="75" t="s">
        <v>10</v>
      </c>
    </row>
    <row r="2727" spans="1:8" x14ac:dyDescent="0.25">
      <c r="A2727" s="148">
        <v>44768</v>
      </c>
      <c r="B2727" s="149" t="s">
        <v>24095</v>
      </c>
      <c r="C2727" s="153" t="s">
        <v>1265</v>
      </c>
      <c r="D2727" s="154">
        <v>1134.9000000000001</v>
      </c>
      <c r="E2727" s="155">
        <v>44768</v>
      </c>
      <c r="F2727" s="154">
        <v>1134.9000000000001</v>
      </c>
      <c r="G2727" s="156">
        <f>Tabla18[[#This Row],[Importe]]-Tabla18[[#This Row],[Pagado]]</f>
        <v>0</v>
      </c>
      <c r="H2727" s="153" t="s">
        <v>10</v>
      </c>
    </row>
    <row r="2728" spans="1:8" x14ac:dyDescent="0.25">
      <c r="A2728" s="73">
        <v>44768</v>
      </c>
      <c r="B2728" s="74" t="s">
        <v>24096</v>
      </c>
      <c r="C2728" s="75" t="s">
        <v>21812</v>
      </c>
      <c r="D2728" s="81">
        <v>13077.8</v>
      </c>
      <c r="E2728" s="151">
        <v>44768</v>
      </c>
      <c r="F2728" s="81">
        <v>13077.8</v>
      </c>
      <c r="G2728" s="156">
        <f>Tabla18[[#This Row],[Importe]]-Tabla18[[#This Row],[Pagado]]</f>
        <v>0</v>
      </c>
      <c r="H2728" s="75" t="s">
        <v>10</v>
      </c>
    </row>
    <row r="2729" spans="1:8" x14ac:dyDescent="0.25">
      <c r="A2729" s="148">
        <v>44768</v>
      </c>
      <c r="B2729" s="149" t="s">
        <v>24097</v>
      </c>
      <c r="C2729" s="153" t="s">
        <v>994</v>
      </c>
      <c r="D2729" s="154">
        <v>2210.1999999999998</v>
      </c>
      <c r="E2729" s="155">
        <v>44768</v>
      </c>
      <c r="F2729" s="154">
        <v>2210.1999999999998</v>
      </c>
      <c r="G2729" s="156">
        <f>Tabla18[[#This Row],[Importe]]-Tabla18[[#This Row],[Pagado]]</f>
        <v>0</v>
      </c>
      <c r="H2729" s="153" t="s">
        <v>10</v>
      </c>
    </row>
    <row r="2730" spans="1:8" x14ac:dyDescent="0.25">
      <c r="A2730" s="73">
        <v>44768</v>
      </c>
      <c r="B2730" s="74" t="s">
        <v>24098</v>
      </c>
      <c r="C2730" s="75" t="s">
        <v>31</v>
      </c>
      <c r="D2730" s="81">
        <v>13200</v>
      </c>
      <c r="E2730" s="151">
        <v>44768</v>
      </c>
      <c r="F2730" s="81">
        <v>13200</v>
      </c>
      <c r="G2730" s="156">
        <f>Tabla18[[#This Row],[Importe]]-Tabla18[[#This Row],[Pagado]]</f>
        <v>0</v>
      </c>
      <c r="H2730" s="75" t="s">
        <v>10</v>
      </c>
    </row>
    <row r="2731" spans="1:8" x14ac:dyDescent="0.25">
      <c r="A2731" s="148">
        <v>44768</v>
      </c>
      <c r="B2731" s="149" t="s">
        <v>24099</v>
      </c>
      <c r="C2731" s="153" t="s">
        <v>296</v>
      </c>
      <c r="D2731" s="154">
        <v>3744.6</v>
      </c>
      <c r="E2731" s="155">
        <v>44768</v>
      </c>
      <c r="F2731" s="154">
        <v>3744.6</v>
      </c>
      <c r="G2731" s="156">
        <f>Tabla18[[#This Row],[Importe]]-Tabla18[[#This Row],[Pagado]]</f>
        <v>0</v>
      </c>
      <c r="H2731" s="153" t="s">
        <v>10</v>
      </c>
    </row>
    <row r="2732" spans="1:8" x14ac:dyDescent="0.25">
      <c r="A2732" s="73">
        <v>44768</v>
      </c>
      <c r="B2732" s="74" t="s">
        <v>24100</v>
      </c>
      <c r="C2732" s="75" t="s">
        <v>31</v>
      </c>
      <c r="D2732" s="81">
        <v>2701.6</v>
      </c>
      <c r="E2732" s="151">
        <v>44768</v>
      </c>
      <c r="F2732" s="81">
        <v>2701.6</v>
      </c>
      <c r="G2732" s="156">
        <f>Tabla18[[#This Row],[Importe]]-Tabla18[[#This Row],[Pagado]]</f>
        <v>0</v>
      </c>
      <c r="H2732" s="75" t="s">
        <v>10</v>
      </c>
    </row>
    <row r="2733" spans="1:8" ht="31.5" x14ac:dyDescent="0.25">
      <c r="A2733" s="148">
        <v>44768</v>
      </c>
      <c r="B2733" s="149" t="s">
        <v>24101</v>
      </c>
      <c r="C2733" s="160" t="s">
        <v>24102</v>
      </c>
      <c r="D2733" s="154">
        <v>0</v>
      </c>
      <c r="E2733" s="158" t="s">
        <v>189</v>
      </c>
      <c r="F2733" s="154">
        <v>0</v>
      </c>
      <c r="G2733" s="156">
        <f>Tabla18[[#This Row],[Importe]]-Tabla18[[#This Row],[Pagado]]</f>
        <v>0</v>
      </c>
      <c r="H2733" s="159" t="s">
        <v>24103</v>
      </c>
    </row>
    <row r="2734" spans="1:8" x14ac:dyDescent="0.25">
      <c r="A2734" s="73">
        <v>44768</v>
      </c>
      <c r="B2734" s="74" t="s">
        <v>24104</v>
      </c>
      <c r="C2734" s="75" t="s">
        <v>142</v>
      </c>
      <c r="D2734" s="81">
        <v>97965.58</v>
      </c>
      <c r="E2734" s="151">
        <v>44837</v>
      </c>
      <c r="F2734" s="81">
        <v>97965.58</v>
      </c>
      <c r="G2734" s="156">
        <f>Tabla18[[#This Row],[Importe]]-Tabla18[[#This Row],[Pagado]]</f>
        <v>0</v>
      </c>
      <c r="H2734" s="75" t="s">
        <v>10</v>
      </c>
    </row>
    <row r="2735" spans="1:8" x14ac:dyDescent="0.25">
      <c r="A2735" s="148">
        <v>44768</v>
      </c>
      <c r="B2735" s="149" t="s">
        <v>24105</v>
      </c>
      <c r="C2735" s="153" t="s">
        <v>520</v>
      </c>
      <c r="D2735" s="154">
        <v>15112.6</v>
      </c>
      <c r="E2735" s="155">
        <v>44769</v>
      </c>
      <c r="F2735" s="154">
        <v>15112.6</v>
      </c>
      <c r="G2735" s="156">
        <f>Tabla18[[#This Row],[Importe]]-Tabla18[[#This Row],[Pagado]]</f>
        <v>0</v>
      </c>
      <c r="H2735" s="153" t="s">
        <v>10</v>
      </c>
    </row>
    <row r="2736" spans="1:8" x14ac:dyDescent="0.25">
      <c r="A2736" s="73">
        <v>44768</v>
      </c>
      <c r="B2736" s="74" t="s">
        <v>24106</v>
      </c>
      <c r="C2736" s="75" t="s">
        <v>518</v>
      </c>
      <c r="D2736" s="81">
        <v>1436.2</v>
      </c>
      <c r="E2736" s="151">
        <v>44769</v>
      </c>
      <c r="F2736" s="81">
        <v>1436.2</v>
      </c>
      <c r="G2736" s="156">
        <f>Tabla18[[#This Row],[Importe]]-Tabla18[[#This Row],[Pagado]]</f>
        <v>0</v>
      </c>
      <c r="H2736" s="75" t="s">
        <v>10</v>
      </c>
    </row>
    <row r="2737" spans="1:8" x14ac:dyDescent="0.25">
      <c r="A2737" s="148">
        <v>44768</v>
      </c>
      <c r="B2737" s="149" t="s">
        <v>24107</v>
      </c>
      <c r="C2737" s="153" t="s">
        <v>159</v>
      </c>
      <c r="D2737" s="154">
        <v>1313.2</v>
      </c>
      <c r="E2737" s="155">
        <v>44769</v>
      </c>
      <c r="F2737" s="154">
        <v>1313.2</v>
      </c>
      <c r="G2737" s="156">
        <f>Tabla18[[#This Row],[Importe]]-Tabla18[[#This Row],[Pagado]]</f>
        <v>0</v>
      </c>
      <c r="H2737" s="153" t="s">
        <v>10</v>
      </c>
    </row>
    <row r="2738" spans="1:8" x14ac:dyDescent="0.25">
      <c r="A2738" s="73">
        <v>44768</v>
      </c>
      <c r="B2738" s="74" t="s">
        <v>24108</v>
      </c>
      <c r="C2738" s="75" t="s">
        <v>151</v>
      </c>
      <c r="D2738" s="81">
        <v>36284.6</v>
      </c>
      <c r="E2738" s="151">
        <v>44769</v>
      </c>
      <c r="F2738" s="81">
        <v>36284.6</v>
      </c>
      <c r="G2738" s="156">
        <f>Tabla18[[#This Row],[Importe]]-Tabla18[[#This Row],[Pagado]]</f>
        <v>0</v>
      </c>
      <c r="H2738" s="75" t="s">
        <v>10</v>
      </c>
    </row>
    <row r="2739" spans="1:8" x14ac:dyDescent="0.25">
      <c r="A2739" s="148">
        <v>44768</v>
      </c>
      <c r="B2739" s="149" t="s">
        <v>24109</v>
      </c>
      <c r="C2739" s="153" t="s">
        <v>157</v>
      </c>
      <c r="D2739" s="154">
        <v>8243.1</v>
      </c>
      <c r="E2739" s="155">
        <v>44769</v>
      </c>
      <c r="F2739" s="154">
        <v>8243.1</v>
      </c>
      <c r="G2739" s="156">
        <f>Tabla18[[#This Row],[Importe]]-Tabla18[[#This Row],[Pagado]]</f>
        <v>0</v>
      </c>
      <c r="H2739" s="153" t="s">
        <v>10</v>
      </c>
    </row>
    <row r="2740" spans="1:8" x14ac:dyDescent="0.25">
      <c r="A2740" s="73">
        <v>44768</v>
      </c>
      <c r="B2740" s="74" t="s">
        <v>24110</v>
      </c>
      <c r="C2740" s="75" t="s">
        <v>319</v>
      </c>
      <c r="D2740" s="81">
        <v>10632.7</v>
      </c>
      <c r="E2740" s="151">
        <v>44769</v>
      </c>
      <c r="F2740" s="81">
        <v>10632.7</v>
      </c>
      <c r="G2740" s="156">
        <f>Tabla18[[#This Row],[Importe]]-Tabla18[[#This Row],[Pagado]]</f>
        <v>0</v>
      </c>
      <c r="H2740" s="75" t="s">
        <v>10</v>
      </c>
    </row>
    <row r="2741" spans="1:8" x14ac:dyDescent="0.25">
      <c r="A2741" s="148">
        <v>44768</v>
      </c>
      <c r="B2741" s="149" t="s">
        <v>24111</v>
      </c>
      <c r="C2741" s="153" t="s">
        <v>69</v>
      </c>
      <c r="D2741" s="154">
        <v>2425.1999999999998</v>
      </c>
      <c r="E2741" s="155">
        <v>44768</v>
      </c>
      <c r="F2741" s="154">
        <v>2425.1999999999998</v>
      </c>
      <c r="G2741" s="156">
        <f>Tabla18[[#This Row],[Importe]]-Tabla18[[#This Row],[Pagado]]</f>
        <v>0</v>
      </c>
      <c r="H2741" s="153" t="s">
        <v>10</v>
      </c>
    </row>
    <row r="2742" spans="1:8" x14ac:dyDescent="0.25">
      <c r="A2742" s="73">
        <v>44768</v>
      </c>
      <c r="B2742" s="74" t="s">
        <v>24112</v>
      </c>
      <c r="C2742" s="75" t="s">
        <v>1008</v>
      </c>
      <c r="D2742" s="81">
        <v>585</v>
      </c>
      <c r="E2742" s="151">
        <v>44768</v>
      </c>
      <c r="F2742" s="81">
        <v>585</v>
      </c>
      <c r="G2742" s="156">
        <f>Tabla18[[#This Row],[Importe]]-Tabla18[[#This Row],[Pagado]]</f>
        <v>0</v>
      </c>
      <c r="H2742" s="75" t="s">
        <v>10</v>
      </c>
    </row>
    <row r="2743" spans="1:8" x14ac:dyDescent="0.25">
      <c r="A2743" s="148">
        <v>44768</v>
      </c>
      <c r="B2743" s="149" t="s">
        <v>24113</v>
      </c>
      <c r="C2743" s="153" t="s">
        <v>1008</v>
      </c>
      <c r="D2743" s="154">
        <v>669.6</v>
      </c>
      <c r="E2743" s="155">
        <v>44768</v>
      </c>
      <c r="F2743" s="154">
        <v>669.6</v>
      </c>
      <c r="G2743" s="156">
        <f>Tabla18[[#This Row],[Importe]]-Tabla18[[#This Row],[Pagado]]</f>
        <v>0</v>
      </c>
      <c r="H2743" s="153" t="s">
        <v>10</v>
      </c>
    </row>
    <row r="2744" spans="1:8" x14ac:dyDescent="0.25">
      <c r="A2744" s="73">
        <v>44768</v>
      </c>
      <c r="B2744" s="74" t="s">
        <v>24114</v>
      </c>
      <c r="C2744" s="75" t="s">
        <v>4027</v>
      </c>
      <c r="D2744" s="81">
        <v>536.79999999999995</v>
      </c>
      <c r="E2744" s="151">
        <v>44768</v>
      </c>
      <c r="F2744" s="81">
        <v>536.79999999999995</v>
      </c>
      <c r="G2744" s="156">
        <f>Tabla18[[#This Row],[Importe]]-Tabla18[[#This Row],[Pagado]]</f>
        <v>0</v>
      </c>
      <c r="H2744" s="75" t="s">
        <v>10</v>
      </c>
    </row>
    <row r="2745" spans="1:8" x14ac:dyDescent="0.25">
      <c r="A2745" s="148">
        <v>44768</v>
      </c>
      <c r="B2745" s="149" t="s">
        <v>24115</v>
      </c>
      <c r="C2745" s="153" t="s">
        <v>5694</v>
      </c>
      <c r="D2745" s="154">
        <v>5366.4</v>
      </c>
      <c r="E2745" s="155">
        <v>44768</v>
      </c>
      <c r="F2745" s="154">
        <v>5366.4</v>
      </c>
      <c r="G2745" s="156">
        <f>Tabla18[[#This Row],[Importe]]-Tabla18[[#This Row],[Pagado]]</f>
        <v>0</v>
      </c>
      <c r="H2745" s="153" t="s">
        <v>10</v>
      </c>
    </row>
    <row r="2746" spans="1:8" x14ac:dyDescent="0.25">
      <c r="A2746" s="73">
        <v>44768</v>
      </c>
      <c r="B2746" s="74" t="s">
        <v>24116</v>
      </c>
      <c r="C2746" s="75" t="s">
        <v>10678</v>
      </c>
      <c r="D2746" s="81">
        <v>2437.5</v>
      </c>
      <c r="E2746" s="151">
        <v>44768</v>
      </c>
      <c r="F2746" s="81">
        <v>2437.5</v>
      </c>
      <c r="G2746" s="156">
        <f>Tabla18[[#This Row],[Importe]]-Tabla18[[#This Row],[Pagado]]</f>
        <v>0</v>
      </c>
      <c r="H2746" s="75" t="s">
        <v>10</v>
      </c>
    </row>
    <row r="2747" spans="1:8" x14ac:dyDescent="0.25">
      <c r="A2747" s="148">
        <v>44768</v>
      </c>
      <c r="B2747" s="149" t="s">
        <v>24117</v>
      </c>
      <c r="C2747" s="153" t="s">
        <v>10678</v>
      </c>
      <c r="D2747" s="154">
        <v>1229.5</v>
      </c>
      <c r="E2747" s="155">
        <v>44768</v>
      </c>
      <c r="F2747" s="154">
        <v>1229.5</v>
      </c>
      <c r="G2747" s="156">
        <f>Tabla18[[#This Row],[Importe]]-Tabla18[[#This Row],[Pagado]]</f>
        <v>0</v>
      </c>
      <c r="H2747" s="153" t="s">
        <v>10</v>
      </c>
    </row>
    <row r="2748" spans="1:8" x14ac:dyDescent="0.25">
      <c r="A2748" s="73">
        <v>44768</v>
      </c>
      <c r="B2748" s="74" t="s">
        <v>24118</v>
      </c>
      <c r="C2748" s="75" t="s">
        <v>296</v>
      </c>
      <c r="D2748" s="81">
        <v>1734.6</v>
      </c>
      <c r="E2748" s="151">
        <v>44768</v>
      </c>
      <c r="F2748" s="81">
        <v>1734.6</v>
      </c>
      <c r="G2748" s="156">
        <f>Tabla18[[#This Row],[Importe]]-Tabla18[[#This Row],[Pagado]]</f>
        <v>0</v>
      </c>
      <c r="H2748" s="75" t="s">
        <v>10</v>
      </c>
    </row>
    <row r="2749" spans="1:8" x14ac:dyDescent="0.25">
      <c r="A2749" s="148">
        <v>44768</v>
      </c>
      <c r="B2749" s="149" t="s">
        <v>24119</v>
      </c>
      <c r="C2749" s="153" t="s">
        <v>22</v>
      </c>
      <c r="D2749" s="154">
        <v>6003.2</v>
      </c>
      <c r="E2749" s="155">
        <v>44769</v>
      </c>
      <c r="F2749" s="154">
        <v>6003.2</v>
      </c>
      <c r="G2749" s="156">
        <f>Tabla18[[#This Row],[Importe]]-Tabla18[[#This Row],[Pagado]]</f>
        <v>0</v>
      </c>
      <c r="H2749" s="153" t="s">
        <v>10</v>
      </c>
    </row>
    <row r="2750" spans="1:8" x14ac:dyDescent="0.25">
      <c r="A2750" s="73">
        <v>44768</v>
      </c>
      <c r="B2750" s="74" t="s">
        <v>24120</v>
      </c>
      <c r="C2750" s="75" t="s">
        <v>275</v>
      </c>
      <c r="D2750" s="81">
        <v>142567.1</v>
      </c>
      <c r="E2750" s="151">
        <v>44786</v>
      </c>
      <c r="F2750" s="81">
        <v>142567.1</v>
      </c>
      <c r="G2750" s="156">
        <f>Tabla18[[#This Row],[Importe]]-Tabla18[[#This Row],[Pagado]]</f>
        <v>0</v>
      </c>
      <c r="H2750" s="75" t="s">
        <v>10</v>
      </c>
    </row>
    <row r="2751" spans="1:8" x14ac:dyDescent="0.25">
      <c r="A2751" s="148">
        <v>44768</v>
      </c>
      <c r="B2751" s="149" t="s">
        <v>24121</v>
      </c>
      <c r="C2751" s="153" t="s">
        <v>280</v>
      </c>
      <c r="D2751" s="154">
        <v>885.8</v>
      </c>
      <c r="E2751" s="155">
        <v>44769</v>
      </c>
      <c r="F2751" s="154">
        <v>885.8</v>
      </c>
      <c r="G2751" s="156">
        <f>Tabla18[[#This Row],[Importe]]-Tabla18[[#This Row],[Pagado]]</f>
        <v>0</v>
      </c>
      <c r="H2751" s="153" t="s">
        <v>10</v>
      </c>
    </row>
    <row r="2752" spans="1:8" x14ac:dyDescent="0.25">
      <c r="A2752" s="73">
        <v>44768</v>
      </c>
      <c r="B2752" s="74" t="s">
        <v>24122</v>
      </c>
      <c r="C2752" s="75" t="s">
        <v>284</v>
      </c>
      <c r="D2752" s="81">
        <v>8703.2000000000007</v>
      </c>
      <c r="E2752" s="151">
        <v>44769</v>
      </c>
      <c r="F2752" s="81">
        <v>8703.2000000000007</v>
      </c>
      <c r="G2752" s="156">
        <f>Tabla18[[#This Row],[Importe]]-Tabla18[[#This Row],[Pagado]]</f>
        <v>0</v>
      </c>
      <c r="H2752" s="75" t="s">
        <v>10</v>
      </c>
    </row>
    <row r="2753" spans="1:8" x14ac:dyDescent="0.25">
      <c r="A2753" s="148">
        <v>44768</v>
      </c>
      <c r="B2753" s="149" t="s">
        <v>24123</v>
      </c>
      <c r="C2753" s="153" t="s">
        <v>5345</v>
      </c>
      <c r="D2753" s="154">
        <v>1591</v>
      </c>
      <c r="E2753" s="155">
        <v>44769</v>
      </c>
      <c r="F2753" s="154">
        <v>1591</v>
      </c>
      <c r="G2753" s="156">
        <f>Tabla18[[#This Row],[Importe]]-Tabla18[[#This Row],[Pagado]]</f>
        <v>0</v>
      </c>
      <c r="H2753" s="153" t="s">
        <v>10</v>
      </c>
    </row>
    <row r="2754" spans="1:8" x14ac:dyDescent="0.25">
      <c r="A2754" s="73">
        <v>44768</v>
      </c>
      <c r="B2754" s="74" t="s">
        <v>24124</v>
      </c>
      <c r="C2754" s="75" t="s">
        <v>282</v>
      </c>
      <c r="D2754" s="81">
        <v>3577.6</v>
      </c>
      <c r="E2754" s="151">
        <v>44769</v>
      </c>
      <c r="F2754" s="81">
        <v>3577.6</v>
      </c>
      <c r="G2754" s="156">
        <f>Tabla18[[#This Row],[Importe]]-Tabla18[[#This Row],[Pagado]]</f>
        <v>0</v>
      </c>
      <c r="H2754" s="75" t="s">
        <v>10</v>
      </c>
    </row>
    <row r="2755" spans="1:8" x14ac:dyDescent="0.25">
      <c r="A2755" s="148">
        <v>44768</v>
      </c>
      <c r="B2755" s="149" t="s">
        <v>24125</v>
      </c>
      <c r="C2755" s="153" t="s">
        <v>10819</v>
      </c>
      <c r="D2755" s="154">
        <v>1935.8</v>
      </c>
      <c r="E2755" s="155">
        <v>44769</v>
      </c>
      <c r="F2755" s="154">
        <v>1935.8</v>
      </c>
      <c r="G2755" s="156">
        <f>Tabla18[[#This Row],[Importe]]-Tabla18[[#This Row],[Pagado]]</f>
        <v>0</v>
      </c>
      <c r="H2755" s="153" t="s">
        <v>10</v>
      </c>
    </row>
    <row r="2756" spans="1:8" x14ac:dyDescent="0.25">
      <c r="A2756" s="73">
        <v>44768</v>
      </c>
      <c r="B2756" s="74" t="s">
        <v>24126</v>
      </c>
      <c r="C2756" s="75" t="s">
        <v>1706</v>
      </c>
      <c r="D2756" s="81">
        <v>10348</v>
      </c>
      <c r="E2756" s="151">
        <v>44768</v>
      </c>
      <c r="F2756" s="81">
        <v>10348</v>
      </c>
      <c r="G2756" s="156">
        <f>Tabla18[[#This Row],[Importe]]-Tabla18[[#This Row],[Pagado]]</f>
        <v>0</v>
      </c>
      <c r="H2756" s="75" t="s">
        <v>10</v>
      </c>
    </row>
    <row r="2757" spans="1:8" x14ac:dyDescent="0.25">
      <c r="A2757" s="148">
        <v>44768</v>
      </c>
      <c r="B2757" s="149" t="s">
        <v>24127</v>
      </c>
      <c r="C2757" s="153" t="s">
        <v>31</v>
      </c>
      <c r="D2757" s="154">
        <v>461.5</v>
      </c>
      <c r="E2757" s="155">
        <v>44768</v>
      </c>
      <c r="F2757" s="154">
        <v>461.5</v>
      </c>
      <c r="G2757" s="156">
        <f>Tabla18[[#This Row],[Importe]]-Tabla18[[#This Row],[Pagado]]</f>
        <v>0</v>
      </c>
      <c r="H2757" s="153" t="s">
        <v>10</v>
      </c>
    </row>
    <row r="2758" spans="1:8" x14ac:dyDescent="0.25">
      <c r="A2758" s="73">
        <v>44768</v>
      </c>
      <c r="B2758" s="74" t="s">
        <v>24128</v>
      </c>
      <c r="C2758" s="75" t="s">
        <v>31</v>
      </c>
      <c r="D2758" s="81">
        <v>5453.8</v>
      </c>
      <c r="E2758" s="151">
        <v>44768</v>
      </c>
      <c r="F2758" s="81">
        <v>5453.8</v>
      </c>
      <c r="G2758" s="156">
        <f>Tabla18[[#This Row],[Importe]]-Tabla18[[#This Row],[Pagado]]</f>
        <v>0</v>
      </c>
      <c r="H2758" s="75" t="s">
        <v>10</v>
      </c>
    </row>
    <row r="2759" spans="1:8" x14ac:dyDescent="0.25">
      <c r="A2759" s="148">
        <v>44768</v>
      </c>
      <c r="B2759" s="149" t="s">
        <v>24129</v>
      </c>
      <c r="C2759" s="153" t="s">
        <v>461</v>
      </c>
      <c r="D2759" s="154">
        <v>240</v>
      </c>
      <c r="E2759" s="155">
        <v>44768</v>
      </c>
      <c r="F2759" s="154">
        <v>240</v>
      </c>
      <c r="G2759" s="156">
        <f>Tabla18[[#This Row],[Importe]]-Tabla18[[#This Row],[Pagado]]</f>
        <v>0</v>
      </c>
      <c r="H2759" s="153" t="s">
        <v>10</v>
      </c>
    </row>
    <row r="2760" spans="1:8" x14ac:dyDescent="0.25">
      <c r="A2760" s="73">
        <v>44769</v>
      </c>
      <c r="B2760" s="74" t="s">
        <v>24130</v>
      </c>
      <c r="C2760" s="75" t="s">
        <v>887</v>
      </c>
      <c r="D2760" s="81">
        <v>12578</v>
      </c>
      <c r="E2760" s="151">
        <v>44769</v>
      </c>
      <c r="F2760" s="81">
        <v>12578</v>
      </c>
      <c r="G2760" s="156">
        <f>Tabla18[[#This Row],[Importe]]-Tabla18[[#This Row],[Pagado]]</f>
        <v>0</v>
      </c>
      <c r="H2760" s="75" t="s">
        <v>10</v>
      </c>
    </row>
    <row r="2761" spans="1:8" ht="31.5" x14ac:dyDescent="0.25">
      <c r="A2761" s="148">
        <v>44769</v>
      </c>
      <c r="B2761" s="149" t="s">
        <v>24131</v>
      </c>
      <c r="C2761" s="153" t="s">
        <v>475</v>
      </c>
      <c r="D2761" s="154">
        <v>59453</v>
      </c>
      <c r="E2761" s="150" t="s">
        <v>24132</v>
      </c>
      <c r="F2761" s="154">
        <f>22000+37453</f>
        <v>59453</v>
      </c>
      <c r="G2761" s="156">
        <f>Tabla18[[#This Row],[Importe]]-Tabla18[[#This Row],[Pagado]]</f>
        <v>0</v>
      </c>
      <c r="H2761" s="153" t="s">
        <v>10</v>
      </c>
    </row>
    <row r="2762" spans="1:8" x14ac:dyDescent="0.25">
      <c r="A2762" s="73">
        <v>44769</v>
      </c>
      <c r="B2762" s="74" t="s">
        <v>24133</v>
      </c>
      <c r="C2762" s="75" t="s">
        <v>93</v>
      </c>
      <c r="D2762" s="81">
        <v>3148.2</v>
      </c>
      <c r="E2762" s="151">
        <v>44771</v>
      </c>
      <c r="F2762" s="81">
        <v>3148.2</v>
      </c>
      <c r="G2762" s="156">
        <f>Tabla18[[#This Row],[Importe]]-Tabla18[[#This Row],[Pagado]]</f>
        <v>0</v>
      </c>
      <c r="H2762" s="75" t="s">
        <v>10</v>
      </c>
    </row>
    <row r="2763" spans="1:8" x14ac:dyDescent="0.25">
      <c r="A2763" s="148">
        <v>44769</v>
      </c>
      <c r="B2763" s="149" t="s">
        <v>24134</v>
      </c>
      <c r="C2763" s="153" t="s">
        <v>99</v>
      </c>
      <c r="D2763" s="154">
        <v>4725.6000000000004</v>
      </c>
      <c r="E2763" s="155">
        <v>44771</v>
      </c>
      <c r="F2763" s="154">
        <v>4725.6000000000004</v>
      </c>
      <c r="G2763" s="156">
        <f>Tabla18[[#This Row],[Importe]]-Tabla18[[#This Row],[Pagado]]</f>
        <v>0</v>
      </c>
      <c r="H2763" s="153" t="s">
        <v>10</v>
      </c>
    </row>
    <row r="2764" spans="1:8" x14ac:dyDescent="0.25">
      <c r="A2764" s="73">
        <v>44769</v>
      </c>
      <c r="B2764" s="74" t="s">
        <v>24135</v>
      </c>
      <c r="C2764" s="75" t="s">
        <v>64</v>
      </c>
      <c r="D2764" s="81">
        <v>4956.6000000000004</v>
      </c>
      <c r="E2764" s="151">
        <v>44770</v>
      </c>
      <c r="F2764" s="81">
        <v>4956.6000000000004</v>
      </c>
      <c r="G2764" s="156">
        <f>Tabla18[[#This Row],[Importe]]-Tabla18[[#This Row],[Pagado]]</f>
        <v>0</v>
      </c>
      <c r="H2764" s="75" t="s">
        <v>10</v>
      </c>
    </row>
    <row r="2765" spans="1:8" x14ac:dyDescent="0.25">
      <c r="A2765" s="148">
        <v>44769</v>
      </c>
      <c r="B2765" s="149" t="s">
        <v>24136</v>
      </c>
      <c r="C2765" s="153" t="s">
        <v>326</v>
      </c>
      <c r="D2765" s="154">
        <v>5596.8</v>
      </c>
      <c r="E2765" s="155">
        <v>44771</v>
      </c>
      <c r="F2765" s="154">
        <v>5596.8</v>
      </c>
      <c r="G2765" s="156">
        <f>Tabla18[[#This Row],[Importe]]-Tabla18[[#This Row],[Pagado]]</f>
        <v>0</v>
      </c>
      <c r="H2765" s="153" t="s">
        <v>10</v>
      </c>
    </row>
    <row r="2766" spans="1:8" x14ac:dyDescent="0.25">
      <c r="A2766" s="73">
        <v>44769</v>
      </c>
      <c r="B2766" s="74" t="s">
        <v>24137</v>
      </c>
      <c r="C2766" s="75" t="s">
        <v>348</v>
      </c>
      <c r="D2766" s="81">
        <v>4554</v>
      </c>
      <c r="E2766" s="151">
        <v>44769</v>
      </c>
      <c r="F2766" s="81">
        <v>4554</v>
      </c>
      <c r="G2766" s="156">
        <f>Tabla18[[#This Row],[Importe]]-Tabla18[[#This Row],[Pagado]]</f>
        <v>0</v>
      </c>
      <c r="H2766" s="75" t="s">
        <v>10</v>
      </c>
    </row>
    <row r="2767" spans="1:8" x14ac:dyDescent="0.25">
      <c r="A2767" s="148">
        <v>44769</v>
      </c>
      <c r="B2767" s="149" t="s">
        <v>24138</v>
      </c>
      <c r="C2767" s="153" t="s">
        <v>105</v>
      </c>
      <c r="D2767" s="154">
        <v>14611.6</v>
      </c>
      <c r="E2767" s="155">
        <v>44770</v>
      </c>
      <c r="F2767" s="154">
        <v>14611.6</v>
      </c>
      <c r="G2767" s="156">
        <f>Tabla18[[#This Row],[Importe]]-Tabla18[[#This Row],[Pagado]]</f>
        <v>0</v>
      </c>
      <c r="H2767" s="153" t="s">
        <v>10</v>
      </c>
    </row>
    <row r="2768" spans="1:8" x14ac:dyDescent="0.25">
      <c r="A2768" s="73">
        <v>44769</v>
      </c>
      <c r="B2768" s="74" t="s">
        <v>24139</v>
      </c>
      <c r="C2768" s="75" t="s">
        <v>89</v>
      </c>
      <c r="D2768" s="81">
        <v>10577.4</v>
      </c>
      <c r="E2768" s="151">
        <v>44770</v>
      </c>
      <c r="F2768" s="81">
        <v>10577.4</v>
      </c>
      <c r="G2768" s="156">
        <f>Tabla18[[#This Row],[Importe]]-Tabla18[[#This Row],[Pagado]]</f>
        <v>0</v>
      </c>
      <c r="H2768" s="75" t="s">
        <v>10</v>
      </c>
    </row>
    <row r="2769" spans="1:8" x14ac:dyDescent="0.25">
      <c r="A2769" s="148">
        <v>44769</v>
      </c>
      <c r="B2769" s="149" t="s">
        <v>24140</v>
      </c>
      <c r="C2769" s="153" t="s">
        <v>97</v>
      </c>
      <c r="D2769" s="154">
        <v>5418.6</v>
      </c>
      <c r="E2769" s="155">
        <v>44770</v>
      </c>
      <c r="F2769" s="154">
        <v>5418.6</v>
      </c>
      <c r="G2769" s="156">
        <f>Tabla18[[#This Row],[Importe]]-Tabla18[[#This Row],[Pagado]]</f>
        <v>0</v>
      </c>
      <c r="H2769" s="153" t="s">
        <v>10</v>
      </c>
    </row>
    <row r="2770" spans="1:8" x14ac:dyDescent="0.25">
      <c r="A2770" s="73">
        <v>44769</v>
      </c>
      <c r="B2770" s="74" t="s">
        <v>24141</v>
      </c>
      <c r="C2770" s="75" t="s">
        <v>2151</v>
      </c>
      <c r="D2770" s="81">
        <v>14265.6</v>
      </c>
      <c r="E2770" s="151">
        <v>44769</v>
      </c>
      <c r="F2770" s="81">
        <v>14265.6</v>
      </c>
      <c r="G2770" s="156">
        <f>Tabla18[[#This Row],[Importe]]-Tabla18[[#This Row],[Pagado]]</f>
        <v>0</v>
      </c>
      <c r="H2770" s="75" t="s">
        <v>10</v>
      </c>
    </row>
    <row r="2771" spans="1:8" x14ac:dyDescent="0.25">
      <c r="A2771" s="148">
        <v>44769</v>
      </c>
      <c r="B2771" s="149" t="s">
        <v>24142</v>
      </c>
      <c r="C2771" s="153" t="s">
        <v>135</v>
      </c>
      <c r="D2771" s="154">
        <v>2044.5</v>
      </c>
      <c r="E2771" s="155">
        <v>44769</v>
      </c>
      <c r="F2771" s="154">
        <v>2044.5</v>
      </c>
      <c r="G2771" s="156">
        <f>Tabla18[[#This Row],[Importe]]-Tabla18[[#This Row],[Pagado]]</f>
        <v>0</v>
      </c>
      <c r="H2771" s="153" t="s">
        <v>10</v>
      </c>
    </row>
    <row r="2772" spans="1:8" x14ac:dyDescent="0.25">
      <c r="A2772" s="73">
        <v>44769</v>
      </c>
      <c r="B2772" s="74" t="s">
        <v>24143</v>
      </c>
      <c r="C2772" s="75" t="s">
        <v>83</v>
      </c>
      <c r="D2772" s="81">
        <v>12367.8</v>
      </c>
      <c r="E2772" s="151">
        <v>44769</v>
      </c>
      <c r="F2772" s="81">
        <v>12367.8</v>
      </c>
      <c r="G2772" s="156">
        <f>Tabla18[[#This Row],[Importe]]-Tabla18[[#This Row],[Pagado]]</f>
        <v>0</v>
      </c>
      <c r="H2772" s="75" t="s">
        <v>10</v>
      </c>
    </row>
    <row r="2773" spans="1:8" x14ac:dyDescent="0.25">
      <c r="A2773" s="148">
        <v>44769</v>
      </c>
      <c r="B2773" s="149" t="s">
        <v>24144</v>
      </c>
      <c r="C2773" s="153" t="s">
        <v>179</v>
      </c>
      <c r="D2773" s="154">
        <v>1642.6</v>
      </c>
      <c r="E2773" s="155">
        <v>44769</v>
      </c>
      <c r="F2773" s="154">
        <v>1642.6</v>
      </c>
      <c r="G2773" s="156">
        <f>Tabla18[[#This Row],[Importe]]-Tabla18[[#This Row],[Pagado]]</f>
        <v>0</v>
      </c>
      <c r="H2773" s="153" t="s">
        <v>10</v>
      </c>
    </row>
    <row r="2774" spans="1:8" x14ac:dyDescent="0.25">
      <c r="A2774" s="73">
        <v>44769</v>
      </c>
      <c r="B2774" s="74" t="s">
        <v>24145</v>
      </c>
      <c r="C2774" s="75" t="s">
        <v>481</v>
      </c>
      <c r="D2774" s="81">
        <v>614.20000000000005</v>
      </c>
      <c r="E2774" s="151">
        <v>44769</v>
      </c>
      <c r="F2774" s="81">
        <v>614.20000000000005</v>
      </c>
      <c r="G2774" s="156">
        <f>Tabla18[[#This Row],[Importe]]-Tabla18[[#This Row],[Pagado]]</f>
        <v>0</v>
      </c>
      <c r="H2774" s="75" t="s">
        <v>10</v>
      </c>
    </row>
    <row r="2775" spans="1:8" x14ac:dyDescent="0.25">
      <c r="A2775" s="148">
        <v>44769</v>
      </c>
      <c r="B2775" s="149" t="s">
        <v>24146</v>
      </c>
      <c r="C2775" s="153" t="s">
        <v>87</v>
      </c>
      <c r="D2775" s="154">
        <v>3124</v>
      </c>
      <c r="E2775" s="155">
        <v>44769</v>
      </c>
      <c r="F2775" s="154">
        <v>3124</v>
      </c>
      <c r="G2775" s="156">
        <f>Tabla18[[#This Row],[Importe]]-Tabla18[[#This Row],[Pagado]]</f>
        <v>0</v>
      </c>
      <c r="H2775" s="153" t="s">
        <v>10</v>
      </c>
    </row>
    <row r="2776" spans="1:8" x14ac:dyDescent="0.25">
      <c r="A2776" s="73">
        <v>44769</v>
      </c>
      <c r="B2776" s="74" t="s">
        <v>24147</v>
      </c>
      <c r="C2776" s="75" t="s">
        <v>9</v>
      </c>
      <c r="D2776" s="81">
        <v>7903.5</v>
      </c>
      <c r="E2776" s="151">
        <v>44769</v>
      </c>
      <c r="F2776" s="81">
        <v>7903.5</v>
      </c>
      <c r="G2776" s="156">
        <f>Tabla18[[#This Row],[Importe]]-Tabla18[[#This Row],[Pagado]]</f>
        <v>0</v>
      </c>
      <c r="H2776" s="75" t="s">
        <v>10</v>
      </c>
    </row>
    <row r="2777" spans="1:8" x14ac:dyDescent="0.25">
      <c r="A2777" s="148">
        <v>44769</v>
      </c>
      <c r="B2777" s="149" t="s">
        <v>24148</v>
      </c>
      <c r="C2777" s="153" t="s">
        <v>365</v>
      </c>
      <c r="D2777" s="154">
        <v>1185</v>
      </c>
      <c r="E2777" s="155">
        <v>44769</v>
      </c>
      <c r="F2777" s="154">
        <v>1185</v>
      </c>
      <c r="G2777" s="156">
        <f>Tabla18[[#This Row],[Importe]]-Tabla18[[#This Row],[Pagado]]</f>
        <v>0</v>
      </c>
      <c r="H2777" s="153" t="s">
        <v>10</v>
      </c>
    </row>
    <row r="2778" spans="1:8" x14ac:dyDescent="0.25">
      <c r="A2778" s="73">
        <v>44769</v>
      </c>
      <c r="B2778" s="74" t="s">
        <v>24149</v>
      </c>
      <c r="C2778" s="75" t="s">
        <v>21626</v>
      </c>
      <c r="D2778" s="81">
        <v>0</v>
      </c>
      <c r="E2778" s="157" t="s">
        <v>189</v>
      </c>
      <c r="F2778" s="81">
        <v>0</v>
      </c>
      <c r="G2778" s="156">
        <f>Tabla18[[#This Row],[Importe]]-Tabla18[[#This Row],[Pagado]]</f>
        <v>0</v>
      </c>
      <c r="H2778" s="75" t="s">
        <v>189</v>
      </c>
    </row>
    <row r="2779" spans="1:8" x14ac:dyDescent="0.25">
      <c r="A2779" s="148">
        <v>44769</v>
      </c>
      <c r="B2779" s="149" t="s">
        <v>24150</v>
      </c>
      <c r="C2779" s="153" t="s">
        <v>146</v>
      </c>
      <c r="D2779" s="154">
        <v>2261.8000000000002</v>
      </c>
      <c r="E2779" s="155">
        <v>44769</v>
      </c>
      <c r="F2779" s="154">
        <v>2261.8000000000002</v>
      </c>
      <c r="G2779" s="156">
        <f>Tabla18[[#This Row],[Importe]]-Tabla18[[#This Row],[Pagado]]</f>
        <v>0</v>
      </c>
      <c r="H2779" s="153" t="s">
        <v>10</v>
      </c>
    </row>
    <row r="2780" spans="1:8" x14ac:dyDescent="0.25">
      <c r="A2780" s="73">
        <v>44769</v>
      </c>
      <c r="B2780" s="74" t="s">
        <v>24151</v>
      </c>
      <c r="C2780" s="75" t="s">
        <v>214</v>
      </c>
      <c r="D2780" s="81">
        <v>11136</v>
      </c>
      <c r="E2780" s="151">
        <v>44769</v>
      </c>
      <c r="F2780" s="81">
        <v>11136</v>
      </c>
      <c r="G2780" s="156">
        <f>Tabla18[[#This Row],[Importe]]-Tabla18[[#This Row],[Pagado]]</f>
        <v>0</v>
      </c>
      <c r="H2780" s="75" t="s">
        <v>10</v>
      </c>
    </row>
    <row r="2781" spans="1:8" x14ac:dyDescent="0.25">
      <c r="A2781" s="148">
        <v>44769</v>
      </c>
      <c r="B2781" s="149" t="s">
        <v>24152</v>
      </c>
      <c r="C2781" s="153" t="s">
        <v>146</v>
      </c>
      <c r="D2781" s="154">
        <v>808.4</v>
      </c>
      <c r="E2781" s="155">
        <v>44769</v>
      </c>
      <c r="F2781" s="154">
        <v>808.4</v>
      </c>
      <c r="G2781" s="156">
        <f>Tabla18[[#This Row],[Importe]]-Tabla18[[#This Row],[Pagado]]</f>
        <v>0</v>
      </c>
      <c r="H2781" s="153" t="s">
        <v>10</v>
      </c>
    </row>
    <row r="2782" spans="1:8" x14ac:dyDescent="0.25">
      <c r="A2782" s="73">
        <v>44769</v>
      </c>
      <c r="B2782" s="74" t="s">
        <v>24153</v>
      </c>
      <c r="C2782" s="75" t="s">
        <v>357</v>
      </c>
      <c r="D2782" s="81">
        <v>1548.6</v>
      </c>
      <c r="E2782" s="151">
        <v>44769</v>
      </c>
      <c r="F2782" s="81">
        <v>1548.6</v>
      </c>
      <c r="G2782" s="156">
        <f>Tabla18[[#This Row],[Importe]]-Tabla18[[#This Row],[Pagado]]</f>
        <v>0</v>
      </c>
      <c r="H2782" s="75" t="s">
        <v>10</v>
      </c>
    </row>
    <row r="2783" spans="1:8" x14ac:dyDescent="0.25">
      <c r="A2783" s="148">
        <v>44769</v>
      </c>
      <c r="B2783" s="149" t="s">
        <v>24154</v>
      </c>
      <c r="C2783" s="153" t="s">
        <v>140</v>
      </c>
      <c r="D2783" s="154">
        <v>1003.6</v>
      </c>
      <c r="E2783" s="155">
        <v>44769</v>
      </c>
      <c r="F2783" s="154">
        <v>1003.6</v>
      </c>
      <c r="G2783" s="156">
        <f>Tabla18[[#This Row],[Importe]]-Tabla18[[#This Row],[Pagado]]</f>
        <v>0</v>
      </c>
      <c r="H2783" s="153" t="s">
        <v>10</v>
      </c>
    </row>
    <row r="2784" spans="1:8" x14ac:dyDescent="0.25">
      <c r="A2784" s="73">
        <v>44769</v>
      </c>
      <c r="B2784" s="74" t="s">
        <v>24155</v>
      </c>
      <c r="C2784" s="75" t="s">
        <v>339</v>
      </c>
      <c r="D2784" s="81">
        <v>800.4</v>
      </c>
      <c r="E2784" s="151">
        <v>44769</v>
      </c>
      <c r="F2784" s="81">
        <v>800.4</v>
      </c>
      <c r="G2784" s="156">
        <f>Tabla18[[#This Row],[Importe]]-Tabla18[[#This Row],[Pagado]]</f>
        <v>0</v>
      </c>
      <c r="H2784" s="75" t="s">
        <v>10</v>
      </c>
    </row>
    <row r="2785" spans="1:8" x14ac:dyDescent="0.25">
      <c r="A2785" s="148">
        <v>44769</v>
      </c>
      <c r="B2785" s="149" t="s">
        <v>24156</v>
      </c>
      <c r="C2785" s="153" t="s">
        <v>127</v>
      </c>
      <c r="D2785" s="154">
        <v>2488.1999999999998</v>
      </c>
      <c r="E2785" s="155">
        <v>44769</v>
      </c>
      <c r="F2785" s="154">
        <v>2488.1999999999998</v>
      </c>
      <c r="G2785" s="156">
        <f>Tabla18[[#This Row],[Importe]]-Tabla18[[#This Row],[Pagado]]</f>
        <v>0</v>
      </c>
      <c r="H2785" s="153" t="s">
        <v>10</v>
      </c>
    </row>
    <row r="2786" spans="1:8" x14ac:dyDescent="0.25">
      <c r="A2786" s="73">
        <v>44769</v>
      </c>
      <c r="B2786" s="74" t="s">
        <v>24157</v>
      </c>
      <c r="C2786" s="75" t="s">
        <v>129</v>
      </c>
      <c r="D2786" s="81">
        <v>4909.2</v>
      </c>
      <c r="E2786" s="151">
        <v>44769</v>
      </c>
      <c r="F2786" s="81">
        <v>4909.2</v>
      </c>
      <c r="G2786" s="156">
        <f>Tabla18[[#This Row],[Importe]]-Tabla18[[#This Row],[Pagado]]</f>
        <v>0</v>
      </c>
      <c r="H2786" s="75" t="s">
        <v>10</v>
      </c>
    </row>
    <row r="2787" spans="1:8" x14ac:dyDescent="0.25">
      <c r="A2787" s="148">
        <v>44769</v>
      </c>
      <c r="B2787" s="149" t="s">
        <v>24158</v>
      </c>
      <c r="C2787" s="153" t="s">
        <v>154</v>
      </c>
      <c r="D2787" s="154">
        <v>34623.9</v>
      </c>
      <c r="E2787" s="155">
        <v>44773</v>
      </c>
      <c r="F2787" s="154">
        <v>34623.9</v>
      </c>
      <c r="G2787" s="156">
        <f>Tabla18[[#This Row],[Importe]]-Tabla18[[#This Row],[Pagado]]</f>
        <v>0</v>
      </c>
      <c r="H2787" s="153" t="s">
        <v>10</v>
      </c>
    </row>
    <row r="2788" spans="1:8" x14ac:dyDescent="0.25">
      <c r="A2788" s="73">
        <v>44769</v>
      </c>
      <c r="B2788" s="74" t="s">
        <v>24159</v>
      </c>
      <c r="C2788" s="75" t="s">
        <v>275</v>
      </c>
      <c r="D2788" s="81">
        <v>98325</v>
      </c>
      <c r="E2788" s="151">
        <v>44786</v>
      </c>
      <c r="F2788" s="81">
        <v>98325</v>
      </c>
      <c r="G2788" s="156">
        <f>Tabla18[[#This Row],[Importe]]-Tabla18[[#This Row],[Pagado]]</f>
        <v>0</v>
      </c>
      <c r="H2788" s="75" t="s">
        <v>10</v>
      </c>
    </row>
    <row r="2789" spans="1:8" x14ac:dyDescent="0.25">
      <c r="A2789" s="148">
        <v>44769</v>
      </c>
      <c r="B2789" s="149" t="s">
        <v>24160</v>
      </c>
      <c r="C2789" s="153" t="s">
        <v>11033</v>
      </c>
      <c r="D2789" s="154">
        <v>1722.2</v>
      </c>
      <c r="E2789" s="155">
        <v>44769</v>
      </c>
      <c r="F2789" s="154">
        <v>1722.2</v>
      </c>
      <c r="G2789" s="156">
        <f>Tabla18[[#This Row],[Importe]]-Tabla18[[#This Row],[Pagado]]</f>
        <v>0</v>
      </c>
      <c r="H2789" s="153" t="s">
        <v>10</v>
      </c>
    </row>
    <row r="2790" spans="1:8" x14ac:dyDescent="0.25">
      <c r="A2790" s="73">
        <v>44769</v>
      </c>
      <c r="B2790" s="74" t="s">
        <v>24161</v>
      </c>
      <c r="C2790" s="75" t="s">
        <v>22</v>
      </c>
      <c r="D2790" s="81">
        <v>29838.6</v>
      </c>
      <c r="E2790" s="151">
        <v>44771</v>
      </c>
      <c r="F2790" s="81">
        <v>29838.6</v>
      </c>
      <c r="G2790" s="156">
        <f>Tabla18[[#This Row],[Importe]]-Tabla18[[#This Row],[Pagado]]</f>
        <v>0</v>
      </c>
      <c r="H2790" s="75" t="s">
        <v>10</v>
      </c>
    </row>
    <row r="2791" spans="1:8" x14ac:dyDescent="0.25">
      <c r="A2791" s="148">
        <v>44769</v>
      </c>
      <c r="B2791" s="149" t="s">
        <v>24162</v>
      </c>
      <c r="C2791" s="153" t="s">
        <v>16</v>
      </c>
      <c r="D2791" s="154">
        <v>6694.4</v>
      </c>
      <c r="E2791" s="155">
        <v>44769</v>
      </c>
      <c r="F2791" s="154">
        <v>6694.4</v>
      </c>
      <c r="G2791" s="156">
        <f>Tabla18[[#This Row],[Importe]]-Tabla18[[#This Row],[Pagado]]</f>
        <v>0</v>
      </c>
      <c r="H2791" s="153" t="s">
        <v>10</v>
      </c>
    </row>
    <row r="2792" spans="1:8" x14ac:dyDescent="0.25">
      <c r="A2792" s="73">
        <v>44769</v>
      </c>
      <c r="B2792" s="74" t="s">
        <v>24163</v>
      </c>
      <c r="C2792" s="75" t="s">
        <v>212</v>
      </c>
      <c r="D2792" s="81">
        <v>38138.699999999997</v>
      </c>
      <c r="E2792" s="151">
        <v>44773</v>
      </c>
      <c r="F2792" s="81">
        <v>38138.699999999997</v>
      </c>
      <c r="G2792" s="156">
        <f>Tabla18[[#This Row],[Importe]]-Tabla18[[#This Row],[Pagado]]</f>
        <v>0</v>
      </c>
      <c r="H2792" s="75" t="s">
        <v>10</v>
      </c>
    </row>
    <row r="2793" spans="1:8" x14ac:dyDescent="0.25">
      <c r="A2793" s="148">
        <v>44769</v>
      </c>
      <c r="B2793" s="149" t="s">
        <v>24164</v>
      </c>
      <c r="C2793" s="153" t="s">
        <v>161</v>
      </c>
      <c r="D2793" s="154">
        <v>4566.1000000000004</v>
      </c>
      <c r="E2793" s="155">
        <v>44769</v>
      </c>
      <c r="F2793" s="154">
        <v>4566.1000000000004</v>
      </c>
      <c r="G2793" s="156">
        <f>Tabla18[[#This Row],[Importe]]-Tabla18[[#This Row],[Pagado]]</f>
        <v>0</v>
      </c>
      <c r="H2793" s="153" t="s">
        <v>10</v>
      </c>
    </row>
    <row r="2794" spans="1:8" x14ac:dyDescent="0.25">
      <c r="A2794" s="73">
        <v>44769</v>
      </c>
      <c r="B2794" s="74" t="s">
        <v>24165</v>
      </c>
      <c r="C2794" s="75" t="s">
        <v>206</v>
      </c>
      <c r="D2794" s="81">
        <v>33027.4</v>
      </c>
      <c r="E2794" s="151">
        <v>44772</v>
      </c>
      <c r="F2794" s="81">
        <v>33027.4</v>
      </c>
      <c r="G2794" s="156">
        <f>Tabla18[[#This Row],[Importe]]-Tabla18[[#This Row],[Pagado]]</f>
        <v>0</v>
      </c>
      <c r="H2794" s="75" t="s">
        <v>10</v>
      </c>
    </row>
    <row r="2795" spans="1:8" ht="63" x14ac:dyDescent="0.25">
      <c r="A2795" s="148">
        <v>44769</v>
      </c>
      <c r="B2795" s="149" t="s">
        <v>24166</v>
      </c>
      <c r="C2795" s="153" t="s">
        <v>133</v>
      </c>
      <c r="D2795" s="154">
        <v>30375.200000000001</v>
      </c>
      <c r="E2795" s="150" t="s">
        <v>27996</v>
      </c>
      <c r="F2795" s="154">
        <f>1000+1500+1000+26875.2</f>
        <v>30375.200000000001</v>
      </c>
      <c r="G2795" s="156">
        <f>Tabla18[[#This Row],[Importe]]-Tabla18[[#This Row],[Pagado]]</f>
        <v>0</v>
      </c>
      <c r="H2795" s="153" t="s">
        <v>1695</v>
      </c>
    </row>
    <row r="2796" spans="1:8" x14ac:dyDescent="0.25">
      <c r="A2796" s="73">
        <v>44769</v>
      </c>
      <c r="B2796" s="74" t="s">
        <v>24167</v>
      </c>
      <c r="C2796" s="75" t="s">
        <v>31</v>
      </c>
      <c r="D2796" s="81">
        <v>1176</v>
      </c>
      <c r="E2796" s="151">
        <v>44769</v>
      </c>
      <c r="F2796" s="81">
        <v>1176</v>
      </c>
      <c r="G2796" s="156">
        <f>Tabla18[[#This Row],[Importe]]-Tabla18[[#This Row],[Pagado]]</f>
        <v>0</v>
      </c>
      <c r="H2796" s="75" t="s">
        <v>10</v>
      </c>
    </row>
    <row r="2797" spans="1:8" x14ac:dyDescent="0.25">
      <c r="A2797" s="148">
        <v>44769</v>
      </c>
      <c r="B2797" s="149" t="s">
        <v>24168</v>
      </c>
      <c r="C2797" s="153" t="s">
        <v>5816</v>
      </c>
      <c r="D2797" s="154">
        <v>8630.4</v>
      </c>
      <c r="E2797" s="155">
        <v>44770</v>
      </c>
      <c r="F2797" s="154">
        <v>8630.4</v>
      </c>
      <c r="G2797" s="156">
        <f>Tabla18[[#This Row],[Importe]]-Tabla18[[#This Row],[Pagado]]</f>
        <v>0</v>
      </c>
      <c r="H2797" s="153" t="s">
        <v>10</v>
      </c>
    </row>
    <row r="2798" spans="1:8" x14ac:dyDescent="0.25">
      <c r="A2798" s="73">
        <v>44769</v>
      </c>
      <c r="B2798" s="74" t="s">
        <v>24169</v>
      </c>
      <c r="C2798" s="75" t="s">
        <v>218</v>
      </c>
      <c r="D2798" s="81">
        <v>20621.3</v>
      </c>
      <c r="E2798" s="151">
        <v>44772</v>
      </c>
      <c r="F2798" s="81">
        <v>20621.3</v>
      </c>
      <c r="G2798" s="156">
        <f>Tabla18[[#This Row],[Importe]]-Tabla18[[#This Row],[Pagado]]</f>
        <v>0</v>
      </c>
      <c r="H2798" s="75" t="s">
        <v>10</v>
      </c>
    </row>
    <row r="2799" spans="1:8" x14ac:dyDescent="0.25">
      <c r="A2799" s="148">
        <v>44769</v>
      </c>
      <c r="B2799" s="149" t="s">
        <v>24170</v>
      </c>
      <c r="C2799" s="153" t="s">
        <v>541</v>
      </c>
      <c r="D2799" s="154">
        <v>9629.2000000000007</v>
      </c>
      <c r="E2799" s="155">
        <v>44770</v>
      </c>
      <c r="F2799" s="154">
        <v>9629.2000000000007</v>
      </c>
      <c r="G2799" s="156">
        <f>Tabla18[[#This Row],[Importe]]-Tabla18[[#This Row],[Pagado]]</f>
        <v>0</v>
      </c>
      <c r="H2799" s="153" t="s">
        <v>10</v>
      </c>
    </row>
    <row r="2800" spans="1:8" x14ac:dyDescent="0.25">
      <c r="A2800" s="73">
        <v>44769</v>
      </c>
      <c r="B2800" s="74" t="s">
        <v>24171</v>
      </c>
      <c r="C2800" s="75" t="s">
        <v>173</v>
      </c>
      <c r="D2800" s="81">
        <v>13028.4</v>
      </c>
      <c r="E2800" s="151">
        <v>44770</v>
      </c>
      <c r="F2800" s="81">
        <v>13028.4</v>
      </c>
      <c r="G2800" s="156">
        <f>Tabla18[[#This Row],[Importe]]-Tabla18[[#This Row],[Pagado]]</f>
        <v>0</v>
      </c>
      <c r="H2800" s="75" t="s">
        <v>10</v>
      </c>
    </row>
    <row r="2801" spans="1:8" x14ac:dyDescent="0.25">
      <c r="A2801" s="148">
        <v>44769</v>
      </c>
      <c r="B2801" s="149" t="s">
        <v>24172</v>
      </c>
      <c r="C2801" s="153" t="s">
        <v>45</v>
      </c>
      <c r="D2801" s="154">
        <v>12384.6</v>
      </c>
      <c r="E2801" s="155">
        <v>44769</v>
      </c>
      <c r="F2801" s="154">
        <v>12384.6</v>
      </c>
      <c r="G2801" s="156">
        <f>Tabla18[[#This Row],[Importe]]-Tabla18[[#This Row],[Pagado]]</f>
        <v>0</v>
      </c>
      <c r="H2801" s="153" t="s">
        <v>10</v>
      </c>
    </row>
    <row r="2802" spans="1:8" x14ac:dyDescent="0.25">
      <c r="A2802" s="73">
        <v>44769</v>
      </c>
      <c r="B2802" s="74" t="s">
        <v>24173</v>
      </c>
      <c r="C2802" s="75" t="s">
        <v>348</v>
      </c>
      <c r="D2802" s="81">
        <v>5218.3</v>
      </c>
      <c r="E2802" s="151">
        <v>44769</v>
      </c>
      <c r="F2802" s="81">
        <v>5218.3</v>
      </c>
      <c r="G2802" s="156">
        <f>Tabla18[[#This Row],[Importe]]-Tabla18[[#This Row],[Pagado]]</f>
        <v>0</v>
      </c>
      <c r="H2802" s="75" t="s">
        <v>10</v>
      </c>
    </row>
    <row r="2803" spans="1:8" x14ac:dyDescent="0.25">
      <c r="A2803" s="148">
        <v>44769</v>
      </c>
      <c r="B2803" s="149" t="s">
        <v>24174</v>
      </c>
      <c r="C2803" s="153" t="s">
        <v>1421</v>
      </c>
      <c r="D2803" s="154">
        <v>41972</v>
      </c>
      <c r="E2803" s="155">
        <v>44769</v>
      </c>
      <c r="F2803" s="154">
        <v>41972</v>
      </c>
      <c r="G2803" s="156">
        <f>Tabla18[[#This Row],[Importe]]-Tabla18[[#This Row],[Pagado]]</f>
        <v>0</v>
      </c>
      <c r="H2803" s="153" t="s">
        <v>10</v>
      </c>
    </row>
    <row r="2804" spans="1:8" x14ac:dyDescent="0.25">
      <c r="A2804" s="73">
        <v>44769</v>
      </c>
      <c r="B2804" s="74" t="s">
        <v>24175</v>
      </c>
      <c r="C2804" s="75" t="s">
        <v>24</v>
      </c>
      <c r="D2804" s="81">
        <v>552</v>
      </c>
      <c r="E2804" s="151">
        <v>44769</v>
      </c>
      <c r="F2804" s="81">
        <v>552</v>
      </c>
      <c r="G2804" s="156">
        <f>Tabla18[[#This Row],[Importe]]-Tabla18[[#This Row],[Pagado]]</f>
        <v>0</v>
      </c>
      <c r="H2804" s="75" t="s">
        <v>10</v>
      </c>
    </row>
    <row r="2805" spans="1:8" x14ac:dyDescent="0.25">
      <c r="A2805" s="148">
        <v>44769</v>
      </c>
      <c r="B2805" s="149" t="s">
        <v>24176</v>
      </c>
      <c r="C2805" s="153" t="s">
        <v>24</v>
      </c>
      <c r="D2805" s="154">
        <v>3594.5</v>
      </c>
      <c r="E2805" s="155">
        <v>44769</v>
      </c>
      <c r="F2805" s="154">
        <v>3594.5</v>
      </c>
      <c r="G2805" s="156">
        <f>Tabla18[[#This Row],[Importe]]-Tabla18[[#This Row],[Pagado]]</f>
        <v>0</v>
      </c>
      <c r="H2805" s="153" t="s">
        <v>10</v>
      </c>
    </row>
    <row r="2806" spans="1:8" x14ac:dyDescent="0.25">
      <c r="A2806" s="73">
        <v>44769</v>
      </c>
      <c r="B2806" s="74" t="s">
        <v>24177</v>
      </c>
      <c r="C2806" s="75" t="s">
        <v>31</v>
      </c>
      <c r="D2806" s="81">
        <v>1996</v>
      </c>
      <c r="E2806" s="151">
        <v>44769</v>
      </c>
      <c r="F2806" s="81">
        <v>1996</v>
      </c>
      <c r="G2806" s="156">
        <f>Tabla18[[#This Row],[Importe]]-Tabla18[[#This Row],[Pagado]]</f>
        <v>0</v>
      </c>
      <c r="H2806" s="75" t="s">
        <v>10</v>
      </c>
    </row>
    <row r="2807" spans="1:8" x14ac:dyDescent="0.25">
      <c r="A2807" s="148">
        <v>44769</v>
      </c>
      <c r="B2807" s="149" t="s">
        <v>24178</v>
      </c>
      <c r="C2807" s="153" t="s">
        <v>31</v>
      </c>
      <c r="D2807" s="154">
        <v>730.8</v>
      </c>
      <c r="E2807" s="155">
        <v>44769</v>
      </c>
      <c r="F2807" s="154">
        <v>730.8</v>
      </c>
      <c r="G2807" s="156">
        <f>Tabla18[[#This Row],[Importe]]-Tabla18[[#This Row],[Pagado]]</f>
        <v>0</v>
      </c>
      <c r="H2807" s="153" t="s">
        <v>10</v>
      </c>
    </row>
    <row r="2808" spans="1:8" x14ac:dyDescent="0.25">
      <c r="A2808" s="73">
        <v>44769</v>
      </c>
      <c r="B2808" s="74" t="s">
        <v>24179</v>
      </c>
      <c r="C2808" s="75" t="s">
        <v>555</v>
      </c>
      <c r="D2808" s="81">
        <v>30561.279999999999</v>
      </c>
      <c r="E2808" s="151">
        <v>44769</v>
      </c>
      <c r="F2808" s="81">
        <v>30561.279999999999</v>
      </c>
      <c r="G2808" s="156">
        <f>Tabla18[[#This Row],[Importe]]-Tabla18[[#This Row],[Pagado]]</f>
        <v>0</v>
      </c>
      <c r="H2808" s="75" t="s">
        <v>10</v>
      </c>
    </row>
    <row r="2809" spans="1:8" x14ac:dyDescent="0.25">
      <c r="A2809" s="148">
        <v>44769</v>
      </c>
      <c r="B2809" s="149" t="s">
        <v>24180</v>
      </c>
      <c r="C2809" s="153" t="s">
        <v>1505</v>
      </c>
      <c r="D2809" s="154">
        <v>7789.2</v>
      </c>
      <c r="E2809" s="155">
        <v>44769</v>
      </c>
      <c r="F2809" s="154">
        <v>7789.2</v>
      </c>
      <c r="G2809" s="156">
        <f>Tabla18[[#This Row],[Importe]]-Tabla18[[#This Row],[Pagado]]</f>
        <v>0</v>
      </c>
      <c r="H2809" s="153" t="s">
        <v>10</v>
      </c>
    </row>
    <row r="2810" spans="1:8" x14ac:dyDescent="0.25">
      <c r="A2810" s="73">
        <v>44769</v>
      </c>
      <c r="B2810" s="74" t="s">
        <v>24181</v>
      </c>
      <c r="C2810" s="75" t="s">
        <v>2240</v>
      </c>
      <c r="D2810" s="81">
        <v>5146.5600000000004</v>
      </c>
      <c r="E2810" s="151">
        <v>44769</v>
      </c>
      <c r="F2810" s="81">
        <v>5146.5600000000004</v>
      </c>
      <c r="G2810" s="156">
        <f>Tabla18[[#This Row],[Importe]]-Tabla18[[#This Row],[Pagado]]</f>
        <v>0</v>
      </c>
      <c r="H2810" s="75" t="s">
        <v>10</v>
      </c>
    </row>
    <row r="2811" spans="1:8" x14ac:dyDescent="0.25">
      <c r="A2811" s="148">
        <v>44769</v>
      </c>
      <c r="B2811" s="149" t="s">
        <v>24182</v>
      </c>
      <c r="C2811" s="153" t="s">
        <v>562</v>
      </c>
      <c r="D2811" s="154">
        <v>4500</v>
      </c>
      <c r="E2811" s="155">
        <v>44769</v>
      </c>
      <c r="F2811" s="154">
        <v>4500</v>
      </c>
      <c r="G2811" s="156">
        <f>Tabla18[[#This Row],[Importe]]-Tabla18[[#This Row],[Pagado]]</f>
        <v>0</v>
      </c>
      <c r="H2811" s="153" t="s">
        <v>10</v>
      </c>
    </row>
    <row r="2812" spans="1:8" x14ac:dyDescent="0.25">
      <c r="A2812" s="73">
        <v>44769</v>
      </c>
      <c r="B2812" s="74" t="s">
        <v>24183</v>
      </c>
      <c r="C2812" s="75" t="s">
        <v>107</v>
      </c>
      <c r="D2812" s="81">
        <v>11750.2</v>
      </c>
      <c r="E2812" s="151">
        <v>44769</v>
      </c>
      <c r="F2812" s="81">
        <v>11750.2</v>
      </c>
      <c r="G2812" s="156">
        <f>Tabla18[[#This Row],[Importe]]-Tabla18[[#This Row],[Pagado]]</f>
        <v>0</v>
      </c>
      <c r="H2812" s="75" t="s">
        <v>10</v>
      </c>
    </row>
    <row r="2813" spans="1:8" x14ac:dyDescent="0.25">
      <c r="A2813" s="148">
        <v>44769</v>
      </c>
      <c r="B2813" s="149" t="s">
        <v>24184</v>
      </c>
      <c r="C2813" s="153" t="s">
        <v>91</v>
      </c>
      <c r="D2813" s="154">
        <v>5160</v>
      </c>
      <c r="E2813" s="155">
        <v>44770</v>
      </c>
      <c r="F2813" s="154">
        <v>5160</v>
      </c>
      <c r="G2813" s="156">
        <f>Tabla18[[#This Row],[Importe]]-Tabla18[[#This Row],[Pagado]]</f>
        <v>0</v>
      </c>
      <c r="H2813" s="153" t="s">
        <v>10</v>
      </c>
    </row>
    <row r="2814" spans="1:8" x14ac:dyDescent="0.25">
      <c r="A2814" s="73">
        <v>44769</v>
      </c>
      <c r="B2814" s="74" t="s">
        <v>24185</v>
      </c>
      <c r="C2814" s="75" t="s">
        <v>10190</v>
      </c>
      <c r="D2814" s="81">
        <v>20298.599999999999</v>
      </c>
      <c r="E2814" s="151">
        <v>44769</v>
      </c>
      <c r="F2814" s="81">
        <v>20298.599999999999</v>
      </c>
      <c r="G2814" s="156">
        <f>Tabla18[[#This Row],[Importe]]-Tabla18[[#This Row],[Pagado]]</f>
        <v>0</v>
      </c>
      <c r="H2814" s="75" t="s">
        <v>10</v>
      </c>
    </row>
    <row r="2815" spans="1:8" x14ac:dyDescent="0.25">
      <c r="A2815" s="148">
        <v>44769</v>
      </c>
      <c r="B2815" s="149" t="s">
        <v>24186</v>
      </c>
      <c r="C2815" s="153" t="s">
        <v>4136</v>
      </c>
      <c r="D2815" s="154">
        <v>2901.1</v>
      </c>
      <c r="E2815" s="155">
        <v>44769</v>
      </c>
      <c r="F2815" s="154">
        <v>2901.1</v>
      </c>
      <c r="G2815" s="156">
        <f>Tabla18[[#This Row],[Importe]]-Tabla18[[#This Row],[Pagado]]</f>
        <v>0</v>
      </c>
      <c r="H2815" s="153" t="s">
        <v>10</v>
      </c>
    </row>
    <row r="2816" spans="1:8" x14ac:dyDescent="0.25">
      <c r="A2816" s="73">
        <v>44769</v>
      </c>
      <c r="B2816" s="74" t="s">
        <v>24187</v>
      </c>
      <c r="C2816" s="75" t="s">
        <v>414</v>
      </c>
      <c r="D2816" s="81">
        <v>26918</v>
      </c>
      <c r="E2816" s="151">
        <v>44786</v>
      </c>
      <c r="F2816" s="81">
        <v>26918</v>
      </c>
      <c r="G2816" s="156">
        <f>Tabla18[[#This Row],[Importe]]-Tabla18[[#This Row],[Pagado]]</f>
        <v>0</v>
      </c>
      <c r="H2816" s="75" t="s">
        <v>10</v>
      </c>
    </row>
    <row r="2817" spans="1:8" x14ac:dyDescent="0.25">
      <c r="A2817" s="148">
        <v>44769</v>
      </c>
      <c r="B2817" s="149" t="s">
        <v>24188</v>
      </c>
      <c r="C2817" s="153" t="s">
        <v>400</v>
      </c>
      <c r="D2817" s="154">
        <v>9953.2000000000007</v>
      </c>
      <c r="E2817" s="155">
        <v>44777</v>
      </c>
      <c r="F2817" s="154">
        <v>9953.2000000000007</v>
      </c>
      <c r="G2817" s="156">
        <f>Tabla18[[#This Row],[Importe]]-Tabla18[[#This Row],[Pagado]]</f>
        <v>0</v>
      </c>
      <c r="H2817" s="153" t="s">
        <v>10</v>
      </c>
    </row>
    <row r="2818" spans="1:8" x14ac:dyDescent="0.25">
      <c r="A2818" s="73">
        <v>44769</v>
      </c>
      <c r="B2818" s="74" t="s">
        <v>24189</v>
      </c>
      <c r="C2818" s="75" t="s">
        <v>402</v>
      </c>
      <c r="D2818" s="81">
        <v>30867.8</v>
      </c>
      <c r="E2818" s="151">
        <v>44777</v>
      </c>
      <c r="F2818" s="81">
        <v>30867.8</v>
      </c>
      <c r="G2818" s="156">
        <f>Tabla18[[#This Row],[Importe]]-Tabla18[[#This Row],[Pagado]]</f>
        <v>0</v>
      </c>
      <c r="H2818" s="75" t="s">
        <v>10</v>
      </c>
    </row>
    <row r="2819" spans="1:8" x14ac:dyDescent="0.25">
      <c r="A2819" s="148">
        <v>44769</v>
      </c>
      <c r="B2819" s="149" t="s">
        <v>24190</v>
      </c>
      <c r="C2819" s="153" t="s">
        <v>698</v>
      </c>
      <c r="D2819" s="154">
        <v>5880</v>
      </c>
      <c r="E2819" s="155">
        <v>44769</v>
      </c>
      <c r="F2819" s="154">
        <v>5880</v>
      </c>
      <c r="G2819" s="156">
        <f>Tabla18[[#This Row],[Importe]]-Tabla18[[#This Row],[Pagado]]</f>
        <v>0</v>
      </c>
      <c r="H2819" s="153" t="s">
        <v>10</v>
      </c>
    </row>
    <row r="2820" spans="1:8" x14ac:dyDescent="0.25">
      <c r="A2820" s="73">
        <v>44769</v>
      </c>
      <c r="B2820" s="74" t="s">
        <v>24191</v>
      </c>
      <c r="C2820" s="75" t="s">
        <v>419</v>
      </c>
      <c r="D2820" s="81">
        <v>4381.2</v>
      </c>
      <c r="E2820" s="151">
        <v>44769</v>
      </c>
      <c r="F2820" s="81">
        <v>4381.2</v>
      </c>
      <c r="G2820" s="156">
        <f>Tabla18[[#This Row],[Importe]]-Tabla18[[#This Row],[Pagado]]</f>
        <v>0</v>
      </c>
      <c r="H2820" s="75" t="s">
        <v>10</v>
      </c>
    </row>
    <row r="2821" spans="1:8" x14ac:dyDescent="0.25">
      <c r="A2821" s="148">
        <v>44769</v>
      </c>
      <c r="B2821" s="149" t="s">
        <v>24192</v>
      </c>
      <c r="C2821" s="153" t="s">
        <v>450</v>
      </c>
      <c r="D2821" s="154">
        <v>6090.4</v>
      </c>
      <c r="E2821" s="155">
        <v>44769</v>
      </c>
      <c r="F2821" s="154">
        <v>6090.4</v>
      </c>
      <c r="G2821" s="156">
        <f>Tabla18[[#This Row],[Importe]]-Tabla18[[#This Row],[Pagado]]</f>
        <v>0</v>
      </c>
      <c r="H2821" s="153" t="s">
        <v>10</v>
      </c>
    </row>
    <row r="2822" spans="1:8" x14ac:dyDescent="0.25">
      <c r="A2822" s="73">
        <v>44769</v>
      </c>
      <c r="B2822" s="74" t="s">
        <v>24193</v>
      </c>
      <c r="C2822" s="75" t="s">
        <v>450</v>
      </c>
      <c r="D2822" s="81">
        <v>617.4</v>
      </c>
      <c r="E2822" s="151">
        <v>44769</v>
      </c>
      <c r="F2822" s="81">
        <v>617.4</v>
      </c>
      <c r="G2822" s="156">
        <f>Tabla18[[#This Row],[Importe]]-Tabla18[[#This Row],[Pagado]]</f>
        <v>0</v>
      </c>
      <c r="H2822" s="75" t="s">
        <v>10</v>
      </c>
    </row>
    <row r="2823" spans="1:8" x14ac:dyDescent="0.25">
      <c r="A2823" s="148">
        <v>44769</v>
      </c>
      <c r="B2823" s="149" t="s">
        <v>24194</v>
      </c>
      <c r="C2823" s="153" t="s">
        <v>1174</v>
      </c>
      <c r="D2823" s="154">
        <v>18894.400000000001</v>
      </c>
      <c r="E2823" s="155">
        <v>44769</v>
      </c>
      <c r="F2823" s="154">
        <v>18894.400000000001</v>
      </c>
      <c r="G2823" s="156">
        <f>Tabla18[[#This Row],[Importe]]-Tabla18[[#This Row],[Pagado]]</f>
        <v>0</v>
      </c>
      <c r="H2823" s="153" t="s">
        <v>10</v>
      </c>
    </row>
    <row r="2824" spans="1:8" x14ac:dyDescent="0.25">
      <c r="A2824" s="73">
        <v>44769</v>
      </c>
      <c r="B2824" s="74" t="s">
        <v>24195</v>
      </c>
      <c r="C2824" s="75" t="s">
        <v>181</v>
      </c>
      <c r="D2824" s="81">
        <v>8421</v>
      </c>
      <c r="E2824" s="151">
        <v>44770</v>
      </c>
      <c r="F2824" s="81">
        <v>8421</v>
      </c>
      <c r="G2824" s="156">
        <f>Tabla18[[#This Row],[Importe]]-Tabla18[[#This Row],[Pagado]]</f>
        <v>0</v>
      </c>
      <c r="H2824" s="75" t="s">
        <v>10</v>
      </c>
    </row>
    <row r="2825" spans="1:8" x14ac:dyDescent="0.25">
      <c r="A2825" s="148">
        <v>44769</v>
      </c>
      <c r="B2825" s="149" t="s">
        <v>24196</v>
      </c>
      <c r="C2825" s="153" t="s">
        <v>263</v>
      </c>
      <c r="D2825" s="154">
        <v>242884.2</v>
      </c>
      <c r="E2825" s="155">
        <v>44770</v>
      </c>
      <c r="F2825" s="154">
        <v>242884.2</v>
      </c>
      <c r="G2825" s="156">
        <f>Tabla18[[#This Row],[Importe]]-Tabla18[[#This Row],[Pagado]]</f>
        <v>0</v>
      </c>
      <c r="H2825" s="153" t="s">
        <v>10</v>
      </c>
    </row>
    <row r="2826" spans="1:8" x14ac:dyDescent="0.25">
      <c r="A2826" s="73">
        <v>44769</v>
      </c>
      <c r="B2826" s="74" t="s">
        <v>24197</v>
      </c>
      <c r="C2826" s="75" t="s">
        <v>284</v>
      </c>
      <c r="D2826" s="81">
        <v>9030</v>
      </c>
      <c r="E2826" s="151">
        <v>44770</v>
      </c>
      <c r="F2826" s="81">
        <v>9030</v>
      </c>
      <c r="G2826" s="156">
        <f>Tabla18[[#This Row],[Importe]]-Tabla18[[#This Row],[Pagado]]</f>
        <v>0</v>
      </c>
      <c r="H2826" s="75" t="s">
        <v>10</v>
      </c>
    </row>
    <row r="2827" spans="1:8" x14ac:dyDescent="0.25">
      <c r="A2827" s="148">
        <v>44769</v>
      </c>
      <c r="B2827" s="149" t="s">
        <v>24198</v>
      </c>
      <c r="C2827" s="153" t="s">
        <v>1378</v>
      </c>
      <c r="D2827" s="154">
        <v>74460</v>
      </c>
      <c r="E2827" s="155">
        <v>44770</v>
      </c>
      <c r="F2827" s="154">
        <v>74460</v>
      </c>
      <c r="G2827" s="156">
        <f>Tabla18[[#This Row],[Importe]]-Tabla18[[#This Row],[Pagado]]</f>
        <v>0</v>
      </c>
      <c r="H2827" s="153" t="s">
        <v>10</v>
      </c>
    </row>
    <row r="2828" spans="1:8" x14ac:dyDescent="0.25">
      <c r="A2828" s="73">
        <v>44769</v>
      </c>
      <c r="B2828" s="74" t="s">
        <v>24199</v>
      </c>
      <c r="C2828" s="75" t="s">
        <v>282</v>
      </c>
      <c r="D2828" s="81">
        <v>1806</v>
      </c>
      <c r="E2828" s="151">
        <v>44770</v>
      </c>
      <c r="F2828" s="81">
        <v>1806</v>
      </c>
      <c r="G2828" s="156">
        <f>Tabla18[[#This Row],[Importe]]-Tabla18[[#This Row],[Pagado]]</f>
        <v>0</v>
      </c>
      <c r="H2828" s="75" t="s">
        <v>10</v>
      </c>
    </row>
    <row r="2829" spans="1:8" x14ac:dyDescent="0.25">
      <c r="A2829" s="148">
        <v>44769</v>
      </c>
      <c r="B2829" s="149" t="s">
        <v>24200</v>
      </c>
      <c r="C2829" s="153" t="s">
        <v>280</v>
      </c>
      <c r="D2829" s="154">
        <v>1367.4</v>
      </c>
      <c r="E2829" s="155">
        <v>44770</v>
      </c>
      <c r="F2829" s="154">
        <v>1367.4</v>
      </c>
      <c r="G2829" s="156">
        <f>Tabla18[[#This Row],[Importe]]-Tabla18[[#This Row],[Pagado]]</f>
        <v>0</v>
      </c>
      <c r="H2829" s="153" t="s">
        <v>10</v>
      </c>
    </row>
    <row r="2830" spans="1:8" x14ac:dyDescent="0.25">
      <c r="A2830" s="73">
        <v>44769</v>
      </c>
      <c r="B2830" s="74" t="s">
        <v>24201</v>
      </c>
      <c r="C2830" s="75" t="s">
        <v>10819</v>
      </c>
      <c r="D2830" s="81">
        <v>900</v>
      </c>
      <c r="E2830" s="151">
        <v>44770</v>
      </c>
      <c r="F2830" s="81">
        <v>900</v>
      </c>
      <c r="G2830" s="156">
        <f>Tabla18[[#This Row],[Importe]]-Tabla18[[#This Row],[Pagado]]</f>
        <v>0</v>
      </c>
      <c r="H2830" s="75" t="s">
        <v>10</v>
      </c>
    </row>
    <row r="2831" spans="1:8" x14ac:dyDescent="0.25">
      <c r="A2831" s="148">
        <v>44769</v>
      </c>
      <c r="B2831" s="149" t="s">
        <v>24202</v>
      </c>
      <c r="C2831" s="153" t="s">
        <v>1481</v>
      </c>
      <c r="D2831" s="154">
        <v>811.8</v>
      </c>
      <c r="E2831" s="155">
        <v>44770</v>
      </c>
      <c r="F2831" s="154">
        <v>811.8</v>
      </c>
      <c r="G2831" s="156">
        <f>Tabla18[[#This Row],[Importe]]-Tabla18[[#This Row],[Pagado]]</f>
        <v>0</v>
      </c>
      <c r="H2831" s="153" t="s">
        <v>10</v>
      </c>
    </row>
    <row r="2832" spans="1:8" x14ac:dyDescent="0.25">
      <c r="A2832" s="73">
        <v>44769</v>
      </c>
      <c r="B2832" s="74" t="s">
        <v>24203</v>
      </c>
      <c r="C2832" s="75" t="s">
        <v>200</v>
      </c>
      <c r="D2832" s="81">
        <v>1539.4</v>
      </c>
      <c r="E2832" s="151">
        <v>44770</v>
      </c>
      <c r="F2832" s="81">
        <v>1539.4</v>
      </c>
      <c r="G2832" s="156">
        <f>Tabla18[[#This Row],[Importe]]-Tabla18[[#This Row],[Pagado]]</f>
        <v>0</v>
      </c>
      <c r="H2832" s="75" t="s">
        <v>10</v>
      </c>
    </row>
    <row r="2833" spans="1:8" x14ac:dyDescent="0.25">
      <c r="A2833" s="148">
        <v>44769</v>
      </c>
      <c r="B2833" s="149" t="s">
        <v>24204</v>
      </c>
      <c r="C2833" s="153" t="s">
        <v>291</v>
      </c>
      <c r="D2833" s="154">
        <v>3456.5</v>
      </c>
      <c r="E2833" s="155">
        <v>44770</v>
      </c>
      <c r="F2833" s="154">
        <v>3456.5</v>
      </c>
      <c r="G2833" s="156">
        <f>Tabla18[[#This Row],[Importe]]-Tabla18[[#This Row],[Pagado]]</f>
        <v>0</v>
      </c>
      <c r="H2833" s="153" t="s">
        <v>10</v>
      </c>
    </row>
    <row r="2834" spans="1:8" x14ac:dyDescent="0.25">
      <c r="A2834" s="73">
        <v>44769</v>
      </c>
      <c r="B2834" s="74" t="s">
        <v>24205</v>
      </c>
      <c r="C2834" s="75" t="s">
        <v>31</v>
      </c>
      <c r="D2834" s="81">
        <v>1762.1</v>
      </c>
      <c r="E2834" s="151">
        <v>44769</v>
      </c>
      <c r="F2834" s="81">
        <v>1762.1</v>
      </c>
      <c r="G2834" s="156">
        <f>Tabla18[[#This Row],[Importe]]-Tabla18[[#This Row],[Pagado]]</f>
        <v>0</v>
      </c>
      <c r="H2834" s="75" t="s">
        <v>10</v>
      </c>
    </row>
    <row r="2835" spans="1:8" x14ac:dyDescent="0.25">
      <c r="A2835" s="148">
        <v>44769</v>
      </c>
      <c r="B2835" s="149" t="s">
        <v>24206</v>
      </c>
      <c r="C2835" s="153" t="s">
        <v>11383</v>
      </c>
      <c r="D2835" s="154">
        <v>29971.200000000001</v>
      </c>
      <c r="E2835" s="155">
        <v>44769</v>
      </c>
      <c r="F2835" s="154">
        <v>29971.200000000001</v>
      </c>
      <c r="G2835" s="156">
        <f>Tabla18[[#This Row],[Importe]]-Tabla18[[#This Row],[Pagado]]</f>
        <v>0</v>
      </c>
      <c r="H2835" s="153" t="s">
        <v>10</v>
      </c>
    </row>
    <row r="2836" spans="1:8" x14ac:dyDescent="0.25">
      <c r="A2836" s="73">
        <v>44769</v>
      </c>
      <c r="B2836" s="74" t="s">
        <v>24207</v>
      </c>
      <c r="C2836" s="75" t="s">
        <v>7862</v>
      </c>
      <c r="D2836" s="81">
        <v>13655.4</v>
      </c>
      <c r="E2836" s="151">
        <v>44769</v>
      </c>
      <c r="F2836" s="81">
        <v>13655.4</v>
      </c>
      <c r="G2836" s="156">
        <f>Tabla18[[#This Row],[Importe]]-Tabla18[[#This Row],[Pagado]]</f>
        <v>0</v>
      </c>
      <c r="H2836" s="75" t="s">
        <v>10</v>
      </c>
    </row>
    <row r="2837" spans="1:8" x14ac:dyDescent="0.25">
      <c r="A2837" s="148">
        <v>44769</v>
      </c>
      <c r="B2837" s="149" t="s">
        <v>24208</v>
      </c>
      <c r="C2837" s="153" t="s">
        <v>2377</v>
      </c>
      <c r="D2837" s="154">
        <v>35971.199999999997</v>
      </c>
      <c r="E2837" s="155">
        <v>44769</v>
      </c>
      <c r="F2837" s="154">
        <v>35971.199999999997</v>
      </c>
      <c r="G2837" s="156">
        <f>Tabla18[[#This Row],[Importe]]-Tabla18[[#This Row],[Pagado]]</f>
        <v>0</v>
      </c>
      <c r="H2837" s="153" t="s">
        <v>10</v>
      </c>
    </row>
    <row r="2838" spans="1:8" x14ac:dyDescent="0.25">
      <c r="A2838" s="73">
        <v>44769</v>
      </c>
      <c r="B2838" s="74" t="s">
        <v>24209</v>
      </c>
      <c r="C2838" s="75" t="s">
        <v>142</v>
      </c>
      <c r="D2838" s="81">
        <v>10947.2</v>
      </c>
      <c r="E2838" s="151">
        <v>44837</v>
      </c>
      <c r="F2838" s="81">
        <v>10947.2</v>
      </c>
      <c r="G2838" s="156">
        <f>Tabla18[[#This Row],[Importe]]-Tabla18[[#This Row],[Pagado]]</f>
        <v>0</v>
      </c>
      <c r="H2838" s="75" t="s">
        <v>10</v>
      </c>
    </row>
    <row r="2839" spans="1:8" x14ac:dyDescent="0.25">
      <c r="A2839" s="148">
        <v>44769</v>
      </c>
      <c r="B2839" s="149" t="s">
        <v>24210</v>
      </c>
      <c r="C2839" s="153" t="s">
        <v>214</v>
      </c>
      <c r="D2839" s="154">
        <v>1616.8</v>
      </c>
      <c r="E2839" s="155">
        <v>44769</v>
      </c>
      <c r="F2839" s="154">
        <v>1616.8</v>
      </c>
      <c r="G2839" s="156">
        <f>Tabla18[[#This Row],[Importe]]-Tabla18[[#This Row],[Pagado]]</f>
        <v>0</v>
      </c>
      <c r="H2839" s="153" t="s">
        <v>10</v>
      </c>
    </row>
    <row r="2840" spans="1:8" x14ac:dyDescent="0.25">
      <c r="A2840" s="73">
        <v>44769</v>
      </c>
      <c r="B2840" s="74" t="s">
        <v>24211</v>
      </c>
      <c r="C2840" s="75" t="s">
        <v>31</v>
      </c>
      <c r="D2840" s="81">
        <v>791.2</v>
      </c>
      <c r="E2840" s="151">
        <v>44769</v>
      </c>
      <c r="F2840" s="81">
        <v>791.2</v>
      </c>
      <c r="G2840" s="156">
        <f>Tabla18[[#This Row],[Importe]]-Tabla18[[#This Row],[Pagado]]</f>
        <v>0</v>
      </c>
      <c r="H2840" s="75" t="s">
        <v>10</v>
      </c>
    </row>
    <row r="2841" spans="1:8" x14ac:dyDescent="0.25">
      <c r="A2841" s="148">
        <v>44769</v>
      </c>
      <c r="B2841" s="149" t="s">
        <v>24212</v>
      </c>
      <c r="C2841" s="153" t="s">
        <v>9577</v>
      </c>
      <c r="D2841" s="154">
        <v>36984.800000000003</v>
      </c>
      <c r="E2841" s="155">
        <v>44770</v>
      </c>
      <c r="F2841" s="154">
        <v>36984.800000000003</v>
      </c>
      <c r="G2841" s="156">
        <f>Tabla18[[#This Row],[Importe]]-Tabla18[[#This Row],[Pagado]]</f>
        <v>0</v>
      </c>
      <c r="H2841" s="153" t="s">
        <v>10</v>
      </c>
    </row>
    <row r="2842" spans="1:8" x14ac:dyDescent="0.25">
      <c r="A2842" s="73">
        <v>44769</v>
      </c>
      <c r="B2842" s="74" t="s">
        <v>24213</v>
      </c>
      <c r="C2842" s="75" t="s">
        <v>16</v>
      </c>
      <c r="D2842" s="81">
        <v>869.66</v>
      </c>
      <c r="E2842" s="151">
        <v>44769</v>
      </c>
      <c r="F2842" s="81">
        <v>869.66</v>
      </c>
      <c r="G2842" s="156">
        <f>Tabla18[[#This Row],[Importe]]-Tabla18[[#This Row],[Pagado]]</f>
        <v>0</v>
      </c>
      <c r="H2842" s="75" t="s">
        <v>10</v>
      </c>
    </row>
    <row r="2843" spans="1:8" x14ac:dyDescent="0.25">
      <c r="A2843" s="148">
        <v>44769</v>
      </c>
      <c r="B2843" s="149" t="s">
        <v>24214</v>
      </c>
      <c r="C2843" s="153" t="s">
        <v>1421</v>
      </c>
      <c r="D2843" s="154">
        <v>27219</v>
      </c>
      <c r="E2843" s="155">
        <v>44769</v>
      </c>
      <c r="F2843" s="154">
        <v>27219</v>
      </c>
      <c r="G2843" s="156">
        <f>Tabla18[[#This Row],[Importe]]-Tabla18[[#This Row],[Pagado]]</f>
        <v>0</v>
      </c>
      <c r="H2843" s="153" t="s">
        <v>10</v>
      </c>
    </row>
    <row r="2844" spans="1:8" x14ac:dyDescent="0.25">
      <c r="A2844" s="73">
        <v>44769</v>
      </c>
      <c r="B2844" s="74" t="s">
        <v>24215</v>
      </c>
      <c r="C2844" s="75" t="s">
        <v>31</v>
      </c>
      <c r="D2844" s="81">
        <v>2083.6999999999998</v>
      </c>
      <c r="E2844" s="151">
        <v>44769</v>
      </c>
      <c r="F2844" s="81">
        <v>2083.6999999999998</v>
      </c>
      <c r="G2844" s="156">
        <f>Tabla18[[#This Row],[Importe]]-Tabla18[[#This Row],[Pagado]]</f>
        <v>0</v>
      </c>
      <c r="H2844" s="75" t="s">
        <v>10</v>
      </c>
    </row>
    <row r="2845" spans="1:8" x14ac:dyDescent="0.25">
      <c r="A2845" s="148">
        <v>44769</v>
      </c>
      <c r="B2845" s="149" t="s">
        <v>24216</v>
      </c>
      <c r="C2845" s="153" t="s">
        <v>31</v>
      </c>
      <c r="D2845" s="154">
        <v>311</v>
      </c>
      <c r="E2845" s="155">
        <v>44769</v>
      </c>
      <c r="F2845" s="154">
        <v>311</v>
      </c>
      <c r="G2845" s="156">
        <f>Tabla18[[#This Row],[Importe]]-Tabla18[[#This Row],[Pagado]]</f>
        <v>0</v>
      </c>
      <c r="H2845" s="153" t="s">
        <v>10</v>
      </c>
    </row>
    <row r="2846" spans="1:8" x14ac:dyDescent="0.25">
      <c r="A2846" s="73">
        <v>44769</v>
      </c>
      <c r="B2846" s="74" t="s">
        <v>24217</v>
      </c>
      <c r="C2846" s="75" t="s">
        <v>196</v>
      </c>
      <c r="D2846" s="81">
        <v>159228.38</v>
      </c>
      <c r="E2846" s="151">
        <v>44771</v>
      </c>
      <c r="F2846" s="81">
        <v>159228.38</v>
      </c>
      <c r="G2846" s="156">
        <f>Tabla18[[#This Row],[Importe]]-Tabla18[[#This Row],[Pagado]]</f>
        <v>0</v>
      </c>
      <c r="H2846" s="75" t="s">
        <v>10</v>
      </c>
    </row>
    <row r="2847" spans="1:8" x14ac:dyDescent="0.25">
      <c r="A2847" s="148">
        <v>44769</v>
      </c>
      <c r="B2847" s="149" t="s">
        <v>24218</v>
      </c>
      <c r="C2847" s="153" t="s">
        <v>2139</v>
      </c>
      <c r="D2847" s="154">
        <v>1107</v>
      </c>
      <c r="E2847" s="155">
        <v>44769</v>
      </c>
      <c r="F2847" s="154">
        <v>1107</v>
      </c>
      <c r="G2847" s="156">
        <f>Tabla18[[#This Row],[Importe]]-Tabla18[[#This Row],[Pagado]]</f>
        <v>0</v>
      </c>
      <c r="H2847" s="153" t="s">
        <v>10</v>
      </c>
    </row>
    <row r="2848" spans="1:8" x14ac:dyDescent="0.25">
      <c r="A2848" s="73">
        <v>44769</v>
      </c>
      <c r="B2848" s="74" t="s">
        <v>24219</v>
      </c>
      <c r="C2848" s="75" t="s">
        <v>9415</v>
      </c>
      <c r="D2848" s="81">
        <v>28900.6</v>
      </c>
      <c r="E2848" s="151">
        <v>44770</v>
      </c>
      <c r="F2848" s="81">
        <v>28900.6</v>
      </c>
      <c r="G2848" s="156">
        <f>Tabla18[[#This Row],[Importe]]-Tabla18[[#This Row],[Pagado]]</f>
        <v>0</v>
      </c>
      <c r="H2848" s="75" t="s">
        <v>10</v>
      </c>
    </row>
    <row r="2849" spans="1:8" x14ac:dyDescent="0.25">
      <c r="A2849" s="148">
        <v>44769</v>
      </c>
      <c r="B2849" s="149" t="s">
        <v>24220</v>
      </c>
      <c r="C2849" s="153" t="s">
        <v>31</v>
      </c>
      <c r="D2849" s="154">
        <v>3997.4</v>
      </c>
      <c r="E2849" s="155">
        <v>44769</v>
      </c>
      <c r="F2849" s="154">
        <v>3997.4</v>
      </c>
      <c r="G2849" s="156">
        <f>Tabla18[[#This Row],[Importe]]-Tabla18[[#This Row],[Pagado]]</f>
        <v>0</v>
      </c>
      <c r="H2849" s="153" t="s">
        <v>10</v>
      </c>
    </row>
    <row r="2850" spans="1:8" x14ac:dyDescent="0.25">
      <c r="A2850" s="73">
        <v>44769</v>
      </c>
      <c r="B2850" s="74" t="s">
        <v>24221</v>
      </c>
      <c r="C2850" s="75" t="s">
        <v>31</v>
      </c>
      <c r="D2850" s="81">
        <v>1957.2</v>
      </c>
      <c r="E2850" s="151">
        <v>44769</v>
      </c>
      <c r="F2850" s="81">
        <v>1957.2</v>
      </c>
      <c r="G2850" s="156">
        <f>Tabla18[[#This Row],[Importe]]-Tabla18[[#This Row],[Pagado]]</f>
        <v>0</v>
      </c>
      <c r="H2850" s="75" t="s">
        <v>10</v>
      </c>
    </row>
    <row r="2851" spans="1:8" x14ac:dyDescent="0.25">
      <c r="A2851" s="148">
        <v>44769</v>
      </c>
      <c r="B2851" s="149" t="s">
        <v>24222</v>
      </c>
      <c r="C2851" s="153" t="s">
        <v>69</v>
      </c>
      <c r="D2851" s="154">
        <v>1599.6</v>
      </c>
      <c r="E2851" s="155">
        <v>44769</v>
      </c>
      <c r="F2851" s="154">
        <v>1599.6</v>
      </c>
      <c r="G2851" s="156">
        <f>Tabla18[[#This Row],[Importe]]-Tabla18[[#This Row],[Pagado]]</f>
        <v>0</v>
      </c>
      <c r="H2851" s="153" t="s">
        <v>10</v>
      </c>
    </row>
    <row r="2852" spans="1:8" x14ac:dyDescent="0.25">
      <c r="A2852" s="73">
        <v>44769</v>
      </c>
      <c r="B2852" s="74" t="s">
        <v>24223</v>
      </c>
      <c r="C2852" s="75" t="s">
        <v>151</v>
      </c>
      <c r="D2852" s="81">
        <v>37589.760000000002</v>
      </c>
      <c r="E2852" s="151">
        <v>44770</v>
      </c>
      <c r="F2852" s="81">
        <v>37589.760000000002</v>
      </c>
      <c r="G2852" s="156">
        <f>Tabla18[[#This Row],[Importe]]-Tabla18[[#This Row],[Pagado]]</f>
        <v>0</v>
      </c>
      <c r="H2852" s="75" t="s">
        <v>10</v>
      </c>
    </row>
    <row r="2853" spans="1:8" x14ac:dyDescent="0.25">
      <c r="A2853" s="148">
        <v>44769</v>
      </c>
      <c r="B2853" s="149" t="s">
        <v>24224</v>
      </c>
      <c r="C2853" s="153" t="s">
        <v>296</v>
      </c>
      <c r="D2853" s="154">
        <v>1522.5</v>
      </c>
      <c r="E2853" s="155">
        <v>44769</v>
      </c>
      <c r="F2853" s="154">
        <v>1522.5</v>
      </c>
      <c r="G2853" s="156">
        <f>Tabla18[[#This Row],[Importe]]-Tabla18[[#This Row],[Pagado]]</f>
        <v>0</v>
      </c>
      <c r="H2853" s="153" t="s">
        <v>10</v>
      </c>
    </row>
    <row r="2854" spans="1:8" x14ac:dyDescent="0.25">
      <c r="A2854" s="73">
        <v>44769</v>
      </c>
      <c r="B2854" s="74" t="s">
        <v>24225</v>
      </c>
      <c r="C2854" s="75" t="s">
        <v>175</v>
      </c>
      <c r="D2854" s="81">
        <v>13003.5</v>
      </c>
      <c r="E2854" s="151">
        <v>44770</v>
      </c>
      <c r="F2854" s="81">
        <v>13003.5</v>
      </c>
      <c r="G2854" s="156">
        <f>Tabla18[[#This Row],[Importe]]-Tabla18[[#This Row],[Pagado]]</f>
        <v>0</v>
      </c>
      <c r="H2854" s="75" t="s">
        <v>10</v>
      </c>
    </row>
    <row r="2855" spans="1:8" x14ac:dyDescent="0.25">
      <c r="A2855" s="148">
        <v>44770</v>
      </c>
      <c r="B2855" s="149" t="s">
        <v>24226</v>
      </c>
      <c r="C2855" s="153" t="s">
        <v>887</v>
      </c>
      <c r="D2855" s="154">
        <v>16136.3</v>
      </c>
      <c r="E2855" s="155">
        <v>44770</v>
      </c>
      <c r="F2855" s="154">
        <v>16136.3</v>
      </c>
      <c r="G2855" s="156">
        <f>Tabla18[[#This Row],[Importe]]-Tabla18[[#This Row],[Pagado]]</f>
        <v>0</v>
      </c>
      <c r="H2855" s="153" t="s">
        <v>10</v>
      </c>
    </row>
    <row r="2856" spans="1:8" ht="31.5" x14ac:dyDescent="0.25">
      <c r="A2856" s="73">
        <v>44770</v>
      </c>
      <c r="B2856" s="74" t="s">
        <v>24227</v>
      </c>
      <c r="C2856" s="75" t="s">
        <v>475</v>
      </c>
      <c r="D2856" s="81">
        <v>90888.1</v>
      </c>
      <c r="E2856" s="147" t="s">
        <v>24228</v>
      </c>
      <c r="F2856" s="81">
        <f>51500+39388.1</f>
        <v>90888.1</v>
      </c>
      <c r="G2856" s="156">
        <f>Tabla18[[#This Row],[Importe]]-Tabla18[[#This Row],[Pagado]]</f>
        <v>0</v>
      </c>
      <c r="H2856" s="75" t="s">
        <v>10</v>
      </c>
    </row>
    <row r="2857" spans="1:8" x14ac:dyDescent="0.25">
      <c r="A2857" s="148">
        <v>44770</v>
      </c>
      <c r="B2857" s="149" t="s">
        <v>24229</v>
      </c>
      <c r="C2857" s="153" t="s">
        <v>618</v>
      </c>
      <c r="D2857" s="154">
        <v>11065.6</v>
      </c>
      <c r="E2857" s="155">
        <v>44770</v>
      </c>
      <c r="F2857" s="154">
        <v>11065.6</v>
      </c>
      <c r="G2857" s="156">
        <f>Tabla18[[#This Row],[Importe]]-Tabla18[[#This Row],[Pagado]]</f>
        <v>0</v>
      </c>
      <c r="H2857" s="153" t="s">
        <v>10</v>
      </c>
    </row>
    <row r="2858" spans="1:8" x14ac:dyDescent="0.25">
      <c r="A2858" s="73">
        <v>44770</v>
      </c>
      <c r="B2858" s="74" t="s">
        <v>24230</v>
      </c>
      <c r="C2858" s="75" t="s">
        <v>473</v>
      </c>
      <c r="D2858" s="81">
        <v>7798.8</v>
      </c>
      <c r="E2858" s="151">
        <v>44770</v>
      </c>
      <c r="F2858" s="81">
        <v>7798.8</v>
      </c>
      <c r="G2858" s="156">
        <f>Tabla18[[#This Row],[Importe]]-Tabla18[[#This Row],[Pagado]]</f>
        <v>0</v>
      </c>
      <c r="H2858" s="75" t="s">
        <v>10</v>
      </c>
    </row>
    <row r="2859" spans="1:8" x14ac:dyDescent="0.25">
      <c r="A2859" s="148">
        <v>44770</v>
      </c>
      <c r="B2859" s="149" t="s">
        <v>24231</v>
      </c>
      <c r="C2859" s="153" t="s">
        <v>75</v>
      </c>
      <c r="D2859" s="154">
        <v>8961.2000000000007</v>
      </c>
      <c r="E2859" s="155">
        <v>44770</v>
      </c>
      <c r="F2859" s="154">
        <v>8961.2000000000007</v>
      </c>
      <c r="G2859" s="156">
        <f>Tabla18[[#This Row],[Importe]]-Tabla18[[#This Row],[Pagado]]</f>
        <v>0</v>
      </c>
      <c r="H2859" s="153" t="s">
        <v>10</v>
      </c>
    </row>
    <row r="2860" spans="1:8" x14ac:dyDescent="0.25">
      <c r="A2860" s="73">
        <v>44770</v>
      </c>
      <c r="B2860" s="74" t="s">
        <v>24232</v>
      </c>
      <c r="C2860" s="75" t="s">
        <v>18</v>
      </c>
      <c r="D2860" s="81">
        <v>1871.2</v>
      </c>
      <c r="E2860" s="151">
        <v>44770</v>
      </c>
      <c r="F2860" s="81">
        <v>1871.2</v>
      </c>
      <c r="G2860" s="156">
        <f>Tabla18[[#This Row],[Importe]]-Tabla18[[#This Row],[Pagado]]</f>
        <v>0</v>
      </c>
      <c r="H2860" s="75" t="s">
        <v>10</v>
      </c>
    </row>
    <row r="2861" spans="1:8" x14ac:dyDescent="0.25">
      <c r="A2861" s="148">
        <v>44770</v>
      </c>
      <c r="B2861" s="149" t="s">
        <v>24233</v>
      </c>
      <c r="C2861" s="153" t="s">
        <v>114</v>
      </c>
      <c r="D2861" s="154">
        <v>5542.4</v>
      </c>
      <c r="E2861" s="155">
        <v>44771</v>
      </c>
      <c r="F2861" s="154">
        <v>5542.4</v>
      </c>
      <c r="G2861" s="156">
        <f>Tabla18[[#This Row],[Importe]]-Tabla18[[#This Row],[Pagado]]</f>
        <v>0</v>
      </c>
      <c r="H2861" s="153" t="s">
        <v>10</v>
      </c>
    </row>
    <row r="2862" spans="1:8" x14ac:dyDescent="0.25">
      <c r="A2862" s="73">
        <v>44770</v>
      </c>
      <c r="B2862" s="74" t="s">
        <v>24234</v>
      </c>
      <c r="C2862" s="75" t="s">
        <v>60</v>
      </c>
      <c r="D2862" s="81">
        <v>5299.8</v>
      </c>
      <c r="E2862" s="151">
        <v>44773</v>
      </c>
      <c r="F2862" s="81">
        <v>5299.8</v>
      </c>
      <c r="G2862" s="156">
        <f>Tabla18[[#This Row],[Importe]]-Tabla18[[#This Row],[Pagado]]</f>
        <v>0</v>
      </c>
      <c r="H2862" s="75" t="s">
        <v>10</v>
      </c>
    </row>
    <row r="2863" spans="1:8" x14ac:dyDescent="0.25">
      <c r="A2863" s="148">
        <v>44770</v>
      </c>
      <c r="B2863" s="149" t="s">
        <v>24235</v>
      </c>
      <c r="C2863" s="153" t="s">
        <v>5043</v>
      </c>
      <c r="D2863" s="154">
        <v>5022.6000000000004</v>
      </c>
      <c r="E2863" s="155">
        <v>44772</v>
      </c>
      <c r="F2863" s="154">
        <v>5022.6000000000004</v>
      </c>
      <c r="G2863" s="156">
        <f>Tabla18[[#This Row],[Importe]]-Tabla18[[#This Row],[Pagado]]</f>
        <v>0</v>
      </c>
      <c r="H2863" s="153" t="s">
        <v>10</v>
      </c>
    </row>
    <row r="2864" spans="1:8" x14ac:dyDescent="0.25">
      <c r="A2864" s="73">
        <v>44770</v>
      </c>
      <c r="B2864" s="74" t="s">
        <v>24236</v>
      </c>
      <c r="C2864" s="75" t="s">
        <v>64</v>
      </c>
      <c r="D2864" s="81">
        <v>6157.8</v>
      </c>
      <c r="E2864" s="151">
        <v>44772</v>
      </c>
      <c r="F2864" s="81">
        <v>6157.8</v>
      </c>
      <c r="G2864" s="156">
        <f>Tabla18[[#This Row],[Importe]]-Tabla18[[#This Row],[Pagado]]</f>
        <v>0</v>
      </c>
      <c r="H2864" s="75" t="s">
        <v>10</v>
      </c>
    </row>
    <row r="2865" spans="1:8" x14ac:dyDescent="0.25">
      <c r="A2865" s="148">
        <v>44770</v>
      </c>
      <c r="B2865" s="149" t="s">
        <v>24237</v>
      </c>
      <c r="C2865" s="153" t="s">
        <v>111</v>
      </c>
      <c r="D2865" s="154">
        <v>5644.8</v>
      </c>
      <c r="E2865" s="155">
        <v>44771</v>
      </c>
      <c r="F2865" s="154">
        <v>5644.8</v>
      </c>
      <c r="G2865" s="156">
        <f>Tabla18[[#This Row],[Importe]]-Tabla18[[#This Row],[Pagado]]</f>
        <v>0</v>
      </c>
      <c r="H2865" s="153" t="s">
        <v>10</v>
      </c>
    </row>
    <row r="2866" spans="1:8" x14ac:dyDescent="0.25">
      <c r="A2866" s="73">
        <v>44770</v>
      </c>
      <c r="B2866" s="74" t="s">
        <v>24238</v>
      </c>
      <c r="C2866" s="75" t="s">
        <v>97</v>
      </c>
      <c r="D2866" s="81">
        <v>5200.8</v>
      </c>
      <c r="E2866" s="151">
        <v>44771</v>
      </c>
      <c r="F2866" s="81">
        <v>5200.8</v>
      </c>
      <c r="G2866" s="156">
        <f>Tabla18[[#This Row],[Importe]]-Tabla18[[#This Row],[Pagado]]</f>
        <v>0</v>
      </c>
      <c r="H2866" s="75" t="s">
        <v>10</v>
      </c>
    </row>
    <row r="2867" spans="1:8" x14ac:dyDescent="0.25">
      <c r="A2867" s="148">
        <v>44770</v>
      </c>
      <c r="B2867" s="149" t="s">
        <v>24239</v>
      </c>
      <c r="C2867" s="153" t="s">
        <v>89</v>
      </c>
      <c r="D2867" s="154">
        <v>10362</v>
      </c>
      <c r="E2867" s="155">
        <v>44771</v>
      </c>
      <c r="F2867" s="154">
        <v>10362</v>
      </c>
      <c r="G2867" s="156">
        <f>Tabla18[[#This Row],[Importe]]-Tabla18[[#This Row],[Pagado]]</f>
        <v>0</v>
      </c>
      <c r="H2867" s="153" t="s">
        <v>10</v>
      </c>
    </row>
    <row r="2868" spans="1:8" x14ac:dyDescent="0.25">
      <c r="A2868" s="73">
        <v>44770</v>
      </c>
      <c r="B2868" s="74" t="s">
        <v>24240</v>
      </c>
      <c r="C2868" s="75" t="s">
        <v>481</v>
      </c>
      <c r="D2868" s="81">
        <v>2234.6</v>
      </c>
      <c r="E2868" s="151">
        <v>44770</v>
      </c>
      <c r="F2868" s="81">
        <v>2234.6</v>
      </c>
      <c r="G2868" s="156">
        <f>Tabla18[[#This Row],[Importe]]-Tabla18[[#This Row],[Pagado]]</f>
        <v>0</v>
      </c>
      <c r="H2868" s="75" t="s">
        <v>10</v>
      </c>
    </row>
    <row r="2869" spans="1:8" x14ac:dyDescent="0.25">
      <c r="A2869" s="148">
        <v>44770</v>
      </c>
      <c r="B2869" s="149" t="s">
        <v>24241</v>
      </c>
      <c r="C2869" s="153" t="s">
        <v>99</v>
      </c>
      <c r="D2869" s="154">
        <v>4039.2</v>
      </c>
      <c r="E2869" s="155">
        <v>44772</v>
      </c>
      <c r="F2869" s="154">
        <v>4039.2</v>
      </c>
      <c r="G2869" s="156">
        <f>Tabla18[[#This Row],[Importe]]-Tabla18[[#This Row],[Pagado]]</f>
        <v>0</v>
      </c>
      <c r="H2869" s="153" t="s">
        <v>10</v>
      </c>
    </row>
    <row r="2870" spans="1:8" x14ac:dyDescent="0.25">
      <c r="A2870" s="73">
        <v>44770</v>
      </c>
      <c r="B2870" s="74" t="s">
        <v>24242</v>
      </c>
      <c r="C2870" s="75" t="s">
        <v>2151</v>
      </c>
      <c r="D2870" s="81">
        <v>19939.8</v>
      </c>
      <c r="E2870" s="151">
        <v>44770</v>
      </c>
      <c r="F2870" s="81">
        <v>19939.8</v>
      </c>
      <c r="G2870" s="156">
        <f>Tabla18[[#This Row],[Importe]]-Tabla18[[#This Row],[Pagado]]</f>
        <v>0</v>
      </c>
      <c r="H2870" s="75" t="s">
        <v>10</v>
      </c>
    </row>
    <row r="2871" spans="1:8" x14ac:dyDescent="0.25">
      <c r="A2871" s="148">
        <v>44770</v>
      </c>
      <c r="B2871" s="149" t="s">
        <v>24243</v>
      </c>
      <c r="C2871" s="153" t="s">
        <v>105</v>
      </c>
      <c r="D2871" s="154">
        <v>7609.2</v>
      </c>
      <c r="E2871" s="155">
        <v>44771</v>
      </c>
      <c r="F2871" s="154">
        <v>7609.2</v>
      </c>
      <c r="G2871" s="156">
        <f>Tabla18[[#This Row],[Importe]]-Tabla18[[#This Row],[Pagado]]</f>
        <v>0</v>
      </c>
      <c r="H2871" s="153" t="s">
        <v>10</v>
      </c>
    </row>
    <row r="2872" spans="1:8" x14ac:dyDescent="0.25">
      <c r="A2872" s="73">
        <v>44770</v>
      </c>
      <c r="B2872" s="74" t="s">
        <v>24244</v>
      </c>
      <c r="C2872" s="75" t="s">
        <v>326</v>
      </c>
      <c r="D2872" s="81">
        <v>2968.8</v>
      </c>
      <c r="E2872" s="151">
        <v>44770</v>
      </c>
      <c r="F2872" s="81">
        <v>2968.8</v>
      </c>
      <c r="G2872" s="156">
        <f>Tabla18[[#This Row],[Importe]]-Tabla18[[#This Row],[Pagado]]</f>
        <v>0</v>
      </c>
      <c r="H2872" s="75" t="s">
        <v>10</v>
      </c>
    </row>
    <row r="2873" spans="1:8" ht="31.5" x14ac:dyDescent="0.25">
      <c r="A2873" s="148">
        <v>44770</v>
      </c>
      <c r="B2873" s="149" t="s">
        <v>24245</v>
      </c>
      <c r="C2873" s="153" t="s">
        <v>93</v>
      </c>
      <c r="D2873" s="154">
        <v>10468.799999999999</v>
      </c>
      <c r="E2873" s="150" t="s">
        <v>24228</v>
      </c>
      <c r="F2873" s="154">
        <f>5000+5468.8</f>
        <v>10468.799999999999</v>
      </c>
      <c r="G2873" s="156">
        <f>Tabla18[[#This Row],[Importe]]-Tabla18[[#This Row],[Pagado]]</f>
        <v>0</v>
      </c>
      <c r="H2873" s="153" t="s">
        <v>10</v>
      </c>
    </row>
    <row r="2874" spans="1:8" x14ac:dyDescent="0.25">
      <c r="A2874" s="73">
        <v>44770</v>
      </c>
      <c r="B2874" s="74" t="s">
        <v>24246</v>
      </c>
      <c r="C2874" s="75" t="s">
        <v>95</v>
      </c>
      <c r="D2874" s="81">
        <v>29060</v>
      </c>
      <c r="E2874" s="151">
        <v>44770</v>
      </c>
      <c r="F2874" s="81">
        <v>29060</v>
      </c>
      <c r="G2874" s="156">
        <f>Tabla18[[#This Row],[Importe]]-Tabla18[[#This Row],[Pagado]]</f>
        <v>0</v>
      </c>
      <c r="H2874" s="75" t="s">
        <v>10</v>
      </c>
    </row>
    <row r="2875" spans="1:8" x14ac:dyDescent="0.25">
      <c r="A2875" s="148">
        <v>44770</v>
      </c>
      <c r="B2875" s="149" t="s">
        <v>24247</v>
      </c>
      <c r="C2875" s="153" t="s">
        <v>348</v>
      </c>
      <c r="D2875" s="154">
        <v>7127.2</v>
      </c>
      <c r="E2875" s="155">
        <v>44770</v>
      </c>
      <c r="F2875" s="154">
        <v>7127.2</v>
      </c>
      <c r="G2875" s="156">
        <f>Tabla18[[#This Row],[Importe]]-Tabla18[[#This Row],[Pagado]]</f>
        <v>0</v>
      </c>
      <c r="H2875" s="153" t="s">
        <v>10</v>
      </c>
    </row>
    <row r="2876" spans="1:8" x14ac:dyDescent="0.25">
      <c r="A2876" s="73">
        <v>44770</v>
      </c>
      <c r="B2876" s="74" t="s">
        <v>24248</v>
      </c>
      <c r="C2876" s="75" t="s">
        <v>9</v>
      </c>
      <c r="D2876" s="81">
        <v>8046.4</v>
      </c>
      <c r="E2876" s="151">
        <v>44770</v>
      </c>
      <c r="F2876" s="81">
        <v>8046.4</v>
      </c>
      <c r="G2876" s="156">
        <f>Tabla18[[#This Row],[Importe]]-Tabla18[[#This Row],[Pagado]]</f>
        <v>0</v>
      </c>
      <c r="H2876" s="75" t="s">
        <v>10</v>
      </c>
    </row>
    <row r="2877" spans="1:8" x14ac:dyDescent="0.25">
      <c r="A2877" s="148">
        <v>44770</v>
      </c>
      <c r="B2877" s="149" t="s">
        <v>24249</v>
      </c>
      <c r="C2877" s="153" t="s">
        <v>1187</v>
      </c>
      <c r="D2877" s="154">
        <v>2800.6</v>
      </c>
      <c r="E2877" s="155">
        <v>44770</v>
      </c>
      <c r="F2877" s="154">
        <v>2800.6</v>
      </c>
      <c r="G2877" s="156">
        <f>Tabla18[[#This Row],[Importe]]-Tabla18[[#This Row],[Pagado]]</f>
        <v>0</v>
      </c>
      <c r="H2877" s="153" t="s">
        <v>10</v>
      </c>
    </row>
    <row r="2878" spans="1:8" x14ac:dyDescent="0.25">
      <c r="A2878" s="73">
        <v>44770</v>
      </c>
      <c r="B2878" s="74" t="s">
        <v>24250</v>
      </c>
      <c r="C2878" s="75" t="s">
        <v>924</v>
      </c>
      <c r="D2878" s="81">
        <v>12036.3</v>
      </c>
      <c r="E2878" s="151">
        <v>44770</v>
      </c>
      <c r="F2878" s="81">
        <v>12036.3</v>
      </c>
      <c r="G2878" s="156">
        <f>Tabla18[[#This Row],[Importe]]-Tabla18[[#This Row],[Pagado]]</f>
        <v>0</v>
      </c>
      <c r="H2878" s="75" t="s">
        <v>10</v>
      </c>
    </row>
    <row r="2879" spans="1:8" x14ac:dyDescent="0.25">
      <c r="A2879" s="148">
        <v>44770</v>
      </c>
      <c r="B2879" s="149" t="s">
        <v>24251</v>
      </c>
      <c r="C2879" s="153" t="s">
        <v>222</v>
      </c>
      <c r="D2879" s="154">
        <v>14119.4</v>
      </c>
      <c r="E2879" s="155">
        <v>44770</v>
      </c>
      <c r="F2879" s="154">
        <v>14119.4</v>
      </c>
      <c r="G2879" s="156">
        <f>Tabla18[[#This Row],[Importe]]-Tabla18[[#This Row],[Pagado]]</f>
        <v>0</v>
      </c>
      <c r="H2879" s="153" t="s">
        <v>10</v>
      </c>
    </row>
    <row r="2880" spans="1:8" x14ac:dyDescent="0.25">
      <c r="A2880" s="73">
        <v>44770</v>
      </c>
      <c r="B2880" s="74" t="s">
        <v>24252</v>
      </c>
      <c r="C2880" s="75" t="s">
        <v>79</v>
      </c>
      <c r="D2880" s="81">
        <v>18584.8</v>
      </c>
      <c r="E2880" s="151">
        <v>44770</v>
      </c>
      <c r="F2880" s="81">
        <v>18584.8</v>
      </c>
      <c r="G2880" s="156">
        <f>Tabla18[[#This Row],[Importe]]-Tabla18[[#This Row],[Pagado]]</f>
        <v>0</v>
      </c>
      <c r="H2880" s="75" t="s">
        <v>10</v>
      </c>
    </row>
    <row r="2881" spans="1:8" x14ac:dyDescent="0.25">
      <c r="A2881" s="148">
        <v>44770</v>
      </c>
      <c r="B2881" s="149" t="s">
        <v>24253</v>
      </c>
      <c r="C2881" s="153" t="s">
        <v>45</v>
      </c>
      <c r="D2881" s="154">
        <v>16756.2</v>
      </c>
      <c r="E2881" s="155">
        <v>44770</v>
      </c>
      <c r="F2881" s="154">
        <v>16756.2</v>
      </c>
      <c r="G2881" s="156">
        <f>Tabla18[[#This Row],[Importe]]-Tabla18[[#This Row],[Pagado]]</f>
        <v>0</v>
      </c>
      <c r="H2881" s="153" t="s">
        <v>10</v>
      </c>
    </row>
    <row r="2882" spans="1:8" x14ac:dyDescent="0.25">
      <c r="A2882" s="73">
        <v>44770</v>
      </c>
      <c r="B2882" s="74" t="s">
        <v>24254</v>
      </c>
      <c r="C2882" s="75" t="s">
        <v>196</v>
      </c>
      <c r="D2882" s="81">
        <v>77241.66</v>
      </c>
      <c r="E2882" s="151">
        <v>44771</v>
      </c>
      <c r="F2882" s="81">
        <v>77241.66</v>
      </c>
      <c r="G2882" s="156">
        <f>Tabla18[[#This Row],[Importe]]-Tabla18[[#This Row],[Pagado]]</f>
        <v>0</v>
      </c>
      <c r="H2882" s="75" t="s">
        <v>10</v>
      </c>
    </row>
    <row r="2883" spans="1:8" x14ac:dyDescent="0.25">
      <c r="A2883" s="148">
        <v>44770</v>
      </c>
      <c r="B2883" s="149" t="s">
        <v>24255</v>
      </c>
      <c r="C2883" s="153" t="s">
        <v>83</v>
      </c>
      <c r="D2883" s="154">
        <v>6340</v>
      </c>
      <c r="E2883" s="155">
        <v>44770</v>
      </c>
      <c r="F2883" s="154">
        <v>6340</v>
      </c>
      <c r="G2883" s="156">
        <f>Tabla18[[#This Row],[Importe]]-Tabla18[[#This Row],[Pagado]]</f>
        <v>0</v>
      </c>
      <c r="H2883" s="153" t="s">
        <v>10</v>
      </c>
    </row>
    <row r="2884" spans="1:8" x14ac:dyDescent="0.25">
      <c r="A2884" s="73">
        <v>44770</v>
      </c>
      <c r="B2884" s="74" t="s">
        <v>24256</v>
      </c>
      <c r="C2884" s="75" t="s">
        <v>647</v>
      </c>
      <c r="D2884" s="81">
        <v>4455.6000000000004</v>
      </c>
      <c r="E2884" s="151">
        <v>44770</v>
      </c>
      <c r="F2884" s="81">
        <v>4455.6000000000004</v>
      </c>
      <c r="G2884" s="156">
        <f>Tabla18[[#This Row],[Importe]]-Tabla18[[#This Row],[Pagado]]</f>
        <v>0</v>
      </c>
      <c r="H2884" s="75" t="s">
        <v>10</v>
      </c>
    </row>
    <row r="2885" spans="1:8" x14ac:dyDescent="0.25">
      <c r="A2885" s="148">
        <v>44770</v>
      </c>
      <c r="B2885" s="149" t="s">
        <v>24257</v>
      </c>
      <c r="C2885" s="153" t="s">
        <v>647</v>
      </c>
      <c r="D2885" s="154">
        <v>3277.6</v>
      </c>
      <c r="E2885" s="155">
        <v>44770</v>
      </c>
      <c r="F2885" s="154">
        <v>3277.6</v>
      </c>
      <c r="G2885" s="156">
        <f>Tabla18[[#This Row],[Importe]]-Tabla18[[#This Row],[Pagado]]</f>
        <v>0</v>
      </c>
      <c r="H2885" s="153" t="s">
        <v>10</v>
      </c>
    </row>
    <row r="2886" spans="1:8" x14ac:dyDescent="0.25">
      <c r="A2886" s="73">
        <v>44770</v>
      </c>
      <c r="B2886" s="74" t="s">
        <v>24258</v>
      </c>
      <c r="C2886" s="75" t="s">
        <v>348</v>
      </c>
      <c r="D2886" s="81">
        <v>5583.6</v>
      </c>
      <c r="E2886" s="151">
        <v>44770</v>
      </c>
      <c r="F2886" s="81">
        <v>5583.6</v>
      </c>
      <c r="G2886" s="156">
        <f>Tabla18[[#This Row],[Importe]]-Tabla18[[#This Row],[Pagado]]</f>
        <v>0</v>
      </c>
      <c r="H2886" s="75" t="s">
        <v>10</v>
      </c>
    </row>
    <row r="2887" spans="1:8" x14ac:dyDescent="0.25">
      <c r="A2887" s="148">
        <v>44770</v>
      </c>
      <c r="B2887" s="149" t="s">
        <v>24259</v>
      </c>
      <c r="C2887" s="153" t="s">
        <v>56</v>
      </c>
      <c r="D2887" s="154">
        <v>6508.6</v>
      </c>
      <c r="E2887" s="155">
        <v>44770</v>
      </c>
      <c r="F2887" s="154">
        <v>6508.6</v>
      </c>
      <c r="G2887" s="156">
        <f>Tabla18[[#This Row],[Importe]]-Tabla18[[#This Row],[Pagado]]</f>
        <v>0</v>
      </c>
      <c r="H2887" s="153" t="s">
        <v>10</v>
      </c>
    </row>
    <row r="2888" spans="1:8" x14ac:dyDescent="0.25">
      <c r="A2888" s="73">
        <v>44770</v>
      </c>
      <c r="B2888" s="74" t="s">
        <v>24260</v>
      </c>
      <c r="C2888" s="75" t="s">
        <v>348</v>
      </c>
      <c r="D2888" s="81">
        <v>1280.5</v>
      </c>
      <c r="E2888" s="151">
        <v>44770</v>
      </c>
      <c r="F2888" s="81">
        <v>1280.5</v>
      </c>
      <c r="G2888" s="156">
        <f>Tabla18[[#This Row],[Importe]]-Tabla18[[#This Row],[Pagado]]</f>
        <v>0</v>
      </c>
      <c r="H2888" s="75" t="s">
        <v>10</v>
      </c>
    </row>
    <row r="2889" spans="1:8" x14ac:dyDescent="0.25">
      <c r="A2889" s="148">
        <v>44770</v>
      </c>
      <c r="B2889" s="149" t="s">
        <v>24261</v>
      </c>
      <c r="C2889" s="153" t="s">
        <v>140</v>
      </c>
      <c r="D2889" s="154">
        <v>6850.2</v>
      </c>
      <c r="E2889" s="155">
        <v>44770</v>
      </c>
      <c r="F2889" s="154">
        <v>6850.2</v>
      </c>
      <c r="G2889" s="156">
        <f>Tabla18[[#This Row],[Importe]]-Tabla18[[#This Row],[Pagado]]</f>
        <v>0</v>
      </c>
      <c r="H2889" s="153" t="s">
        <v>10</v>
      </c>
    </row>
    <row r="2890" spans="1:8" x14ac:dyDescent="0.25">
      <c r="A2890" s="73">
        <v>44770</v>
      </c>
      <c r="B2890" s="74" t="s">
        <v>24262</v>
      </c>
      <c r="C2890" s="75" t="s">
        <v>140</v>
      </c>
      <c r="D2890" s="81">
        <v>325</v>
      </c>
      <c r="E2890" s="151">
        <v>44770</v>
      </c>
      <c r="F2890" s="81">
        <v>325</v>
      </c>
      <c r="G2890" s="156">
        <f>Tabla18[[#This Row],[Importe]]-Tabla18[[#This Row],[Pagado]]</f>
        <v>0</v>
      </c>
      <c r="H2890" s="75" t="s">
        <v>10</v>
      </c>
    </row>
    <row r="2891" spans="1:8" x14ac:dyDescent="0.25">
      <c r="A2891" s="148">
        <v>44770</v>
      </c>
      <c r="B2891" s="149" t="s">
        <v>24263</v>
      </c>
      <c r="C2891" s="153" t="s">
        <v>127</v>
      </c>
      <c r="D2891" s="154">
        <v>4976.3999999999996</v>
      </c>
      <c r="E2891" s="155">
        <v>44770</v>
      </c>
      <c r="F2891" s="154">
        <v>4976.3999999999996</v>
      </c>
      <c r="G2891" s="156">
        <f>Tabla18[[#This Row],[Importe]]-Tabla18[[#This Row],[Pagado]]</f>
        <v>0</v>
      </c>
      <c r="H2891" s="153" t="s">
        <v>10</v>
      </c>
    </row>
    <row r="2892" spans="1:8" x14ac:dyDescent="0.25">
      <c r="A2892" s="73">
        <v>44770</v>
      </c>
      <c r="B2892" s="74" t="s">
        <v>24264</v>
      </c>
      <c r="C2892" s="75" t="s">
        <v>87</v>
      </c>
      <c r="D2892" s="81">
        <v>4500</v>
      </c>
      <c r="E2892" s="151">
        <v>44770</v>
      </c>
      <c r="F2892" s="81">
        <v>4500</v>
      </c>
      <c r="G2892" s="156">
        <f>Tabla18[[#This Row],[Importe]]-Tabla18[[#This Row],[Pagado]]</f>
        <v>0</v>
      </c>
      <c r="H2892" s="75" t="s">
        <v>10</v>
      </c>
    </row>
    <row r="2893" spans="1:8" x14ac:dyDescent="0.25">
      <c r="A2893" s="148">
        <v>44770</v>
      </c>
      <c r="B2893" s="149" t="s">
        <v>24265</v>
      </c>
      <c r="C2893" s="153" t="s">
        <v>62</v>
      </c>
      <c r="D2893" s="154">
        <v>4219.6000000000004</v>
      </c>
      <c r="E2893" s="155">
        <v>44770</v>
      </c>
      <c r="F2893" s="154">
        <v>4219.6000000000004</v>
      </c>
      <c r="G2893" s="156">
        <f>Tabla18[[#This Row],[Importe]]-Tabla18[[#This Row],[Pagado]]</f>
        <v>0</v>
      </c>
      <c r="H2893" s="153" t="s">
        <v>10</v>
      </c>
    </row>
    <row r="2894" spans="1:8" x14ac:dyDescent="0.25">
      <c r="A2894" s="73">
        <v>44770</v>
      </c>
      <c r="B2894" s="74" t="s">
        <v>24266</v>
      </c>
      <c r="C2894" s="75" t="s">
        <v>31</v>
      </c>
      <c r="D2894" s="81">
        <v>1525.98</v>
      </c>
      <c r="E2894" s="151">
        <v>44770</v>
      </c>
      <c r="F2894" s="81">
        <v>1525.98</v>
      </c>
      <c r="G2894" s="156">
        <f>Tabla18[[#This Row],[Importe]]-Tabla18[[#This Row],[Pagado]]</f>
        <v>0</v>
      </c>
      <c r="H2894" s="75" t="s">
        <v>10</v>
      </c>
    </row>
    <row r="2895" spans="1:8" x14ac:dyDescent="0.25">
      <c r="A2895" s="148">
        <v>44770</v>
      </c>
      <c r="B2895" s="149" t="s">
        <v>24267</v>
      </c>
      <c r="C2895" s="153" t="s">
        <v>333</v>
      </c>
      <c r="D2895" s="154">
        <v>2523.06</v>
      </c>
      <c r="E2895" s="155">
        <v>44770</v>
      </c>
      <c r="F2895" s="154">
        <v>2523.06</v>
      </c>
      <c r="G2895" s="156">
        <f>Tabla18[[#This Row],[Importe]]-Tabla18[[#This Row],[Pagado]]</f>
        <v>0</v>
      </c>
      <c r="H2895" s="153" t="s">
        <v>10</v>
      </c>
    </row>
    <row r="2896" spans="1:8" x14ac:dyDescent="0.25">
      <c r="A2896" s="73">
        <v>44770</v>
      </c>
      <c r="B2896" s="74" t="s">
        <v>24268</v>
      </c>
      <c r="C2896" s="75" t="s">
        <v>146</v>
      </c>
      <c r="D2896" s="81">
        <v>2958.4</v>
      </c>
      <c r="E2896" s="151">
        <v>44770</v>
      </c>
      <c r="F2896" s="81">
        <v>2958.4</v>
      </c>
      <c r="G2896" s="156">
        <f>Tabla18[[#This Row],[Importe]]-Tabla18[[#This Row],[Pagado]]</f>
        <v>0</v>
      </c>
      <c r="H2896" s="75" t="s">
        <v>10</v>
      </c>
    </row>
    <row r="2897" spans="1:8" x14ac:dyDescent="0.25">
      <c r="A2897" s="148">
        <v>44770</v>
      </c>
      <c r="B2897" s="149" t="s">
        <v>24269</v>
      </c>
      <c r="C2897" s="153" t="s">
        <v>131</v>
      </c>
      <c r="D2897" s="154">
        <v>1750</v>
      </c>
      <c r="E2897" s="155">
        <v>44770</v>
      </c>
      <c r="F2897" s="154">
        <v>1750</v>
      </c>
      <c r="G2897" s="156">
        <f>Tabla18[[#This Row],[Importe]]-Tabla18[[#This Row],[Pagado]]</f>
        <v>0</v>
      </c>
      <c r="H2897" s="153" t="s">
        <v>10</v>
      </c>
    </row>
    <row r="2898" spans="1:8" x14ac:dyDescent="0.25">
      <c r="A2898" s="73">
        <v>44770</v>
      </c>
      <c r="B2898" s="74" t="s">
        <v>24270</v>
      </c>
      <c r="C2898" s="75" t="s">
        <v>31</v>
      </c>
      <c r="D2898" s="81">
        <v>1530.7</v>
      </c>
      <c r="E2898" s="151">
        <v>44770</v>
      </c>
      <c r="F2898" s="81">
        <v>1530.7</v>
      </c>
      <c r="G2898" s="156">
        <f>Tabla18[[#This Row],[Importe]]-Tabla18[[#This Row],[Pagado]]</f>
        <v>0</v>
      </c>
      <c r="H2898" s="75" t="s">
        <v>10</v>
      </c>
    </row>
    <row r="2899" spans="1:8" ht="31.5" x14ac:dyDescent="0.25">
      <c r="A2899" s="148">
        <v>44770</v>
      </c>
      <c r="B2899" s="149" t="s">
        <v>24271</v>
      </c>
      <c r="C2899" s="153" t="s">
        <v>275</v>
      </c>
      <c r="D2899" s="154">
        <v>222178.99</v>
      </c>
      <c r="E2899" s="150" t="s">
        <v>24627</v>
      </c>
      <c r="F2899" s="154">
        <f>161132.78+61046.21</f>
        <v>222178.99</v>
      </c>
      <c r="G2899" s="156">
        <f>Tabla18[[#This Row],[Importe]]-Tabla18[[#This Row],[Pagado]]</f>
        <v>0</v>
      </c>
      <c r="H2899" s="153" t="s">
        <v>10</v>
      </c>
    </row>
    <row r="2900" spans="1:8" x14ac:dyDescent="0.25">
      <c r="A2900" s="73">
        <v>44770</v>
      </c>
      <c r="B2900" s="74" t="s">
        <v>24272</v>
      </c>
      <c r="C2900" s="75" t="s">
        <v>175</v>
      </c>
      <c r="D2900" s="81">
        <v>18666.400000000001</v>
      </c>
      <c r="E2900" s="151">
        <v>44770</v>
      </c>
      <c r="F2900" s="81">
        <v>18666.400000000001</v>
      </c>
      <c r="G2900" s="156">
        <f>Tabla18[[#This Row],[Importe]]-Tabla18[[#This Row],[Pagado]]</f>
        <v>0</v>
      </c>
      <c r="H2900" s="75" t="s">
        <v>10</v>
      </c>
    </row>
    <row r="2901" spans="1:8" x14ac:dyDescent="0.25">
      <c r="A2901" s="148">
        <v>44770</v>
      </c>
      <c r="B2901" s="149" t="s">
        <v>24273</v>
      </c>
      <c r="C2901" s="153" t="s">
        <v>31</v>
      </c>
      <c r="D2901" s="154">
        <v>2887.7</v>
      </c>
      <c r="E2901" s="155">
        <v>44770</v>
      </c>
      <c r="F2901" s="154">
        <v>2887.7</v>
      </c>
      <c r="G2901" s="156">
        <f>Tabla18[[#This Row],[Importe]]-Tabla18[[#This Row],[Pagado]]</f>
        <v>0</v>
      </c>
      <c r="H2901" s="153" t="s">
        <v>10</v>
      </c>
    </row>
    <row r="2902" spans="1:8" x14ac:dyDescent="0.25">
      <c r="A2902" s="73">
        <v>44770</v>
      </c>
      <c r="B2902" s="74" t="s">
        <v>24274</v>
      </c>
      <c r="C2902" s="75" t="s">
        <v>426</v>
      </c>
      <c r="D2902" s="81">
        <v>4186.8</v>
      </c>
      <c r="E2902" s="151">
        <v>44770</v>
      </c>
      <c r="F2902" s="81">
        <v>4186.8</v>
      </c>
      <c r="G2902" s="156">
        <f>Tabla18[[#This Row],[Importe]]-Tabla18[[#This Row],[Pagado]]</f>
        <v>0</v>
      </c>
      <c r="H2902" s="75" t="s">
        <v>10</v>
      </c>
    </row>
    <row r="2903" spans="1:8" x14ac:dyDescent="0.25">
      <c r="A2903" s="148">
        <v>44770</v>
      </c>
      <c r="B2903" s="149" t="s">
        <v>24275</v>
      </c>
      <c r="C2903" s="153" t="s">
        <v>1064</v>
      </c>
      <c r="D2903" s="154">
        <v>4936.3999999999996</v>
      </c>
      <c r="E2903" s="155">
        <v>44770</v>
      </c>
      <c r="F2903" s="154">
        <v>4936.3999999999996</v>
      </c>
      <c r="G2903" s="156">
        <f>Tabla18[[#This Row],[Importe]]-Tabla18[[#This Row],[Pagado]]</f>
        <v>0</v>
      </c>
      <c r="H2903" s="153" t="s">
        <v>10</v>
      </c>
    </row>
    <row r="2904" spans="1:8" x14ac:dyDescent="0.25">
      <c r="A2904" s="73">
        <v>44770</v>
      </c>
      <c r="B2904" s="74" t="s">
        <v>24276</v>
      </c>
      <c r="C2904" s="75" t="s">
        <v>24</v>
      </c>
      <c r="D2904" s="81">
        <v>3449.3</v>
      </c>
      <c r="E2904" s="151">
        <v>44770</v>
      </c>
      <c r="F2904" s="81">
        <v>3449.3</v>
      </c>
      <c r="G2904" s="156">
        <f>Tabla18[[#This Row],[Importe]]-Tabla18[[#This Row],[Pagado]]</f>
        <v>0</v>
      </c>
      <c r="H2904" s="75" t="s">
        <v>10</v>
      </c>
    </row>
    <row r="2905" spans="1:8" x14ac:dyDescent="0.25">
      <c r="A2905" s="148">
        <v>44770</v>
      </c>
      <c r="B2905" s="149" t="s">
        <v>24277</v>
      </c>
      <c r="C2905" s="153" t="s">
        <v>181</v>
      </c>
      <c r="D2905" s="154">
        <v>11650.5</v>
      </c>
      <c r="E2905" s="155">
        <v>44770</v>
      </c>
      <c r="F2905" s="154">
        <v>11650.5</v>
      </c>
      <c r="G2905" s="156">
        <f>Tabla18[[#This Row],[Importe]]-Tabla18[[#This Row],[Pagado]]</f>
        <v>0</v>
      </c>
      <c r="H2905" s="153" t="s">
        <v>10</v>
      </c>
    </row>
    <row r="2906" spans="1:8" x14ac:dyDescent="0.25">
      <c r="A2906" s="73">
        <v>44770</v>
      </c>
      <c r="B2906" s="74" t="s">
        <v>24278</v>
      </c>
      <c r="C2906" s="75" t="s">
        <v>142</v>
      </c>
      <c r="D2906" s="81">
        <v>29495.85</v>
      </c>
      <c r="E2906" s="151">
        <v>44837</v>
      </c>
      <c r="F2906" s="81">
        <v>29495.85</v>
      </c>
      <c r="G2906" s="156">
        <f>Tabla18[[#This Row],[Importe]]-Tabla18[[#This Row],[Pagado]]</f>
        <v>0</v>
      </c>
      <c r="H2906" s="75" t="s">
        <v>10</v>
      </c>
    </row>
    <row r="2907" spans="1:8" ht="31.5" x14ac:dyDescent="0.25">
      <c r="A2907" s="148">
        <v>44770</v>
      </c>
      <c r="B2907" s="149" t="s">
        <v>24279</v>
      </c>
      <c r="C2907" s="153" t="s">
        <v>670</v>
      </c>
      <c r="D2907" s="154">
        <v>4920.3</v>
      </c>
      <c r="E2907" s="150" t="s">
        <v>24280</v>
      </c>
      <c r="F2907" s="154">
        <f>2000+2920.3</f>
        <v>4920.3</v>
      </c>
      <c r="G2907" s="156">
        <f>Tabla18[[#This Row],[Importe]]-Tabla18[[#This Row],[Pagado]]</f>
        <v>0</v>
      </c>
      <c r="H2907" s="153" t="s">
        <v>10</v>
      </c>
    </row>
    <row r="2908" spans="1:8" x14ac:dyDescent="0.25">
      <c r="A2908" s="73">
        <v>44770</v>
      </c>
      <c r="B2908" s="74" t="s">
        <v>24281</v>
      </c>
      <c r="C2908" s="75" t="s">
        <v>15039</v>
      </c>
      <c r="D2908" s="81">
        <v>2163.6999999999998</v>
      </c>
      <c r="E2908" s="151">
        <v>44770</v>
      </c>
      <c r="F2908" s="81">
        <v>2163.6999999999998</v>
      </c>
      <c r="G2908" s="156">
        <f>Tabla18[[#This Row],[Importe]]-Tabla18[[#This Row],[Pagado]]</f>
        <v>0</v>
      </c>
      <c r="H2908" s="75" t="s">
        <v>10</v>
      </c>
    </row>
    <row r="2909" spans="1:8" x14ac:dyDescent="0.25">
      <c r="A2909" s="148">
        <v>44770</v>
      </c>
      <c r="B2909" s="149" t="s">
        <v>24282</v>
      </c>
      <c r="C2909" s="153" t="s">
        <v>228</v>
      </c>
      <c r="D2909" s="154">
        <v>9409.5</v>
      </c>
      <c r="E2909" s="155">
        <v>44770</v>
      </c>
      <c r="F2909" s="154">
        <v>9409.5</v>
      </c>
      <c r="G2909" s="156">
        <f>Tabla18[[#This Row],[Importe]]-Tabla18[[#This Row],[Pagado]]</f>
        <v>0</v>
      </c>
      <c r="H2909" s="153" t="s">
        <v>10</v>
      </c>
    </row>
    <row r="2910" spans="1:8" x14ac:dyDescent="0.25">
      <c r="A2910" s="73">
        <v>44770</v>
      </c>
      <c r="B2910" s="74" t="s">
        <v>24283</v>
      </c>
      <c r="C2910" s="75" t="s">
        <v>24284</v>
      </c>
      <c r="D2910" s="81">
        <v>731</v>
      </c>
      <c r="E2910" s="151">
        <v>44770</v>
      </c>
      <c r="F2910" s="81">
        <v>731</v>
      </c>
      <c r="G2910" s="156">
        <f>Tabla18[[#This Row],[Importe]]-Tabla18[[#This Row],[Pagado]]</f>
        <v>0</v>
      </c>
      <c r="H2910" s="75" t="s">
        <v>10</v>
      </c>
    </row>
    <row r="2911" spans="1:8" x14ac:dyDescent="0.25">
      <c r="A2911" s="148">
        <v>44770</v>
      </c>
      <c r="B2911" s="149" t="s">
        <v>24285</v>
      </c>
      <c r="C2911" s="153" t="s">
        <v>407</v>
      </c>
      <c r="D2911" s="154">
        <v>10800</v>
      </c>
      <c r="E2911" s="155">
        <v>44778</v>
      </c>
      <c r="F2911" s="154">
        <v>10800</v>
      </c>
      <c r="G2911" s="156">
        <f>Tabla18[[#This Row],[Importe]]-Tabla18[[#This Row],[Pagado]]</f>
        <v>0</v>
      </c>
      <c r="H2911" s="153" t="s">
        <v>10</v>
      </c>
    </row>
    <row r="2912" spans="1:8" x14ac:dyDescent="0.25">
      <c r="A2912" s="73">
        <v>44770</v>
      </c>
      <c r="B2912" s="74" t="s">
        <v>24286</v>
      </c>
      <c r="C2912" s="75" t="s">
        <v>179</v>
      </c>
      <c r="D2912" s="81">
        <v>1642.6</v>
      </c>
      <c r="E2912" s="151">
        <v>44770</v>
      </c>
      <c r="F2912" s="81">
        <v>1642.6</v>
      </c>
      <c r="G2912" s="156">
        <f>Tabla18[[#This Row],[Importe]]-Tabla18[[#This Row],[Pagado]]</f>
        <v>0</v>
      </c>
      <c r="H2912" s="75" t="s">
        <v>10</v>
      </c>
    </row>
    <row r="2913" spans="1:8" x14ac:dyDescent="0.25">
      <c r="A2913" s="148">
        <v>44770</v>
      </c>
      <c r="B2913" s="149" t="s">
        <v>24287</v>
      </c>
      <c r="C2913" s="153" t="s">
        <v>484</v>
      </c>
      <c r="D2913" s="154">
        <v>3806.4</v>
      </c>
      <c r="E2913" s="155">
        <v>44770</v>
      </c>
      <c r="F2913" s="154">
        <v>3806.4</v>
      </c>
      <c r="G2913" s="156">
        <f>Tabla18[[#This Row],[Importe]]-Tabla18[[#This Row],[Pagado]]</f>
        <v>0</v>
      </c>
      <c r="H2913" s="153" t="s">
        <v>10</v>
      </c>
    </row>
    <row r="2914" spans="1:8" x14ac:dyDescent="0.25">
      <c r="A2914" s="73">
        <v>44770</v>
      </c>
      <c r="B2914" s="74" t="s">
        <v>24288</v>
      </c>
      <c r="C2914" s="75" t="s">
        <v>2139</v>
      </c>
      <c r="D2914" s="81">
        <v>5756.4</v>
      </c>
      <c r="E2914" s="151">
        <v>44770</v>
      </c>
      <c r="F2914" s="81">
        <v>5756.4</v>
      </c>
      <c r="G2914" s="156">
        <f>Tabla18[[#This Row],[Importe]]-Tabla18[[#This Row],[Pagado]]</f>
        <v>0</v>
      </c>
      <c r="H2914" s="75" t="s">
        <v>10</v>
      </c>
    </row>
    <row r="2915" spans="1:8" x14ac:dyDescent="0.25">
      <c r="A2915" s="148">
        <v>44770</v>
      </c>
      <c r="B2915" s="149" t="s">
        <v>24289</v>
      </c>
      <c r="C2915" s="153" t="s">
        <v>157</v>
      </c>
      <c r="D2915" s="154">
        <v>4063</v>
      </c>
      <c r="E2915" s="155">
        <v>44770</v>
      </c>
      <c r="F2915" s="154">
        <v>4063</v>
      </c>
      <c r="G2915" s="156">
        <f>Tabla18[[#This Row],[Importe]]-Tabla18[[#This Row],[Pagado]]</f>
        <v>0</v>
      </c>
      <c r="H2915" s="153" t="s">
        <v>10</v>
      </c>
    </row>
    <row r="2916" spans="1:8" x14ac:dyDescent="0.25">
      <c r="A2916" s="73">
        <v>44770</v>
      </c>
      <c r="B2916" s="74" t="s">
        <v>24290</v>
      </c>
      <c r="C2916" s="75" t="s">
        <v>319</v>
      </c>
      <c r="D2916" s="81">
        <v>6777.6</v>
      </c>
      <c r="E2916" s="151">
        <v>44770</v>
      </c>
      <c r="F2916" s="81">
        <v>6777.6</v>
      </c>
      <c r="G2916" s="156">
        <f>Tabla18[[#This Row],[Importe]]-Tabla18[[#This Row],[Pagado]]</f>
        <v>0</v>
      </c>
      <c r="H2916" s="75" t="s">
        <v>10</v>
      </c>
    </row>
    <row r="2917" spans="1:8" x14ac:dyDescent="0.25">
      <c r="A2917" s="148">
        <v>44770</v>
      </c>
      <c r="B2917" s="149" t="s">
        <v>24291</v>
      </c>
      <c r="C2917" s="153" t="s">
        <v>3402</v>
      </c>
      <c r="D2917" s="154">
        <v>820.8</v>
      </c>
      <c r="E2917" s="155">
        <v>44770</v>
      </c>
      <c r="F2917" s="154">
        <v>820.8</v>
      </c>
      <c r="G2917" s="156">
        <f>Tabla18[[#This Row],[Importe]]-Tabla18[[#This Row],[Pagado]]</f>
        <v>0</v>
      </c>
      <c r="H2917" s="153" t="s">
        <v>10</v>
      </c>
    </row>
    <row r="2918" spans="1:8" x14ac:dyDescent="0.25">
      <c r="A2918" s="73">
        <v>44770</v>
      </c>
      <c r="B2918" s="74" t="s">
        <v>24292</v>
      </c>
      <c r="C2918" s="75" t="s">
        <v>380</v>
      </c>
      <c r="D2918" s="81">
        <v>2897.4</v>
      </c>
      <c r="E2918" s="151">
        <v>44770</v>
      </c>
      <c r="F2918" s="81">
        <v>2897.4</v>
      </c>
      <c r="G2918" s="156">
        <f>Tabla18[[#This Row],[Importe]]-Tabla18[[#This Row],[Pagado]]</f>
        <v>0</v>
      </c>
      <c r="H2918" s="75" t="s">
        <v>10</v>
      </c>
    </row>
    <row r="2919" spans="1:8" x14ac:dyDescent="0.25">
      <c r="A2919" s="148">
        <v>44770</v>
      </c>
      <c r="B2919" s="149" t="s">
        <v>24293</v>
      </c>
      <c r="C2919" s="153" t="s">
        <v>157</v>
      </c>
      <c r="D2919" s="154">
        <v>8162.8</v>
      </c>
      <c r="E2919" s="155">
        <v>44770</v>
      </c>
      <c r="F2919" s="154">
        <v>8162.8</v>
      </c>
      <c r="G2919" s="156">
        <f>Tabla18[[#This Row],[Importe]]-Tabla18[[#This Row],[Pagado]]</f>
        <v>0</v>
      </c>
      <c r="H2919" s="153" t="s">
        <v>10</v>
      </c>
    </row>
    <row r="2920" spans="1:8" x14ac:dyDescent="0.25">
      <c r="A2920" s="73">
        <v>44770</v>
      </c>
      <c r="B2920" s="74" t="s">
        <v>24294</v>
      </c>
      <c r="C2920" s="75" t="s">
        <v>698</v>
      </c>
      <c r="D2920" s="81">
        <v>10974.2</v>
      </c>
      <c r="E2920" s="151">
        <v>44770</v>
      </c>
      <c r="F2920" s="81">
        <v>10974.2</v>
      </c>
      <c r="G2920" s="156">
        <f>Tabla18[[#This Row],[Importe]]-Tabla18[[#This Row],[Pagado]]</f>
        <v>0</v>
      </c>
      <c r="H2920" s="75" t="s">
        <v>10</v>
      </c>
    </row>
    <row r="2921" spans="1:8" x14ac:dyDescent="0.25">
      <c r="A2921" s="148">
        <v>44770</v>
      </c>
      <c r="B2921" s="149" t="s">
        <v>24295</v>
      </c>
      <c r="C2921" s="153" t="s">
        <v>129</v>
      </c>
      <c r="D2921" s="154">
        <v>1374.6</v>
      </c>
      <c r="E2921" s="155">
        <v>44770</v>
      </c>
      <c r="F2921" s="154">
        <v>1374.6</v>
      </c>
      <c r="G2921" s="156">
        <f>Tabla18[[#This Row],[Importe]]-Tabla18[[#This Row],[Pagado]]</f>
        <v>0</v>
      </c>
      <c r="H2921" s="153" t="s">
        <v>10</v>
      </c>
    </row>
    <row r="2922" spans="1:8" x14ac:dyDescent="0.25">
      <c r="A2922" s="73">
        <v>44770</v>
      </c>
      <c r="B2922" s="74" t="s">
        <v>24296</v>
      </c>
      <c r="C2922" s="75" t="s">
        <v>191</v>
      </c>
      <c r="D2922" s="81">
        <v>866.3</v>
      </c>
      <c r="E2922" s="151">
        <v>44770</v>
      </c>
      <c r="F2922" s="81">
        <v>866.3</v>
      </c>
      <c r="G2922" s="156">
        <f>Tabla18[[#This Row],[Importe]]-Tabla18[[#This Row],[Pagado]]</f>
        <v>0</v>
      </c>
      <c r="H2922" s="75" t="s">
        <v>10</v>
      </c>
    </row>
    <row r="2923" spans="1:8" x14ac:dyDescent="0.25">
      <c r="A2923" s="148">
        <v>44770</v>
      </c>
      <c r="B2923" s="149" t="s">
        <v>24297</v>
      </c>
      <c r="C2923" s="153" t="s">
        <v>31</v>
      </c>
      <c r="D2923" s="154">
        <v>14749.4</v>
      </c>
      <c r="E2923" s="155">
        <v>44770</v>
      </c>
      <c r="F2923" s="154">
        <v>14749.4</v>
      </c>
      <c r="G2923" s="156">
        <f>Tabla18[[#This Row],[Importe]]-Tabla18[[#This Row],[Pagado]]</f>
        <v>0</v>
      </c>
      <c r="H2923" s="153" t="s">
        <v>10</v>
      </c>
    </row>
    <row r="2924" spans="1:8" x14ac:dyDescent="0.25">
      <c r="A2924" s="73">
        <v>44770</v>
      </c>
      <c r="B2924" s="74" t="s">
        <v>24298</v>
      </c>
      <c r="C2924" s="75" t="s">
        <v>396</v>
      </c>
      <c r="D2924" s="81">
        <v>22045.9</v>
      </c>
      <c r="E2924" s="151">
        <v>44777</v>
      </c>
      <c r="F2924" s="81">
        <v>22045.9</v>
      </c>
      <c r="G2924" s="156">
        <f>Tabla18[[#This Row],[Importe]]-Tabla18[[#This Row],[Pagado]]</f>
        <v>0</v>
      </c>
      <c r="H2924" s="75" t="s">
        <v>10</v>
      </c>
    </row>
    <row r="2925" spans="1:8" x14ac:dyDescent="0.25">
      <c r="A2925" s="148">
        <v>44770</v>
      </c>
      <c r="B2925" s="149" t="s">
        <v>24299</v>
      </c>
      <c r="C2925" s="153" t="s">
        <v>1239</v>
      </c>
      <c r="D2925" s="154">
        <v>15148</v>
      </c>
      <c r="E2925" s="155">
        <v>44770</v>
      </c>
      <c r="F2925" s="154">
        <v>15148</v>
      </c>
      <c r="G2925" s="156">
        <f>Tabla18[[#This Row],[Importe]]-Tabla18[[#This Row],[Pagado]]</f>
        <v>0</v>
      </c>
      <c r="H2925" s="153" t="s">
        <v>10</v>
      </c>
    </row>
    <row r="2926" spans="1:8" x14ac:dyDescent="0.25">
      <c r="A2926" s="73">
        <v>44770</v>
      </c>
      <c r="B2926" s="74" t="s">
        <v>24300</v>
      </c>
      <c r="C2926" s="75" t="s">
        <v>67</v>
      </c>
      <c r="D2926" s="81">
        <v>2883.6</v>
      </c>
      <c r="E2926" s="151">
        <v>44770</v>
      </c>
      <c r="F2926" s="81">
        <v>2883.6</v>
      </c>
      <c r="G2926" s="156">
        <f>Tabla18[[#This Row],[Importe]]-Tabla18[[#This Row],[Pagado]]</f>
        <v>0</v>
      </c>
      <c r="H2926" s="75" t="s">
        <v>10</v>
      </c>
    </row>
    <row r="2927" spans="1:8" x14ac:dyDescent="0.25">
      <c r="A2927" s="148">
        <v>44770</v>
      </c>
      <c r="B2927" s="149" t="s">
        <v>24301</v>
      </c>
      <c r="C2927" s="153" t="s">
        <v>16</v>
      </c>
      <c r="D2927" s="154">
        <v>2482</v>
      </c>
      <c r="E2927" s="155">
        <v>44770</v>
      </c>
      <c r="F2927" s="154">
        <v>2482</v>
      </c>
      <c r="G2927" s="156">
        <f>Tabla18[[#This Row],[Importe]]-Tabla18[[#This Row],[Pagado]]</f>
        <v>0</v>
      </c>
      <c r="H2927" s="153" t="s">
        <v>10</v>
      </c>
    </row>
    <row r="2928" spans="1:8" x14ac:dyDescent="0.25">
      <c r="A2928" s="73">
        <v>44770</v>
      </c>
      <c r="B2928" s="74" t="s">
        <v>24302</v>
      </c>
      <c r="C2928" s="75" t="s">
        <v>9827</v>
      </c>
      <c r="D2928" s="81">
        <v>3474.4</v>
      </c>
      <c r="E2928" s="151">
        <v>44770</v>
      </c>
      <c r="F2928" s="81">
        <v>3474.4</v>
      </c>
      <c r="G2928" s="156">
        <f>Tabla18[[#This Row],[Importe]]-Tabla18[[#This Row],[Pagado]]</f>
        <v>0</v>
      </c>
      <c r="H2928" s="75" t="s">
        <v>10</v>
      </c>
    </row>
    <row r="2929" spans="1:8" x14ac:dyDescent="0.25">
      <c r="A2929" s="148">
        <v>44770</v>
      </c>
      <c r="B2929" s="149" t="s">
        <v>24303</v>
      </c>
      <c r="C2929" s="153" t="s">
        <v>31</v>
      </c>
      <c r="D2929" s="154">
        <v>765.4</v>
      </c>
      <c r="E2929" s="155">
        <v>44770</v>
      </c>
      <c r="F2929" s="154">
        <v>765.4</v>
      </c>
      <c r="G2929" s="156">
        <f>Tabla18[[#This Row],[Importe]]-Tabla18[[#This Row],[Pagado]]</f>
        <v>0</v>
      </c>
      <c r="H2929" s="153" t="s">
        <v>10</v>
      </c>
    </row>
    <row r="2930" spans="1:8" x14ac:dyDescent="0.25">
      <c r="A2930" s="73">
        <v>44770</v>
      </c>
      <c r="B2930" s="74" t="s">
        <v>24304</v>
      </c>
      <c r="C2930" s="75" t="s">
        <v>107</v>
      </c>
      <c r="D2930" s="81">
        <v>11395.7</v>
      </c>
      <c r="E2930" s="151">
        <v>44770</v>
      </c>
      <c r="F2930" s="81">
        <v>11395.7</v>
      </c>
      <c r="G2930" s="156">
        <f>Tabla18[[#This Row],[Importe]]-Tabla18[[#This Row],[Pagado]]</f>
        <v>0</v>
      </c>
      <c r="H2930" s="75" t="s">
        <v>10</v>
      </c>
    </row>
    <row r="2931" spans="1:8" ht="31.5" x14ac:dyDescent="0.25">
      <c r="A2931" s="148">
        <v>44770</v>
      </c>
      <c r="B2931" s="149" t="s">
        <v>24305</v>
      </c>
      <c r="C2931" s="153" t="s">
        <v>392</v>
      </c>
      <c r="D2931" s="154">
        <v>21790.2</v>
      </c>
      <c r="E2931" s="150" t="s">
        <v>24624</v>
      </c>
      <c r="F2931" s="154">
        <f>20000+1790.2</f>
        <v>21790.2</v>
      </c>
      <c r="G2931" s="156">
        <f>Tabla18[[#This Row],[Importe]]-Tabla18[[#This Row],[Pagado]]</f>
        <v>0</v>
      </c>
      <c r="H2931" s="153" t="s">
        <v>10</v>
      </c>
    </row>
    <row r="2932" spans="1:8" x14ac:dyDescent="0.25">
      <c r="A2932" s="73">
        <v>44770</v>
      </c>
      <c r="B2932" s="74" t="s">
        <v>24306</v>
      </c>
      <c r="C2932" s="75" t="s">
        <v>470</v>
      </c>
      <c r="D2932" s="81">
        <v>33868.800000000003</v>
      </c>
      <c r="E2932" s="151">
        <v>44770</v>
      </c>
      <c r="F2932" s="81">
        <v>33868.800000000003</v>
      </c>
      <c r="G2932" s="156">
        <f>Tabla18[[#This Row],[Importe]]-Tabla18[[#This Row],[Pagado]]</f>
        <v>0</v>
      </c>
      <c r="H2932" s="75" t="s">
        <v>10</v>
      </c>
    </row>
    <row r="2933" spans="1:8" x14ac:dyDescent="0.25">
      <c r="A2933" s="148">
        <v>44770</v>
      </c>
      <c r="B2933" s="149" t="s">
        <v>24307</v>
      </c>
      <c r="C2933" s="153" t="s">
        <v>214</v>
      </c>
      <c r="D2933" s="154">
        <v>1720</v>
      </c>
      <c r="E2933" s="155">
        <v>44770</v>
      </c>
      <c r="F2933" s="154">
        <v>1720</v>
      </c>
      <c r="G2933" s="156">
        <f>Tabla18[[#This Row],[Importe]]-Tabla18[[#This Row],[Pagado]]</f>
        <v>0</v>
      </c>
      <c r="H2933" s="153" t="s">
        <v>10</v>
      </c>
    </row>
    <row r="2934" spans="1:8" x14ac:dyDescent="0.25">
      <c r="A2934" s="73">
        <v>44770</v>
      </c>
      <c r="B2934" s="74" t="s">
        <v>24308</v>
      </c>
      <c r="C2934" s="75" t="s">
        <v>246</v>
      </c>
      <c r="D2934" s="81">
        <v>2400</v>
      </c>
      <c r="E2934" s="151">
        <v>44770</v>
      </c>
      <c r="F2934" s="81">
        <v>2400</v>
      </c>
      <c r="G2934" s="156">
        <f>Tabla18[[#This Row],[Importe]]-Tabla18[[#This Row],[Pagado]]</f>
        <v>0</v>
      </c>
      <c r="H2934" s="75" t="s">
        <v>10</v>
      </c>
    </row>
    <row r="2935" spans="1:8" x14ac:dyDescent="0.25">
      <c r="A2935" s="148">
        <v>44770</v>
      </c>
      <c r="B2935" s="149" t="s">
        <v>24309</v>
      </c>
      <c r="C2935" s="153" t="s">
        <v>1008</v>
      </c>
      <c r="D2935" s="154">
        <v>585</v>
      </c>
      <c r="E2935" s="155">
        <v>44770</v>
      </c>
      <c r="F2935" s="154">
        <v>585</v>
      </c>
      <c r="G2935" s="156">
        <f>Tabla18[[#This Row],[Importe]]-Tabla18[[#This Row],[Pagado]]</f>
        <v>0</v>
      </c>
      <c r="H2935" s="153" t="s">
        <v>10</v>
      </c>
    </row>
    <row r="2936" spans="1:8" x14ac:dyDescent="0.25">
      <c r="A2936" s="73">
        <v>44770</v>
      </c>
      <c r="B2936" s="74" t="s">
        <v>24310</v>
      </c>
      <c r="C2936" s="75" t="s">
        <v>409</v>
      </c>
      <c r="D2936" s="81">
        <v>9994.2000000000007</v>
      </c>
      <c r="E2936" s="151">
        <v>44771</v>
      </c>
      <c r="F2936" s="81">
        <v>9994.2000000000007</v>
      </c>
      <c r="G2936" s="156">
        <f>Tabla18[[#This Row],[Importe]]-Tabla18[[#This Row],[Pagado]]</f>
        <v>0</v>
      </c>
      <c r="H2936" s="75" t="s">
        <v>10</v>
      </c>
    </row>
    <row r="2937" spans="1:8" x14ac:dyDescent="0.25">
      <c r="A2937" s="148">
        <v>44770</v>
      </c>
      <c r="B2937" s="149" t="s">
        <v>24311</v>
      </c>
      <c r="C2937" s="153" t="s">
        <v>729</v>
      </c>
      <c r="D2937" s="154">
        <v>33164.1</v>
      </c>
      <c r="E2937" s="155">
        <v>44771</v>
      </c>
      <c r="F2937" s="154">
        <v>33164.1</v>
      </c>
      <c r="G2937" s="156">
        <f>Tabla18[[#This Row],[Importe]]-Tabla18[[#This Row],[Pagado]]</f>
        <v>0</v>
      </c>
      <c r="H2937" s="153" t="s">
        <v>10</v>
      </c>
    </row>
    <row r="2938" spans="1:8" x14ac:dyDescent="0.25">
      <c r="A2938" s="73">
        <v>44770</v>
      </c>
      <c r="B2938" s="74" t="s">
        <v>24312</v>
      </c>
      <c r="C2938" s="75" t="s">
        <v>280</v>
      </c>
      <c r="D2938" s="81">
        <v>1453.4</v>
      </c>
      <c r="E2938" s="151">
        <v>44771</v>
      </c>
      <c r="F2938" s="81">
        <v>1453.4</v>
      </c>
      <c r="G2938" s="156">
        <f>Tabla18[[#This Row],[Importe]]-Tabla18[[#This Row],[Pagado]]</f>
        <v>0</v>
      </c>
      <c r="H2938" s="75" t="s">
        <v>10</v>
      </c>
    </row>
    <row r="2939" spans="1:8" x14ac:dyDescent="0.25">
      <c r="A2939" s="148">
        <v>44770</v>
      </c>
      <c r="B2939" s="149" t="s">
        <v>24313</v>
      </c>
      <c r="C2939" s="153" t="s">
        <v>10819</v>
      </c>
      <c r="D2939" s="154">
        <v>891.4</v>
      </c>
      <c r="E2939" s="155">
        <v>44771</v>
      </c>
      <c r="F2939" s="154">
        <v>891.4</v>
      </c>
      <c r="G2939" s="156">
        <f>Tabla18[[#This Row],[Importe]]-Tabla18[[#This Row],[Pagado]]</f>
        <v>0</v>
      </c>
      <c r="H2939" s="153" t="s">
        <v>10</v>
      </c>
    </row>
    <row r="2940" spans="1:8" x14ac:dyDescent="0.25">
      <c r="A2940" s="73">
        <v>44770</v>
      </c>
      <c r="B2940" s="74" t="s">
        <v>24314</v>
      </c>
      <c r="C2940" s="75" t="s">
        <v>5345</v>
      </c>
      <c r="D2940" s="81">
        <v>5031</v>
      </c>
      <c r="E2940" s="151">
        <v>44771</v>
      </c>
      <c r="F2940" s="81">
        <v>5031</v>
      </c>
      <c r="G2940" s="156">
        <f>Tabla18[[#This Row],[Importe]]-Tabla18[[#This Row],[Pagado]]</f>
        <v>0</v>
      </c>
      <c r="H2940" s="75" t="s">
        <v>10</v>
      </c>
    </row>
    <row r="2941" spans="1:8" x14ac:dyDescent="0.25">
      <c r="A2941" s="148">
        <v>44770</v>
      </c>
      <c r="B2941" s="149" t="s">
        <v>24315</v>
      </c>
      <c r="C2941" s="153" t="s">
        <v>282</v>
      </c>
      <c r="D2941" s="154">
        <v>2752</v>
      </c>
      <c r="E2941" s="155">
        <v>44771</v>
      </c>
      <c r="F2941" s="154">
        <v>2752</v>
      </c>
      <c r="G2941" s="156">
        <f>Tabla18[[#This Row],[Importe]]-Tabla18[[#This Row],[Pagado]]</f>
        <v>0</v>
      </c>
      <c r="H2941" s="153" t="s">
        <v>10</v>
      </c>
    </row>
    <row r="2942" spans="1:8" x14ac:dyDescent="0.25">
      <c r="A2942" s="73">
        <v>44770</v>
      </c>
      <c r="B2942" s="74" t="s">
        <v>24316</v>
      </c>
      <c r="C2942" s="75" t="s">
        <v>442</v>
      </c>
      <c r="D2942" s="81">
        <v>7736.16</v>
      </c>
      <c r="E2942" s="151">
        <v>44770</v>
      </c>
      <c r="F2942" s="81">
        <v>7736.16</v>
      </c>
      <c r="G2942" s="156">
        <f>Tabla18[[#This Row],[Importe]]-Tabla18[[#This Row],[Pagado]]</f>
        <v>0</v>
      </c>
      <c r="H2942" s="75" t="s">
        <v>10</v>
      </c>
    </row>
    <row r="2943" spans="1:8" x14ac:dyDescent="0.25">
      <c r="A2943" s="148">
        <v>44770</v>
      </c>
      <c r="B2943" s="149" t="s">
        <v>24317</v>
      </c>
      <c r="C2943" s="153" t="s">
        <v>31</v>
      </c>
      <c r="D2943" s="154">
        <v>2592</v>
      </c>
      <c r="E2943" s="155">
        <v>44770</v>
      </c>
      <c r="F2943" s="154">
        <v>2592</v>
      </c>
      <c r="G2943" s="156">
        <f>Tabla18[[#This Row],[Importe]]-Tabla18[[#This Row],[Pagado]]</f>
        <v>0</v>
      </c>
      <c r="H2943" s="153" t="s">
        <v>10</v>
      </c>
    </row>
    <row r="2944" spans="1:8" x14ac:dyDescent="0.25">
      <c r="A2944" s="73">
        <v>44770</v>
      </c>
      <c r="B2944" s="74" t="s">
        <v>24318</v>
      </c>
      <c r="C2944" s="75" t="s">
        <v>31</v>
      </c>
      <c r="D2944" s="81">
        <v>134.4</v>
      </c>
      <c r="E2944" s="151">
        <v>44770</v>
      </c>
      <c r="F2944" s="81">
        <v>134.4</v>
      </c>
      <c r="G2944" s="156">
        <f>Tabla18[[#This Row],[Importe]]-Tabla18[[#This Row],[Pagado]]</f>
        <v>0</v>
      </c>
      <c r="H2944" s="75" t="s">
        <v>10</v>
      </c>
    </row>
    <row r="2945" spans="1:8" x14ac:dyDescent="0.25">
      <c r="A2945" s="148">
        <v>44770</v>
      </c>
      <c r="B2945" s="149" t="s">
        <v>24319</v>
      </c>
      <c r="C2945" s="153" t="s">
        <v>1558</v>
      </c>
      <c r="D2945" s="154">
        <v>806.4</v>
      </c>
      <c r="E2945" s="155">
        <v>44770</v>
      </c>
      <c r="F2945" s="154">
        <v>806.4</v>
      </c>
      <c r="G2945" s="156">
        <f>Tabla18[[#This Row],[Importe]]-Tabla18[[#This Row],[Pagado]]</f>
        <v>0</v>
      </c>
      <c r="H2945" s="153" t="s">
        <v>10</v>
      </c>
    </row>
    <row r="2946" spans="1:8" x14ac:dyDescent="0.25">
      <c r="A2946" s="73">
        <v>44770</v>
      </c>
      <c r="B2946" s="74" t="s">
        <v>24320</v>
      </c>
      <c r="C2946" s="75" t="s">
        <v>10840</v>
      </c>
      <c r="D2946" s="81">
        <v>470.2</v>
      </c>
      <c r="E2946" s="151">
        <v>44770</v>
      </c>
      <c r="F2946" s="81">
        <v>470.2</v>
      </c>
      <c r="G2946" s="156">
        <f>Tabla18[[#This Row],[Importe]]-Tabla18[[#This Row],[Pagado]]</f>
        <v>0</v>
      </c>
      <c r="H2946" s="75" t="s">
        <v>10</v>
      </c>
    </row>
    <row r="2947" spans="1:8" x14ac:dyDescent="0.25">
      <c r="A2947" s="148">
        <v>44770</v>
      </c>
      <c r="B2947" s="149" t="s">
        <v>24321</v>
      </c>
      <c r="C2947" s="153" t="s">
        <v>647</v>
      </c>
      <c r="D2947" s="154">
        <v>977.2</v>
      </c>
      <c r="E2947" s="155">
        <v>44770</v>
      </c>
      <c r="F2947" s="154">
        <v>977.2</v>
      </c>
      <c r="G2947" s="156">
        <f>Tabla18[[#This Row],[Importe]]-Tabla18[[#This Row],[Pagado]]</f>
        <v>0</v>
      </c>
      <c r="H2947" s="153" t="s">
        <v>10</v>
      </c>
    </row>
    <row r="2948" spans="1:8" x14ac:dyDescent="0.25">
      <c r="A2948" s="73">
        <v>44770</v>
      </c>
      <c r="B2948" s="74" t="s">
        <v>24322</v>
      </c>
      <c r="C2948" s="75" t="s">
        <v>31</v>
      </c>
      <c r="D2948" s="81">
        <v>585</v>
      </c>
      <c r="E2948" s="151">
        <v>44770</v>
      </c>
      <c r="F2948" s="81">
        <v>585</v>
      </c>
      <c r="G2948" s="156">
        <f>Tabla18[[#This Row],[Importe]]-Tabla18[[#This Row],[Pagado]]</f>
        <v>0</v>
      </c>
      <c r="H2948" s="75" t="s">
        <v>10</v>
      </c>
    </row>
    <row r="2949" spans="1:8" x14ac:dyDescent="0.25">
      <c r="A2949" s="148">
        <v>44770</v>
      </c>
      <c r="B2949" s="149" t="s">
        <v>24323</v>
      </c>
      <c r="C2949" s="153" t="s">
        <v>450</v>
      </c>
      <c r="D2949" s="154">
        <v>2014.5</v>
      </c>
      <c r="E2949" s="155">
        <v>44770</v>
      </c>
      <c r="F2949" s="154">
        <v>2014.5</v>
      </c>
      <c r="G2949" s="156">
        <f>Tabla18[[#This Row],[Importe]]-Tabla18[[#This Row],[Pagado]]</f>
        <v>0</v>
      </c>
      <c r="H2949" s="153" t="s">
        <v>10</v>
      </c>
    </row>
    <row r="2950" spans="1:8" x14ac:dyDescent="0.25">
      <c r="A2950" s="73">
        <v>44770</v>
      </c>
      <c r="B2950" s="74" t="s">
        <v>24324</v>
      </c>
      <c r="C2950" s="75" t="s">
        <v>5694</v>
      </c>
      <c r="D2950" s="81">
        <v>3880.2</v>
      </c>
      <c r="E2950" s="151">
        <v>44770</v>
      </c>
      <c r="F2950" s="81">
        <v>3880.2</v>
      </c>
      <c r="G2950" s="156">
        <f>Tabla18[[#This Row],[Importe]]-Tabla18[[#This Row],[Pagado]]</f>
        <v>0</v>
      </c>
      <c r="H2950" s="75" t="s">
        <v>10</v>
      </c>
    </row>
    <row r="2951" spans="1:8" x14ac:dyDescent="0.25">
      <c r="A2951" s="148">
        <v>44770</v>
      </c>
      <c r="B2951" s="149" t="s">
        <v>24325</v>
      </c>
      <c r="C2951" s="153" t="s">
        <v>24</v>
      </c>
      <c r="D2951" s="154">
        <v>861.4</v>
      </c>
      <c r="E2951" s="155">
        <v>44770</v>
      </c>
      <c r="F2951" s="154">
        <v>861.4</v>
      </c>
      <c r="G2951" s="156">
        <f>Tabla18[[#This Row],[Importe]]-Tabla18[[#This Row],[Pagado]]</f>
        <v>0</v>
      </c>
      <c r="H2951" s="153" t="s">
        <v>10</v>
      </c>
    </row>
    <row r="2952" spans="1:8" x14ac:dyDescent="0.25">
      <c r="A2952" s="73">
        <v>44770</v>
      </c>
      <c r="B2952" s="74" t="s">
        <v>24326</v>
      </c>
      <c r="C2952" s="75" t="s">
        <v>10678</v>
      </c>
      <c r="D2952" s="81">
        <v>3898.5</v>
      </c>
      <c r="E2952" s="151">
        <v>44770</v>
      </c>
      <c r="F2952" s="81">
        <v>3898.5</v>
      </c>
      <c r="G2952" s="156">
        <f>Tabla18[[#This Row],[Importe]]-Tabla18[[#This Row],[Pagado]]</f>
        <v>0</v>
      </c>
      <c r="H2952" s="75" t="s">
        <v>10</v>
      </c>
    </row>
    <row r="2953" spans="1:8" x14ac:dyDescent="0.25">
      <c r="A2953" s="148">
        <v>44770</v>
      </c>
      <c r="B2953" s="149" t="s">
        <v>24327</v>
      </c>
      <c r="C2953" s="153" t="s">
        <v>654</v>
      </c>
      <c r="D2953" s="154">
        <v>2062.6</v>
      </c>
      <c r="E2953" s="155">
        <v>44770</v>
      </c>
      <c r="F2953" s="154">
        <v>2062.6</v>
      </c>
      <c r="G2953" s="156">
        <f>Tabla18[[#This Row],[Importe]]-Tabla18[[#This Row],[Pagado]]</f>
        <v>0</v>
      </c>
      <c r="H2953" s="153" t="s">
        <v>10</v>
      </c>
    </row>
    <row r="2954" spans="1:8" x14ac:dyDescent="0.25">
      <c r="A2954" s="73">
        <v>44770</v>
      </c>
      <c r="B2954" s="74" t="s">
        <v>24328</v>
      </c>
      <c r="C2954" s="75" t="s">
        <v>296</v>
      </c>
      <c r="D2954" s="81">
        <v>486</v>
      </c>
      <c r="E2954" s="151">
        <v>44771</v>
      </c>
      <c r="F2954" s="81">
        <v>486</v>
      </c>
      <c r="G2954" s="156">
        <f>Tabla18[[#This Row],[Importe]]-Tabla18[[#This Row],[Pagado]]</f>
        <v>0</v>
      </c>
      <c r="H2954" s="75" t="s">
        <v>10</v>
      </c>
    </row>
    <row r="2955" spans="1:8" x14ac:dyDescent="0.25">
      <c r="A2955" s="148">
        <v>44770</v>
      </c>
      <c r="B2955" s="149" t="s">
        <v>24329</v>
      </c>
      <c r="C2955" s="153" t="s">
        <v>6273</v>
      </c>
      <c r="D2955" s="154">
        <v>2325.6</v>
      </c>
      <c r="E2955" s="155">
        <v>44770</v>
      </c>
      <c r="F2955" s="154">
        <v>2325.6</v>
      </c>
      <c r="G2955" s="156">
        <f>Tabla18[[#This Row],[Importe]]-Tabla18[[#This Row],[Pagado]]</f>
        <v>0</v>
      </c>
      <c r="H2955" s="153" t="s">
        <v>10</v>
      </c>
    </row>
    <row r="2956" spans="1:8" x14ac:dyDescent="0.25">
      <c r="A2956" s="73">
        <v>44771</v>
      </c>
      <c r="B2956" s="74" t="s">
        <v>24330</v>
      </c>
      <c r="C2956" s="75" t="s">
        <v>887</v>
      </c>
      <c r="D2956" s="81">
        <v>16468.099999999999</v>
      </c>
      <c r="E2956" s="151">
        <v>44771</v>
      </c>
      <c r="F2956" s="81">
        <v>16468.099999999999</v>
      </c>
      <c r="G2956" s="156">
        <f>Tabla18[[#This Row],[Importe]]-Tabla18[[#This Row],[Pagado]]</f>
        <v>0</v>
      </c>
      <c r="H2956" s="75" t="s">
        <v>10</v>
      </c>
    </row>
    <row r="2957" spans="1:8" ht="31.5" x14ac:dyDescent="0.25">
      <c r="A2957" s="148">
        <v>44771</v>
      </c>
      <c r="B2957" s="149" t="s">
        <v>24331</v>
      </c>
      <c r="C2957" s="153" t="s">
        <v>475</v>
      </c>
      <c r="D2957" s="154">
        <v>31224.6</v>
      </c>
      <c r="E2957" s="150" t="s">
        <v>24332</v>
      </c>
      <c r="F2957" s="154">
        <f>12000+19224.6</f>
        <v>31224.6</v>
      </c>
      <c r="G2957" s="156">
        <f>Tabla18[[#This Row],[Importe]]-Tabla18[[#This Row],[Pagado]]</f>
        <v>0</v>
      </c>
      <c r="H2957" s="153" t="s">
        <v>10</v>
      </c>
    </row>
    <row r="2958" spans="1:8" x14ac:dyDescent="0.25">
      <c r="A2958" s="73">
        <v>44771</v>
      </c>
      <c r="B2958" s="74" t="s">
        <v>24333</v>
      </c>
      <c r="C2958" s="75" t="s">
        <v>475</v>
      </c>
      <c r="D2958" s="81">
        <v>2111.5</v>
      </c>
      <c r="E2958" s="151">
        <v>44772</v>
      </c>
      <c r="F2958" s="81">
        <v>2111.5</v>
      </c>
      <c r="G2958" s="156">
        <f>Tabla18[[#This Row],[Importe]]-Tabla18[[#This Row],[Pagado]]</f>
        <v>0</v>
      </c>
      <c r="H2958" s="75" t="s">
        <v>10</v>
      </c>
    </row>
    <row r="2959" spans="1:8" x14ac:dyDescent="0.25">
      <c r="A2959" s="148">
        <v>44771</v>
      </c>
      <c r="B2959" s="149" t="s">
        <v>24334</v>
      </c>
      <c r="C2959" s="153" t="s">
        <v>473</v>
      </c>
      <c r="D2959" s="154">
        <v>6786</v>
      </c>
      <c r="E2959" s="155">
        <v>44771</v>
      </c>
      <c r="F2959" s="154">
        <v>6786</v>
      </c>
      <c r="G2959" s="156">
        <f>Tabla18[[#This Row],[Importe]]-Tabla18[[#This Row],[Pagado]]</f>
        <v>0</v>
      </c>
      <c r="H2959" s="153" t="s">
        <v>10</v>
      </c>
    </row>
    <row r="2960" spans="1:8" x14ac:dyDescent="0.25">
      <c r="A2960" s="73">
        <v>44771</v>
      </c>
      <c r="B2960" s="74" t="s">
        <v>24335</v>
      </c>
      <c r="C2960" s="75" t="s">
        <v>75</v>
      </c>
      <c r="D2960" s="81">
        <v>9770.1</v>
      </c>
      <c r="E2960" s="151">
        <v>44771</v>
      </c>
      <c r="F2960" s="81">
        <v>9770.1</v>
      </c>
      <c r="G2960" s="156">
        <f>Tabla18[[#This Row],[Importe]]-Tabla18[[#This Row],[Pagado]]</f>
        <v>0</v>
      </c>
      <c r="H2960" s="75" t="s">
        <v>10</v>
      </c>
    </row>
    <row r="2961" spans="1:8" x14ac:dyDescent="0.25">
      <c r="A2961" s="148">
        <v>44771</v>
      </c>
      <c r="B2961" s="149" t="s">
        <v>24336</v>
      </c>
      <c r="C2961" s="153" t="s">
        <v>31</v>
      </c>
      <c r="D2961" s="154">
        <v>5105.3999999999996</v>
      </c>
      <c r="E2961" s="155">
        <v>44771</v>
      </c>
      <c r="F2961" s="154">
        <v>5105.3999999999996</v>
      </c>
      <c r="G2961" s="156">
        <f>Tabla18[[#This Row],[Importe]]-Tabla18[[#This Row],[Pagado]]</f>
        <v>0</v>
      </c>
      <c r="H2961" s="153" t="s">
        <v>10</v>
      </c>
    </row>
    <row r="2962" spans="1:8" x14ac:dyDescent="0.25">
      <c r="A2962" s="73">
        <v>44771</v>
      </c>
      <c r="B2962" s="74" t="s">
        <v>24337</v>
      </c>
      <c r="C2962" s="75" t="s">
        <v>97</v>
      </c>
      <c r="D2962" s="81">
        <v>4620</v>
      </c>
      <c r="E2962" s="151">
        <v>44772</v>
      </c>
      <c r="F2962" s="81">
        <v>4620</v>
      </c>
      <c r="G2962" s="156">
        <f>Tabla18[[#This Row],[Importe]]-Tabla18[[#This Row],[Pagado]]</f>
        <v>0</v>
      </c>
      <c r="H2962" s="75" t="s">
        <v>10</v>
      </c>
    </row>
    <row r="2963" spans="1:8" x14ac:dyDescent="0.25">
      <c r="A2963" s="148">
        <v>44771</v>
      </c>
      <c r="B2963" s="149" t="s">
        <v>24338</v>
      </c>
      <c r="C2963" s="153" t="s">
        <v>326</v>
      </c>
      <c r="D2963" s="154">
        <v>5181</v>
      </c>
      <c r="E2963" s="155">
        <v>44772</v>
      </c>
      <c r="F2963" s="154">
        <v>5181</v>
      </c>
      <c r="G2963" s="156">
        <f>Tabla18[[#This Row],[Importe]]-Tabla18[[#This Row],[Pagado]]</f>
        <v>0</v>
      </c>
      <c r="H2963" s="153" t="s">
        <v>10</v>
      </c>
    </row>
    <row r="2964" spans="1:8" x14ac:dyDescent="0.25">
      <c r="A2964" s="73">
        <v>44771</v>
      </c>
      <c r="B2964" s="74" t="s">
        <v>24339</v>
      </c>
      <c r="C2964" s="75" t="s">
        <v>105</v>
      </c>
      <c r="D2964" s="81">
        <v>9216.2999999999993</v>
      </c>
      <c r="E2964" s="151">
        <v>44772</v>
      </c>
      <c r="F2964" s="81">
        <v>9216.2999999999993</v>
      </c>
      <c r="G2964" s="156">
        <f>Tabla18[[#This Row],[Importe]]-Tabla18[[#This Row],[Pagado]]</f>
        <v>0</v>
      </c>
      <c r="H2964" s="75" t="s">
        <v>10</v>
      </c>
    </row>
    <row r="2965" spans="1:8" x14ac:dyDescent="0.25">
      <c r="A2965" s="148">
        <v>44771</v>
      </c>
      <c r="B2965" s="149" t="s">
        <v>24340</v>
      </c>
      <c r="C2965" s="153" t="s">
        <v>348</v>
      </c>
      <c r="D2965" s="154">
        <v>2954.7</v>
      </c>
      <c r="E2965" s="155">
        <v>44771</v>
      </c>
      <c r="F2965" s="154">
        <v>2954.7</v>
      </c>
      <c r="G2965" s="156">
        <f>Tabla18[[#This Row],[Importe]]-Tabla18[[#This Row],[Pagado]]</f>
        <v>0</v>
      </c>
      <c r="H2965" s="153" t="s">
        <v>10</v>
      </c>
    </row>
    <row r="2966" spans="1:8" x14ac:dyDescent="0.25">
      <c r="A2966" s="73">
        <v>44771</v>
      </c>
      <c r="B2966" s="74" t="s">
        <v>24341</v>
      </c>
      <c r="C2966" s="75" t="s">
        <v>114</v>
      </c>
      <c r="D2966" s="81">
        <v>6894.8</v>
      </c>
      <c r="E2966" s="151">
        <v>44772</v>
      </c>
      <c r="F2966" s="81">
        <v>6894.8</v>
      </c>
      <c r="G2966" s="156">
        <f>Tabla18[[#This Row],[Importe]]-Tabla18[[#This Row],[Pagado]]</f>
        <v>0</v>
      </c>
      <c r="H2966" s="75" t="s">
        <v>10</v>
      </c>
    </row>
    <row r="2967" spans="1:8" x14ac:dyDescent="0.25">
      <c r="A2967" s="148">
        <v>44771</v>
      </c>
      <c r="B2967" s="149" t="s">
        <v>24342</v>
      </c>
      <c r="C2967" s="153" t="s">
        <v>111</v>
      </c>
      <c r="D2967" s="154">
        <v>11257.6</v>
      </c>
      <c r="E2967" s="155">
        <v>44773</v>
      </c>
      <c r="F2967" s="154">
        <v>11257.6</v>
      </c>
      <c r="G2967" s="156">
        <f>Tabla18[[#This Row],[Importe]]-Tabla18[[#This Row],[Pagado]]</f>
        <v>0</v>
      </c>
      <c r="H2967" s="153" t="s">
        <v>10</v>
      </c>
    </row>
    <row r="2968" spans="1:8" x14ac:dyDescent="0.25">
      <c r="A2968" s="73">
        <v>44771</v>
      </c>
      <c r="B2968" s="74" t="s">
        <v>24343</v>
      </c>
      <c r="C2968" s="75" t="s">
        <v>89</v>
      </c>
      <c r="D2968" s="81">
        <v>14954.4</v>
      </c>
      <c r="E2968" s="151">
        <v>44772</v>
      </c>
      <c r="F2968" s="81">
        <v>14954.4</v>
      </c>
      <c r="G2968" s="156">
        <f>Tabla18[[#This Row],[Importe]]-Tabla18[[#This Row],[Pagado]]</f>
        <v>0</v>
      </c>
      <c r="H2968" s="75" t="s">
        <v>10</v>
      </c>
    </row>
    <row r="2969" spans="1:8" x14ac:dyDescent="0.25">
      <c r="A2969" s="148">
        <v>44771</v>
      </c>
      <c r="B2969" s="149" t="s">
        <v>24344</v>
      </c>
      <c r="C2969" s="153" t="s">
        <v>345</v>
      </c>
      <c r="D2969" s="154">
        <v>687.3</v>
      </c>
      <c r="E2969" s="155">
        <v>44771</v>
      </c>
      <c r="F2969" s="154">
        <v>687.3</v>
      </c>
      <c r="G2969" s="156">
        <f>Tabla18[[#This Row],[Importe]]-Tabla18[[#This Row],[Pagado]]</f>
        <v>0</v>
      </c>
      <c r="H2969" s="153" t="s">
        <v>10</v>
      </c>
    </row>
    <row r="2970" spans="1:8" ht="31.5" x14ac:dyDescent="0.25">
      <c r="A2970" s="73">
        <v>44771</v>
      </c>
      <c r="B2970" s="74" t="s">
        <v>24345</v>
      </c>
      <c r="C2970" s="75" t="s">
        <v>93</v>
      </c>
      <c r="D2970" s="81">
        <v>10155.9</v>
      </c>
      <c r="E2970" s="147" t="s">
        <v>24614</v>
      </c>
      <c r="F2970" s="81">
        <f>5000+5155.9</f>
        <v>10155.9</v>
      </c>
      <c r="G2970" s="156">
        <f>Tabla18[[#This Row],[Importe]]-Tabla18[[#This Row],[Pagado]]</f>
        <v>0</v>
      </c>
      <c r="H2970" s="75" t="s">
        <v>10</v>
      </c>
    </row>
    <row r="2971" spans="1:8" x14ac:dyDescent="0.25">
      <c r="A2971" s="148">
        <v>44771</v>
      </c>
      <c r="B2971" s="149" t="s">
        <v>24346</v>
      </c>
      <c r="C2971" s="153" t="s">
        <v>20</v>
      </c>
      <c r="D2971" s="154">
        <v>2804.8</v>
      </c>
      <c r="E2971" s="155">
        <v>44771</v>
      </c>
      <c r="F2971" s="154">
        <v>2804.8</v>
      </c>
      <c r="G2971" s="156">
        <f>Tabla18[[#This Row],[Importe]]-Tabla18[[#This Row],[Pagado]]</f>
        <v>0</v>
      </c>
      <c r="H2971" s="153" t="s">
        <v>10</v>
      </c>
    </row>
    <row r="2972" spans="1:8" x14ac:dyDescent="0.25">
      <c r="A2972" s="73">
        <v>44771</v>
      </c>
      <c r="B2972" s="74" t="s">
        <v>24347</v>
      </c>
      <c r="C2972" s="75" t="s">
        <v>135</v>
      </c>
      <c r="D2972" s="81">
        <v>2006.4</v>
      </c>
      <c r="E2972" s="151">
        <v>44771</v>
      </c>
      <c r="F2972" s="81">
        <v>2006.4</v>
      </c>
      <c r="G2972" s="156">
        <f>Tabla18[[#This Row],[Importe]]-Tabla18[[#This Row],[Pagado]]</f>
        <v>0</v>
      </c>
      <c r="H2972" s="75" t="s">
        <v>10</v>
      </c>
    </row>
    <row r="2973" spans="1:8" x14ac:dyDescent="0.25">
      <c r="A2973" s="148">
        <v>44771</v>
      </c>
      <c r="B2973" s="149" t="s">
        <v>24348</v>
      </c>
      <c r="C2973" s="153" t="s">
        <v>64</v>
      </c>
      <c r="D2973" s="154">
        <v>5146.6000000000004</v>
      </c>
      <c r="E2973" s="155">
        <v>44772</v>
      </c>
      <c r="F2973" s="154">
        <v>5146.6000000000004</v>
      </c>
      <c r="G2973" s="156">
        <f>Tabla18[[#This Row],[Importe]]-Tabla18[[#This Row],[Pagado]]</f>
        <v>0</v>
      </c>
      <c r="H2973" s="153" t="s">
        <v>10</v>
      </c>
    </row>
    <row r="2974" spans="1:8" x14ac:dyDescent="0.25">
      <c r="A2974" s="73">
        <v>44771</v>
      </c>
      <c r="B2974" s="74" t="s">
        <v>24349</v>
      </c>
      <c r="C2974" s="75" t="s">
        <v>2151</v>
      </c>
      <c r="D2974" s="81">
        <v>24440.400000000001</v>
      </c>
      <c r="E2974" s="151">
        <v>44771</v>
      </c>
      <c r="F2974" s="81">
        <v>24440.400000000001</v>
      </c>
      <c r="G2974" s="156">
        <f>Tabla18[[#This Row],[Importe]]-Tabla18[[#This Row],[Pagado]]</f>
        <v>0</v>
      </c>
      <c r="H2974" s="75" t="s">
        <v>10</v>
      </c>
    </row>
    <row r="2975" spans="1:8" x14ac:dyDescent="0.25">
      <c r="A2975" s="148">
        <v>44771</v>
      </c>
      <c r="B2975" s="149" t="s">
        <v>24350</v>
      </c>
      <c r="C2975" s="153" t="s">
        <v>481</v>
      </c>
      <c r="D2975" s="154">
        <v>1738</v>
      </c>
      <c r="E2975" s="155">
        <v>44771</v>
      </c>
      <c r="F2975" s="154">
        <v>1738</v>
      </c>
      <c r="G2975" s="156">
        <f>Tabla18[[#This Row],[Importe]]-Tabla18[[#This Row],[Pagado]]</f>
        <v>0</v>
      </c>
      <c r="H2975" s="153" t="s">
        <v>10</v>
      </c>
    </row>
    <row r="2976" spans="1:8" x14ac:dyDescent="0.25">
      <c r="A2976" s="73">
        <v>44771</v>
      </c>
      <c r="B2976" s="74" t="s">
        <v>24351</v>
      </c>
      <c r="C2976" s="75" t="s">
        <v>353</v>
      </c>
      <c r="D2976" s="81">
        <v>1358.8</v>
      </c>
      <c r="E2976" s="151">
        <v>44771</v>
      </c>
      <c r="F2976" s="81">
        <v>1358.8</v>
      </c>
      <c r="G2976" s="156">
        <f>Tabla18[[#This Row],[Importe]]-Tabla18[[#This Row],[Pagado]]</f>
        <v>0</v>
      </c>
      <c r="H2976" s="75" t="s">
        <v>10</v>
      </c>
    </row>
    <row r="2977" spans="1:8" x14ac:dyDescent="0.25">
      <c r="A2977" s="148">
        <v>44771</v>
      </c>
      <c r="B2977" s="149" t="s">
        <v>24352</v>
      </c>
      <c r="C2977" s="153" t="s">
        <v>31</v>
      </c>
      <c r="D2977" s="154">
        <v>4817.6000000000004</v>
      </c>
      <c r="E2977" s="155">
        <v>44771</v>
      </c>
      <c r="F2977" s="154">
        <v>4817.6000000000004</v>
      </c>
      <c r="G2977" s="156">
        <f>Tabla18[[#This Row],[Importe]]-Tabla18[[#This Row],[Pagado]]</f>
        <v>0</v>
      </c>
      <c r="H2977" s="153" t="s">
        <v>10</v>
      </c>
    </row>
    <row r="2978" spans="1:8" x14ac:dyDescent="0.25">
      <c r="A2978" s="73">
        <v>44771</v>
      </c>
      <c r="B2978" s="74" t="s">
        <v>24353</v>
      </c>
      <c r="C2978" s="75" t="s">
        <v>314</v>
      </c>
      <c r="D2978" s="81">
        <v>3332.1</v>
      </c>
      <c r="E2978" s="151">
        <v>44771</v>
      </c>
      <c r="F2978" s="81">
        <v>3332.1</v>
      </c>
      <c r="G2978" s="156">
        <f>Tabla18[[#This Row],[Importe]]-Tabla18[[#This Row],[Pagado]]</f>
        <v>0</v>
      </c>
      <c r="H2978" s="75" t="s">
        <v>10</v>
      </c>
    </row>
    <row r="2979" spans="1:8" x14ac:dyDescent="0.25">
      <c r="A2979" s="148">
        <v>44771</v>
      </c>
      <c r="B2979" s="149" t="s">
        <v>24354</v>
      </c>
      <c r="C2979" s="153" t="s">
        <v>24355</v>
      </c>
      <c r="D2979" s="154">
        <v>2927.9</v>
      </c>
      <c r="E2979" s="155">
        <v>44771</v>
      </c>
      <c r="F2979" s="154">
        <v>2927.9</v>
      </c>
      <c r="G2979" s="156">
        <f>Tabla18[[#This Row],[Importe]]-Tabla18[[#This Row],[Pagado]]</f>
        <v>0</v>
      </c>
      <c r="H2979" s="153" t="s">
        <v>10</v>
      </c>
    </row>
    <row r="2980" spans="1:8" x14ac:dyDescent="0.25">
      <c r="A2980" s="73">
        <v>44771</v>
      </c>
      <c r="B2980" s="74" t="s">
        <v>24356</v>
      </c>
      <c r="C2980" s="75" t="s">
        <v>135</v>
      </c>
      <c r="D2980" s="81">
        <v>2067.4</v>
      </c>
      <c r="E2980" s="151">
        <v>44771</v>
      </c>
      <c r="F2980" s="81">
        <v>2067.4</v>
      </c>
      <c r="G2980" s="156">
        <f>Tabla18[[#This Row],[Importe]]-Tabla18[[#This Row],[Pagado]]</f>
        <v>0</v>
      </c>
      <c r="H2980" s="75" t="s">
        <v>10</v>
      </c>
    </row>
    <row r="2981" spans="1:8" x14ac:dyDescent="0.25">
      <c r="A2981" s="148">
        <v>44771</v>
      </c>
      <c r="B2981" s="149" t="s">
        <v>24357</v>
      </c>
      <c r="C2981" s="153" t="s">
        <v>179</v>
      </c>
      <c r="D2981" s="154">
        <v>2340.3000000000002</v>
      </c>
      <c r="E2981" s="155">
        <v>44771</v>
      </c>
      <c r="F2981" s="154">
        <v>2340.3000000000002</v>
      </c>
      <c r="G2981" s="156">
        <f>Tabla18[[#This Row],[Importe]]-Tabla18[[#This Row],[Pagado]]</f>
        <v>0</v>
      </c>
      <c r="H2981" s="153" t="s">
        <v>10</v>
      </c>
    </row>
    <row r="2982" spans="1:8" x14ac:dyDescent="0.25">
      <c r="A2982" s="73">
        <v>44771</v>
      </c>
      <c r="B2982" s="74" t="s">
        <v>24358</v>
      </c>
      <c r="C2982" s="75" t="s">
        <v>9</v>
      </c>
      <c r="D2982" s="81">
        <v>8850.2999999999993</v>
      </c>
      <c r="E2982" s="151">
        <v>44771</v>
      </c>
      <c r="F2982" s="81">
        <v>8850.2999999999993</v>
      </c>
      <c r="G2982" s="156">
        <f>Tabla18[[#This Row],[Importe]]-Tabla18[[#This Row],[Pagado]]</f>
        <v>0</v>
      </c>
      <c r="H2982" s="75" t="s">
        <v>10</v>
      </c>
    </row>
    <row r="2983" spans="1:8" x14ac:dyDescent="0.25">
      <c r="A2983" s="148">
        <v>44771</v>
      </c>
      <c r="B2983" s="149" t="s">
        <v>24359</v>
      </c>
      <c r="C2983" s="153" t="s">
        <v>146</v>
      </c>
      <c r="D2983" s="154">
        <v>4644</v>
      </c>
      <c r="E2983" s="155">
        <v>44771</v>
      </c>
      <c r="F2983" s="154">
        <v>4644</v>
      </c>
      <c r="G2983" s="156">
        <f>Tabla18[[#This Row],[Importe]]-Tabla18[[#This Row],[Pagado]]</f>
        <v>0</v>
      </c>
      <c r="H2983" s="153" t="s">
        <v>10</v>
      </c>
    </row>
    <row r="2984" spans="1:8" x14ac:dyDescent="0.25">
      <c r="A2984" s="73">
        <v>44771</v>
      </c>
      <c r="B2984" s="74" t="s">
        <v>24360</v>
      </c>
      <c r="C2984" s="75" t="s">
        <v>1187</v>
      </c>
      <c r="D2984" s="81">
        <v>1132.4000000000001</v>
      </c>
      <c r="E2984" s="151">
        <v>44771</v>
      </c>
      <c r="F2984" s="81">
        <v>1132.4000000000001</v>
      </c>
      <c r="G2984" s="156">
        <f>Tabla18[[#This Row],[Importe]]-Tabla18[[#This Row],[Pagado]]</f>
        <v>0</v>
      </c>
      <c r="H2984" s="75" t="s">
        <v>10</v>
      </c>
    </row>
    <row r="2985" spans="1:8" x14ac:dyDescent="0.25">
      <c r="A2985" s="148">
        <v>44771</v>
      </c>
      <c r="B2985" s="149" t="s">
        <v>24361</v>
      </c>
      <c r="C2985" s="153" t="s">
        <v>314</v>
      </c>
      <c r="D2985" s="154">
        <v>160</v>
      </c>
      <c r="E2985" s="155">
        <v>44771</v>
      </c>
      <c r="F2985" s="154">
        <v>160</v>
      </c>
      <c r="G2985" s="156">
        <f>Tabla18[[#This Row],[Importe]]-Tabla18[[#This Row],[Pagado]]</f>
        <v>0</v>
      </c>
      <c r="H2985" s="153" t="s">
        <v>10</v>
      </c>
    </row>
    <row r="2986" spans="1:8" x14ac:dyDescent="0.25">
      <c r="A2986" s="73">
        <v>44771</v>
      </c>
      <c r="B2986" s="74" t="s">
        <v>24362</v>
      </c>
      <c r="C2986" s="75" t="s">
        <v>484</v>
      </c>
      <c r="D2986" s="81">
        <v>5967</v>
      </c>
      <c r="E2986" s="151">
        <v>44771</v>
      </c>
      <c r="F2986" s="81">
        <v>5967</v>
      </c>
      <c r="G2986" s="156">
        <f>Tabla18[[#This Row],[Importe]]-Tabla18[[#This Row],[Pagado]]</f>
        <v>0</v>
      </c>
      <c r="H2986" s="75" t="s">
        <v>10</v>
      </c>
    </row>
    <row r="2987" spans="1:8" x14ac:dyDescent="0.25">
      <c r="A2987" s="148">
        <v>44771</v>
      </c>
      <c r="B2987" s="149" t="s">
        <v>24363</v>
      </c>
      <c r="C2987" s="153" t="s">
        <v>212</v>
      </c>
      <c r="D2987" s="154">
        <v>80769.600000000006</v>
      </c>
      <c r="E2987" s="155">
        <v>44775</v>
      </c>
      <c r="F2987" s="154">
        <v>80769.600000000006</v>
      </c>
      <c r="G2987" s="156">
        <f>Tabla18[[#This Row],[Importe]]-Tabla18[[#This Row],[Pagado]]</f>
        <v>0</v>
      </c>
      <c r="H2987" s="153" t="s">
        <v>10</v>
      </c>
    </row>
    <row r="2988" spans="1:8" x14ac:dyDescent="0.25">
      <c r="A2988" s="73">
        <v>44771</v>
      </c>
      <c r="B2988" s="74" t="s">
        <v>24364</v>
      </c>
      <c r="C2988" s="75" t="s">
        <v>154</v>
      </c>
      <c r="D2988" s="81">
        <v>53247.4</v>
      </c>
      <c r="E2988" s="151">
        <v>44775</v>
      </c>
      <c r="F2988" s="81">
        <v>53247.4</v>
      </c>
      <c r="G2988" s="156">
        <f>Tabla18[[#This Row],[Importe]]-Tabla18[[#This Row],[Pagado]]</f>
        <v>0</v>
      </c>
      <c r="H2988" s="75" t="s">
        <v>10</v>
      </c>
    </row>
    <row r="2989" spans="1:8" x14ac:dyDescent="0.25">
      <c r="A2989" s="148">
        <v>44771</v>
      </c>
      <c r="B2989" s="149" t="s">
        <v>24365</v>
      </c>
      <c r="C2989" s="153" t="s">
        <v>133</v>
      </c>
      <c r="D2989" s="154">
        <v>12789</v>
      </c>
      <c r="E2989" s="155">
        <v>44772</v>
      </c>
      <c r="F2989" s="154">
        <v>12789</v>
      </c>
      <c r="G2989" s="156">
        <f>Tabla18[[#This Row],[Importe]]-Tabla18[[#This Row],[Pagado]]</f>
        <v>0</v>
      </c>
      <c r="H2989" s="153" t="s">
        <v>10</v>
      </c>
    </row>
    <row r="2990" spans="1:8" x14ac:dyDescent="0.25">
      <c r="A2990" s="73">
        <v>44771</v>
      </c>
      <c r="B2990" s="74" t="s">
        <v>24366</v>
      </c>
      <c r="C2990" s="75" t="s">
        <v>1378</v>
      </c>
      <c r="D2990" s="81">
        <v>89021.8</v>
      </c>
      <c r="E2990" s="151">
        <v>44771</v>
      </c>
      <c r="F2990" s="81">
        <v>89021.8</v>
      </c>
      <c r="G2990" s="156">
        <f>Tabla18[[#This Row],[Importe]]-Tabla18[[#This Row],[Pagado]]</f>
        <v>0</v>
      </c>
      <c r="H2990" s="75" t="s">
        <v>10</v>
      </c>
    </row>
    <row r="2991" spans="1:8" x14ac:dyDescent="0.25">
      <c r="A2991" s="148">
        <v>44771</v>
      </c>
      <c r="B2991" s="149" t="s">
        <v>24367</v>
      </c>
      <c r="C2991" s="153" t="s">
        <v>218</v>
      </c>
      <c r="D2991" s="154">
        <v>33310.1</v>
      </c>
      <c r="E2991" s="155">
        <v>44776</v>
      </c>
      <c r="F2991" s="154">
        <v>33310.1</v>
      </c>
      <c r="G2991" s="156">
        <f>Tabla18[[#This Row],[Importe]]-Tabla18[[#This Row],[Pagado]]</f>
        <v>0</v>
      </c>
      <c r="H2991" s="153" t="s">
        <v>10</v>
      </c>
    </row>
    <row r="2992" spans="1:8" x14ac:dyDescent="0.25">
      <c r="A2992" s="73">
        <v>44771</v>
      </c>
      <c r="B2992" s="74" t="s">
        <v>24368</v>
      </c>
      <c r="C2992" s="75" t="s">
        <v>10157</v>
      </c>
      <c r="D2992" s="81">
        <v>21795.3</v>
      </c>
      <c r="E2992" s="151">
        <v>44781</v>
      </c>
      <c r="F2992" s="81">
        <v>21795.3</v>
      </c>
      <c r="G2992" s="156">
        <f>Tabla18[[#This Row],[Importe]]-Tabla18[[#This Row],[Pagado]]</f>
        <v>0</v>
      </c>
      <c r="H2992" s="75" t="s">
        <v>10</v>
      </c>
    </row>
    <row r="2993" spans="1:8" ht="31.5" x14ac:dyDescent="0.25">
      <c r="A2993" s="148">
        <v>44771</v>
      </c>
      <c r="B2993" s="149" t="s">
        <v>24369</v>
      </c>
      <c r="C2993" s="153" t="s">
        <v>22</v>
      </c>
      <c r="D2993" s="154">
        <v>46038</v>
      </c>
      <c r="E2993" s="150" t="s">
        <v>24332</v>
      </c>
      <c r="F2993" s="154">
        <f>35000+11038</f>
        <v>46038</v>
      </c>
      <c r="G2993" s="156">
        <f>Tabla18[[#This Row],[Importe]]-Tabla18[[#This Row],[Pagado]]</f>
        <v>0</v>
      </c>
      <c r="H2993" s="153" t="s">
        <v>10</v>
      </c>
    </row>
    <row r="2994" spans="1:8" x14ac:dyDescent="0.25">
      <c r="A2994" s="73">
        <v>44771</v>
      </c>
      <c r="B2994" s="74" t="s">
        <v>24370</v>
      </c>
      <c r="C2994" s="75" t="s">
        <v>206</v>
      </c>
      <c r="D2994" s="81">
        <v>37140.800000000003</v>
      </c>
      <c r="E2994" s="151">
        <v>44776</v>
      </c>
      <c r="F2994" s="81">
        <v>37140.800000000003</v>
      </c>
      <c r="G2994" s="156">
        <f>Tabla18[[#This Row],[Importe]]-Tabla18[[#This Row],[Pagado]]</f>
        <v>0</v>
      </c>
      <c r="H2994" s="75" t="s">
        <v>10</v>
      </c>
    </row>
    <row r="2995" spans="1:8" x14ac:dyDescent="0.25">
      <c r="A2995" s="148">
        <v>44771</v>
      </c>
      <c r="B2995" s="149" t="s">
        <v>24371</v>
      </c>
      <c r="C2995" s="153" t="s">
        <v>27</v>
      </c>
      <c r="D2995" s="154">
        <v>852.6</v>
      </c>
      <c r="E2995" s="155">
        <v>44771</v>
      </c>
      <c r="F2995" s="154">
        <v>852.6</v>
      </c>
      <c r="G2995" s="156">
        <f>Tabla18[[#This Row],[Importe]]-Tabla18[[#This Row],[Pagado]]</f>
        <v>0</v>
      </c>
      <c r="H2995" s="153" t="s">
        <v>10</v>
      </c>
    </row>
    <row r="2996" spans="1:8" x14ac:dyDescent="0.25">
      <c r="A2996" s="73">
        <v>44771</v>
      </c>
      <c r="B2996" s="74" t="s">
        <v>24372</v>
      </c>
      <c r="C2996" s="75" t="s">
        <v>27</v>
      </c>
      <c r="D2996" s="81">
        <v>392</v>
      </c>
      <c r="E2996" s="151">
        <v>44771</v>
      </c>
      <c r="F2996" s="81">
        <v>392</v>
      </c>
      <c r="G2996" s="156">
        <f>Tabla18[[#This Row],[Importe]]-Tabla18[[#This Row],[Pagado]]</f>
        <v>0</v>
      </c>
      <c r="H2996" s="75" t="s">
        <v>10</v>
      </c>
    </row>
    <row r="2997" spans="1:8" x14ac:dyDescent="0.25">
      <c r="A2997" s="148">
        <v>44771</v>
      </c>
      <c r="B2997" s="149" t="s">
        <v>24373</v>
      </c>
      <c r="C2997" s="153" t="s">
        <v>11033</v>
      </c>
      <c r="D2997" s="154">
        <v>1817</v>
      </c>
      <c r="E2997" s="155">
        <v>44771</v>
      </c>
      <c r="F2997" s="154">
        <v>1817</v>
      </c>
      <c r="G2997" s="156">
        <f>Tabla18[[#This Row],[Importe]]-Tabla18[[#This Row],[Pagado]]</f>
        <v>0</v>
      </c>
      <c r="H2997" s="153" t="s">
        <v>10</v>
      </c>
    </row>
    <row r="2998" spans="1:8" x14ac:dyDescent="0.25">
      <c r="A2998" s="73">
        <v>44771</v>
      </c>
      <c r="B2998" s="74" t="s">
        <v>24374</v>
      </c>
      <c r="C2998" s="75" t="s">
        <v>24375</v>
      </c>
      <c r="D2998" s="81">
        <v>0</v>
      </c>
      <c r="E2998" s="157" t="s">
        <v>189</v>
      </c>
      <c r="F2998" s="81">
        <v>0</v>
      </c>
      <c r="G2998" s="156">
        <f>Tabla18[[#This Row],[Importe]]-Tabla18[[#This Row],[Pagado]]</f>
        <v>0</v>
      </c>
      <c r="H2998" s="75" t="s">
        <v>189</v>
      </c>
    </row>
    <row r="2999" spans="1:8" x14ac:dyDescent="0.25">
      <c r="A2999" s="148">
        <v>44771</v>
      </c>
      <c r="B2999" s="149" t="s">
        <v>24376</v>
      </c>
      <c r="C2999" s="153" t="s">
        <v>592</v>
      </c>
      <c r="D2999" s="154">
        <v>29854.799999999999</v>
      </c>
      <c r="E2999" s="155">
        <v>44772</v>
      </c>
      <c r="F2999" s="154">
        <v>29854.799999999999</v>
      </c>
      <c r="G2999" s="156">
        <f>Tabla18[[#This Row],[Importe]]-Tabla18[[#This Row],[Pagado]]</f>
        <v>0</v>
      </c>
      <c r="H2999" s="153" t="s">
        <v>10</v>
      </c>
    </row>
    <row r="3000" spans="1:8" x14ac:dyDescent="0.25">
      <c r="A3000" s="73">
        <v>44771</v>
      </c>
      <c r="B3000" s="74" t="s">
        <v>24377</v>
      </c>
      <c r="C3000" s="75" t="s">
        <v>1505</v>
      </c>
      <c r="D3000" s="81">
        <v>4713</v>
      </c>
      <c r="E3000" s="151">
        <v>44771</v>
      </c>
      <c r="F3000" s="81">
        <v>4713</v>
      </c>
      <c r="G3000" s="156">
        <f>Tabla18[[#This Row],[Importe]]-Tabla18[[#This Row],[Pagado]]</f>
        <v>0</v>
      </c>
      <c r="H3000" s="75" t="s">
        <v>10</v>
      </c>
    </row>
    <row r="3001" spans="1:8" x14ac:dyDescent="0.25">
      <c r="A3001" s="148">
        <v>44771</v>
      </c>
      <c r="B3001" s="149" t="s">
        <v>24378</v>
      </c>
      <c r="C3001" s="153" t="s">
        <v>45</v>
      </c>
      <c r="D3001" s="154">
        <v>12998</v>
      </c>
      <c r="E3001" s="155">
        <v>44771</v>
      </c>
      <c r="F3001" s="154">
        <v>12998</v>
      </c>
      <c r="G3001" s="156">
        <f>Tabla18[[#This Row],[Importe]]-Tabla18[[#This Row],[Pagado]]</f>
        <v>0</v>
      </c>
      <c r="H3001" s="153" t="s">
        <v>10</v>
      </c>
    </row>
    <row r="3002" spans="1:8" x14ac:dyDescent="0.25">
      <c r="A3002" s="73">
        <v>44771</v>
      </c>
      <c r="B3002" s="74" t="s">
        <v>24379</v>
      </c>
      <c r="C3002" s="75" t="s">
        <v>56</v>
      </c>
      <c r="D3002" s="81">
        <v>8786</v>
      </c>
      <c r="E3002" s="151">
        <v>44771</v>
      </c>
      <c r="F3002" s="81">
        <v>8786</v>
      </c>
      <c r="G3002" s="156">
        <f>Tabla18[[#This Row],[Importe]]-Tabla18[[#This Row],[Pagado]]</f>
        <v>0</v>
      </c>
      <c r="H3002" s="75" t="s">
        <v>10</v>
      </c>
    </row>
    <row r="3003" spans="1:8" x14ac:dyDescent="0.25">
      <c r="A3003" s="148">
        <v>44771</v>
      </c>
      <c r="B3003" s="149" t="s">
        <v>24380</v>
      </c>
      <c r="C3003" s="153" t="s">
        <v>541</v>
      </c>
      <c r="D3003" s="154">
        <v>16249.7</v>
      </c>
      <c r="E3003" s="155">
        <v>44772</v>
      </c>
      <c r="F3003" s="154">
        <v>16249.7</v>
      </c>
      <c r="G3003" s="156">
        <f>Tabla18[[#This Row],[Importe]]-Tabla18[[#This Row],[Pagado]]</f>
        <v>0</v>
      </c>
      <c r="H3003" s="153" t="s">
        <v>10</v>
      </c>
    </row>
    <row r="3004" spans="1:8" x14ac:dyDescent="0.25">
      <c r="A3004" s="73">
        <v>44771</v>
      </c>
      <c r="B3004" s="74" t="s">
        <v>24381</v>
      </c>
      <c r="C3004" s="75" t="s">
        <v>67</v>
      </c>
      <c r="D3004" s="81">
        <v>6446.7</v>
      </c>
      <c r="E3004" s="151">
        <v>44771</v>
      </c>
      <c r="F3004" s="81">
        <v>6446.7</v>
      </c>
      <c r="G3004" s="156">
        <f>Tabla18[[#This Row],[Importe]]-Tabla18[[#This Row],[Pagado]]</f>
        <v>0</v>
      </c>
      <c r="H3004" s="75" t="s">
        <v>10</v>
      </c>
    </row>
    <row r="3005" spans="1:8" x14ac:dyDescent="0.25">
      <c r="A3005" s="148">
        <v>44771</v>
      </c>
      <c r="B3005" s="149" t="s">
        <v>24382</v>
      </c>
      <c r="C3005" s="153" t="s">
        <v>647</v>
      </c>
      <c r="D3005" s="154">
        <v>6172.3</v>
      </c>
      <c r="E3005" s="155">
        <v>44771</v>
      </c>
      <c r="F3005" s="154">
        <f>2200+3972.3</f>
        <v>6172.3</v>
      </c>
      <c r="G3005" s="156">
        <f>Tabla18[[#This Row],[Importe]]-Tabla18[[#This Row],[Pagado]]</f>
        <v>0</v>
      </c>
      <c r="H3005" s="153" t="s">
        <v>10</v>
      </c>
    </row>
    <row r="3006" spans="1:8" x14ac:dyDescent="0.25">
      <c r="A3006" s="73">
        <v>44771</v>
      </c>
      <c r="B3006" s="74" t="s">
        <v>24383</v>
      </c>
      <c r="C3006" s="75" t="s">
        <v>49</v>
      </c>
      <c r="D3006" s="81">
        <v>5725.7</v>
      </c>
      <c r="E3006" s="151">
        <v>44771</v>
      </c>
      <c r="F3006" s="81">
        <v>5725.7</v>
      </c>
      <c r="G3006" s="156">
        <f>Tabla18[[#This Row],[Importe]]-Tabla18[[#This Row],[Pagado]]</f>
        <v>0</v>
      </c>
      <c r="H3006" s="75" t="s">
        <v>10</v>
      </c>
    </row>
    <row r="3007" spans="1:8" x14ac:dyDescent="0.25">
      <c r="A3007" s="148">
        <v>44771</v>
      </c>
      <c r="B3007" s="149" t="s">
        <v>24384</v>
      </c>
      <c r="C3007" s="153" t="s">
        <v>35</v>
      </c>
      <c r="D3007" s="154">
        <v>6258.8</v>
      </c>
      <c r="E3007" s="155">
        <v>44771</v>
      </c>
      <c r="F3007" s="154">
        <v>6258.8</v>
      </c>
      <c r="G3007" s="156">
        <f>Tabla18[[#This Row],[Importe]]-Tabla18[[#This Row],[Pagado]]</f>
        <v>0</v>
      </c>
      <c r="H3007" s="153" t="s">
        <v>10</v>
      </c>
    </row>
    <row r="3008" spans="1:8" x14ac:dyDescent="0.25">
      <c r="A3008" s="73">
        <v>44771</v>
      </c>
      <c r="B3008" s="74" t="s">
        <v>24385</v>
      </c>
      <c r="C3008" s="75" t="s">
        <v>11383</v>
      </c>
      <c r="D3008" s="81">
        <v>31315.200000000001</v>
      </c>
      <c r="E3008" s="151">
        <v>44771</v>
      </c>
      <c r="F3008" s="81">
        <v>31315.200000000001</v>
      </c>
      <c r="G3008" s="156">
        <f>Tabla18[[#This Row],[Importe]]-Tabla18[[#This Row],[Pagado]]</f>
        <v>0</v>
      </c>
      <c r="H3008" s="75" t="s">
        <v>10</v>
      </c>
    </row>
    <row r="3009" spans="1:8" x14ac:dyDescent="0.25">
      <c r="A3009" s="148">
        <v>44771</v>
      </c>
      <c r="B3009" s="149" t="s">
        <v>24386</v>
      </c>
      <c r="C3009" s="153" t="s">
        <v>849</v>
      </c>
      <c r="D3009" s="154">
        <v>5448</v>
      </c>
      <c r="E3009" s="155">
        <v>44771</v>
      </c>
      <c r="F3009" s="154">
        <v>5448</v>
      </c>
      <c r="G3009" s="156">
        <f>Tabla18[[#This Row],[Importe]]-Tabla18[[#This Row],[Pagado]]</f>
        <v>0</v>
      </c>
      <c r="H3009" s="153" t="s">
        <v>10</v>
      </c>
    </row>
    <row r="3010" spans="1:8" x14ac:dyDescent="0.25">
      <c r="A3010" s="73">
        <v>44771</v>
      </c>
      <c r="B3010" s="74" t="s">
        <v>24387</v>
      </c>
      <c r="C3010" s="75" t="s">
        <v>382</v>
      </c>
      <c r="D3010" s="81">
        <v>5341.8</v>
      </c>
      <c r="E3010" s="151">
        <v>44771</v>
      </c>
      <c r="F3010" s="81">
        <v>5341.8</v>
      </c>
      <c r="G3010" s="156">
        <f>Tabla18[[#This Row],[Importe]]-Tabla18[[#This Row],[Pagado]]</f>
        <v>0</v>
      </c>
      <c r="H3010" s="75" t="s">
        <v>10</v>
      </c>
    </row>
    <row r="3011" spans="1:8" x14ac:dyDescent="0.25">
      <c r="A3011" s="148">
        <v>44771</v>
      </c>
      <c r="B3011" s="149" t="s">
        <v>24388</v>
      </c>
      <c r="C3011" s="153" t="s">
        <v>107</v>
      </c>
      <c r="D3011" s="154">
        <v>17709.099999999999</v>
      </c>
      <c r="E3011" s="155">
        <v>44771</v>
      </c>
      <c r="F3011" s="154">
        <v>17709.099999999999</v>
      </c>
      <c r="G3011" s="156">
        <f>Tabla18[[#This Row],[Importe]]-Tabla18[[#This Row],[Pagado]]</f>
        <v>0</v>
      </c>
      <c r="H3011" s="153" t="s">
        <v>10</v>
      </c>
    </row>
    <row r="3012" spans="1:8" x14ac:dyDescent="0.25">
      <c r="A3012" s="73">
        <v>44771</v>
      </c>
      <c r="B3012" s="74" t="s">
        <v>24389</v>
      </c>
      <c r="C3012" s="75" t="s">
        <v>127</v>
      </c>
      <c r="D3012" s="81">
        <v>5930.6</v>
      </c>
      <c r="E3012" s="151">
        <v>44771</v>
      </c>
      <c r="F3012" s="81">
        <v>5930.6</v>
      </c>
      <c r="G3012" s="156">
        <f>Tabla18[[#This Row],[Importe]]-Tabla18[[#This Row],[Pagado]]</f>
        <v>0</v>
      </c>
      <c r="H3012" s="75" t="s">
        <v>10</v>
      </c>
    </row>
    <row r="3013" spans="1:8" x14ac:dyDescent="0.25">
      <c r="A3013" s="148">
        <v>44771</v>
      </c>
      <c r="B3013" s="149" t="s">
        <v>24390</v>
      </c>
      <c r="C3013" s="153" t="s">
        <v>357</v>
      </c>
      <c r="D3013" s="154">
        <v>624.79999999999995</v>
      </c>
      <c r="E3013" s="155">
        <v>44771</v>
      </c>
      <c r="F3013" s="154">
        <v>624.79999999999995</v>
      </c>
      <c r="G3013" s="156">
        <f>Tabla18[[#This Row],[Importe]]-Tabla18[[#This Row],[Pagado]]</f>
        <v>0</v>
      </c>
      <c r="H3013" s="153" t="s">
        <v>10</v>
      </c>
    </row>
    <row r="3014" spans="1:8" x14ac:dyDescent="0.25">
      <c r="A3014" s="73">
        <v>44771</v>
      </c>
      <c r="B3014" s="74" t="s">
        <v>24391</v>
      </c>
      <c r="C3014" s="75" t="s">
        <v>129</v>
      </c>
      <c r="D3014" s="81">
        <v>1249.5999999999999</v>
      </c>
      <c r="E3014" s="151">
        <v>44771</v>
      </c>
      <c r="F3014" s="81">
        <v>1249.5999999999999</v>
      </c>
      <c r="G3014" s="156">
        <f>Tabla18[[#This Row],[Importe]]-Tabla18[[#This Row],[Pagado]]</f>
        <v>0</v>
      </c>
      <c r="H3014" s="75" t="s">
        <v>10</v>
      </c>
    </row>
    <row r="3015" spans="1:8" x14ac:dyDescent="0.25">
      <c r="A3015" s="148">
        <v>44771</v>
      </c>
      <c r="B3015" s="149" t="s">
        <v>24392</v>
      </c>
      <c r="C3015" s="153" t="s">
        <v>339</v>
      </c>
      <c r="D3015" s="154">
        <v>677.6</v>
      </c>
      <c r="E3015" s="155">
        <v>44771</v>
      </c>
      <c r="F3015" s="154">
        <v>677.6</v>
      </c>
      <c r="G3015" s="156">
        <f>Tabla18[[#This Row],[Importe]]-Tabla18[[#This Row],[Pagado]]</f>
        <v>0</v>
      </c>
      <c r="H3015" s="153" t="s">
        <v>10</v>
      </c>
    </row>
    <row r="3016" spans="1:8" x14ac:dyDescent="0.25">
      <c r="A3016" s="73">
        <v>44771</v>
      </c>
      <c r="B3016" s="74" t="s">
        <v>24393</v>
      </c>
      <c r="C3016" s="75" t="s">
        <v>181</v>
      </c>
      <c r="D3016" s="81">
        <v>8213.4</v>
      </c>
      <c r="E3016" s="151">
        <v>44771</v>
      </c>
      <c r="F3016" s="81">
        <v>8213.4</v>
      </c>
      <c r="G3016" s="156">
        <f>Tabla18[[#This Row],[Importe]]-Tabla18[[#This Row],[Pagado]]</f>
        <v>0</v>
      </c>
      <c r="H3016" s="75" t="s">
        <v>10</v>
      </c>
    </row>
    <row r="3017" spans="1:8" x14ac:dyDescent="0.25">
      <c r="A3017" s="148">
        <v>44771</v>
      </c>
      <c r="B3017" s="149" t="s">
        <v>24394</v>
      </c>
      <c r="C3017" s="153" t="s">
        <v>275</v>
      </c>
      <c r="D3017" s="154">
        <v>19624.400000000001</v>
      </c>
      <c r="E3017" s="155">
        <v>44789</v>
      </c>
      <c r="F3017" s="154">
        <v>19624.400000000001</v>
      </c>
      <c r="G3017" s="156">
        <f>Tabla18[[#This Row],[Importe]]-Tabla18[[#This Row],[Pagado]]</f>
        <v>0</v>
      </c>
      <c r="H3017" s="153" t="s">
        <v>10</v>
      </c>
    </row>
    <row r="3018" spans="1:8" x14ac:dyDescent="0.25">
      <c r="A3018" s="73">
        <v>44771</v>
      </c>
      <c r="B3018" s="74" t="s">
        <v>24395</v>
      </c>
      <c r="C3018" s="75" t="s">
        <v>24</v>
      </c>
      <c r="D3018" s="81">
        <v>5091.5</v>
      </c>
      <c r="E3018" s="151">
        <v>44771</v>
      </c>
      <c r="F3018" s="81">
        <v>5091.5</v>
      </c>
      <c r="G3018" s="156">
        <f>Tabla18[[#This Row],[Importe]]-Tabla18[[#This Row],[Pagado]]</f>
        <v>0</v>
      </c>
      <c r="H3018" s="75" t="s">
        <v>10</v>
      </c>
    </row>
    <row r="3019" spans="1:8" x14ac:dyDescent="0.25">
      <c r="A3019" s="148">
        <v>44771</v>
      </c>
      <c r="B3019" s="149" t="s">
        <v>24396</v>
      </c>
      <c r="C3019" s="153" t="s">
        <v>1003</v>
      </c>
      <c r="D3019" s="154">
        <v>8080.8</v>
      </c>
      <c r="E3019" s="155">
        <v>44773</v>
      </c>
      <c r="F3019" s="154">
        <v>8080.8</v>
      </c>
      <c r="G3019" s="156">
        <f>Tabla18[[#This Row],[Importe]]-Tabla18[[#This Row],[Pagado]]</f>
        <v>0</v>
      </c>
      <c r="H3019" s="153" t="s">
        <v>10</v>
      </c>
    </row>
    <row r="3020" spans="1:8" x14ac:dyDescent="0.25">
      <c r="A3020" s="73">
        <v>44771</v>
      </c>
      <c r="B3020" s="74" t="s">
        <v>24397</v>
      </c>
      <c r="C3020" s="75" t="s">
        <v>654</v>
      </c>
      <c r="D3020" s="81">
        <v>9907.2000000000007</v>
      </c>
      <c r="E3020" s="151">
        <v>44772</v>
      </c>
      <c r="F3020" s="81">
        <v>9907.2000000000007</v>
      </c>
      <c r="G3020" s="156">
        <f>Tabla18[[#This Row],[Importe]]-Tabla18[[#This Row],[Pagado]]</f>
        <v>0</v>
      </c>
      <c r="H3020" s="75" t="s">
        <v>10</v>
      </c>
    </row>
    <row r="3021" spans="1:8" x14ac:dyDescent="0.25">
      <c r="A3021" s="148">
        <v>44771</v>
      </c>
      <c r="B3021" s="149" t="s">
        <v>24398</v>
      </c>
      <c r="C3021" s="153" t="s">
        <v>175</v>
      </c>
      <c r="D3021" s="154">
        <v>32395.9</v>
      </c>
      <c r="E3021" s="155">
        <v>44771</v>
      </c>
      <c r="F3021" s="154">
        <v>32395.9</v>
      </c>
      <c r="G3021" s="156">
        <f>Tabla18[[#This Row],[Importe]]-Tabla18[[#This Row],[Pagado]]</f>
        <v>0</v>
      </c>
      <c r="H3021" s="153" t="s">
        <v>10</v>
      </c>
    </row>
    <row r="3022" spans="1:8" x14ac:dyDescent="0.25">
      <c r="A3022" s="73">
        <v>44771</v>
      </c>
      <c r="B3022" s="74" t="s">
        <v>24399</v>
      </c>
      <c r="C3022" s="75" t="s">
        <v>289</v>
      </c>
      <c r="D3022" s="81">
        <v>15990.7</v>
      </c>
      <c r="E3022" s="151">
        <v>44771</v>
      </c>
      <c r="F3022" s="81">
        <v>15990.7</v>
      </c>
      <c r="G3022" s="156">
        <f>Tabla18[[#This Row],[Importe]]-Tabla18[[#This Row],[Pagado]]</f>
        <v>0</v>
      </c>
      <c r="H3022" s="75" t="s">
        <v>10</v>
      </c>
    </row>
    <row r="3023" spans="1:8" x14ac:dyDescent="0.25">
      <c r="A3023" s="148">
        <v>44771</v>
      </c>
      <c r="B3023" s="149" t="s">
        <v>24400</v>
      </c>
      <c r="C3023" s="153" t="s">
        <v>31</v>
      </c>
      <c r="D3023" s="154">
        <v>5920</v>
      </c>
      <c r="E3023" s="155">
        <v>44771</v>
      </c>
      <c r="F3023" s="154">
        <v>5920</v>
      </c>
      <c r="G3023" s="156">
        <f>Tabla18[[#This Row],[Importe]]-Tabla18[[#This Row],[Pagado]]</f>
        <v>0</v>
      </c>
      <c r="H3023" s="153" t="s">
        <v>10</v>
      </c>
    </row>
    <row r="3024" spans="1:8" x14ac:dyDescent="0.25">
      <c r="A3024" s="73">
        <v>44771</v>
      </c>
      <c r="B3024" s="74" t="s">
        <v>24401</v>
      </c>
      <c r="C3024" s="75" t="s">
        <v>175</v>
      </c>
      <c r="D3024" s="81">
        <v>4889.5</v>
      </c>
      <c r="E3024" s="151">
        <v>44771</v>
      </c>
      <c r="F3024" s="81">
        <v>4889.5</v>
      </c>
      <c r="G3024" s="156">
        <f>Tabla18[[#This Row],[Importe]]-Tabla18[[#This Row],[Pagado]]</f>
        <v>0</v>
      </c>
      <c r="H3024" s="75" t="s">
        <v>10</v>
      </c>
    </row>
    <row r="3025" spans="1:8" x14ac:dyDescent="0.25">
      <c r="A3025" s="148">
        <v>44771</v>
      </c>
      <c r="B3025" s="149" t="s">
        <v>24402</v>
      </c>
      <c r="C3025" s="153" t="s">
        <v>200</v>
      </c>
      <c r="D3025" s="154">
        <v>1496.4</v>
      </c>
      <c r="E3025" s="155">
        <v>44771</v>
      </c>
      <c r="F3025" s="154">
        <v>1496.4</v>
      </c>
      <c r="G3025" s="156">
        <f>Tabla18[[#This Row],[Importe]]-Tabla18[[#This Row],[Pagado]]</f>
        <v>0</v>
      </c>
      <c r="H3025" s="153" t="s">
        <v>10</v>
      </c>
    </row>
    <row r="3026" spans="1:8" x14ac:dyDescent="0.25">
      <c r="A3026" s="73">
        <v>44771</v>
      </c>
      <c r="B3026" s="74" t="s">
        <v>24403</v>
      </c>
      <c r="C3026" s="75" t="s">
        <v>142</v>
      </c>
      <c r="D3026" s="81">
        <v>9222</v>
      </c>
      <c r="E3026" s="151">
        <v>44837</v>
      </c>
      <c r="F3026" s="81">
        <v>9222</v>
      </c>
      <c r="G3026" s="156">
        <f>Tabla18[[#This Row],[Importe]]-Tabla18[[#This Row],[Pagado]]</f>
        <v>0</v>
      </c>
      <c r="H3026" s="75" t="s">
        <v>10</v>
      </c>
    </row>
    <row r="3027" spans="1:8" x14ac:dyDescent="0.25">
      <c r="A3027" s="148">
        <v>44771</v>
      </c>
      <c r="B3027" s="149" t="s">
        <v>24404</v>
      </c>
      <c r="C3027" s="153" t="s">
        <v>19637</v>
      </c>
      <c r="D3027" s="154">
        <v>2658.2</v>
      </c>
      <c r="E3027" s="155">
        <v>44786</v>
      </c>
      <c r="F3027" s="154">
        <v>2658.2</v>
      </c>
      <c r="G3027" s="156">
        <f>Tabla18[[#This Row],[Importe]]-Tabla18[[#This Row],[Pagado]]</f>
        <v>0</v>
      </c>
      <c r="H3027" s="153" t="s">
        <v>4814</v>
      </c>
    </row>
    <row r="3028" spans="1:8" x14ac:dyDescent="0.25">
      <c r="A3028" s="73">
        <v>44771</v>
      </c>
      <c r="B3028" s="74" t="s">
        <v>24405</v>
      </c>
      <c r="C3028" s="75" t="s">
        <v>51</v>
      </c>
      <c r="D3028" s="81">
        <v>3652</v>
      </c>
      <c r="E3028" s="151">
        <v>44771</v>
      </c>
      <c r="F3028" s="81">
        <v>3652</v>
      </c>
      <c r="G3028" s="156">
        <f>Tabla18[[#This Row],[Importe]]-Tabla18[[#This Row],[Pagado]]</f>
        <v>0</v>
      </c>
      <c r="H3028" s="75" t="s">
        <v>10</v>
      </c>
    </row>
    <row r="3029" spans="1:8" x14ac:dyDescent="0.25">
      <c r="A3029" s="148">
        <v>44771</v>
      </c>
      <c r="B3029" s="149" t="s">
        <v>24406</v>
      </c>
      <c r="C3029" s="153" t="s">
        <v>31</v>
      </c>
      <c r="D3029" s="154">
        <v>913.5</v>
      </c>
      <c r="E3029" s="155">
        <v>44771</v>
      </c>
      <c r="F3029" s="154">
        <v>913.5</v>
      </c>
      <c r="G3029" s="156">
        <f>Tabla18[[#This Row],[Importe]]-Tabla18[[#This Row],[Pagado]]</f>
        <v>0</v>
      </c>
      <c r="H3029" s="153" t="s">
        <v>10</v>
      </c>
    </row>
    <row r="3030" spans="1:8" x14ac:dyDescent="0.25">
      <c r="A3030" s="73">
        <v>44771</v>
      </c>
      <c r="B3030" s="74" t="s">
        <v>24407</v>
      </c>
      <c r="C3030" s="75" t="s">
        <v>1481</v>
      </c>
      <c r="D3030" s="81">
        <v>1344.4</v>
      </c>
      <c r="E3030" s="151">
        <v>44771</v>
      </c>
      <c r="F3030" s="81">
        <v>1344.4</v>
      </c>
      <c r="G3030" s="156">
        <f>Tabla18[[#This Row],[Importe]]-Tabla18[[#This Row],[Pagado]]</f>
        <v>0</v>
      </c>
      <c r="H3030" s="75" t="s">
        <v>10</v>
      </c>
    </row>
    <row r="3031" spans="1:8" x14ac:dyDescent="0.25">
      <c r="A3031" s="148">
        <v>44771</v>
      </c>
      <c r="B3031" s="149" t="s">
        <v>24408</v>
      </c>
      <c r="C3031" s="153" t="s">
        <v>647</v>
      </c>
      <c r="D3031" s="154">
        <v>879.6</v>
      </c>
      <c r="E3031" s="155">
        <v>44771</v>
      </c>
      <c r="F3031" s="154">
        <v>879.6</v>
      </c>
      <c r="G3031" s="156">
        <f>Tabla18[[#This Row],[Importe]]-Tabla18[[#This Row],[Pagado]]</f>
        <v>0</v>
      </c>
      <c r="H3031" s="153" t="s">
        <v>10</v>
      </c>
    </row>
    <row r="3032" spans="1:8" x14ac:dyDescent="0.25">
      <c r="A3032" s="73">
        <v>44771</v>
      </c>
      <c r="B3032" s="74" t="s">
        <v>24409</v>
      </c>
      <c r="C3032" s="75" t="s">
        <v>191</v>
      </c>
      <c r="D3032" s="81">
        <v>524.70000000000005</v>
      </c>
      <c r="E3032" s="151">
        <v>44771</v>
      </c>
      <c r="F3032" s="81">
        <v>524.70000000000005</v>
      </c>
      <c r="G3032" s="156">
        <f>Tabla18[[#This Row],[Importe]]-Tabla18[[#This Row],[Pagado]]</f>
        <v>0</v>
      </c>
      <c r="H3032" s="75" t="s">
        <v>10</v>
      </c>
    </row>
    <row r="3033" spans="1:8" x14ac:dyDescent="0.25">
      <c r="A3033" s="148">
        <v>44771</v>
      </c>
      <c r="B3033" s="149" t="s">
        <v>24410</v>
      </c>
      <c r="C3033" s="153" t="s">
        <v>244</v>
      </c>
      <c r="D3033" s="154">
        <v>1210</v>
      </c>
      <c r="E3033" s="155">
        <v>44771</v>
      </c>
      <c r="F3033" s="154">
        <v>1210</v>
      </c>
      <c r="G3033" s="156">
        <f>Tabla18[[#This Row],[Importe]]-Tabla18[[#This Row],[Pagado]]</f>
        <v>0</v>
      </c>
      <c r="H3033" s="153" t="s">
        <v>10</v>
      </c>
    </row>
    <row r="3034" spans="1:8" x14ac:dyDescent="0.25">
      <c r="A3034" s="73">
        <v>44771</v>
      </c>
      <c r="B3034" s="74" t="s">
        <v>24411</v>
      </c>
      <c r="C3034" s="75" t="s">
        <v>9827</v>
      </c>
      <c r="D3034" s="81">
        <v>5289.6</v>
      </c>
      <c r="E3034" s="151">
        <v>44771</v>
      </c>
      <c r="F3034" s="81">
        <v>5289.6</v>
      </c>
      <c r="G3034" s="156">
        <f>Tabla18[[#This Row],[Importe]]-Tabla18[[#This Row],[Pagado]]</f>
        <v>0</v>
      </c>
      <c r="H3034" s="75" t="s">
        <v>10</v>
      </c>
    </row>
    <row r="3035" spans="1:8" x14ac:dyDescent="0.25">
      <c r="A3035" s="148">
        <v>44771</v>
      </c>
      <c r="B3035" s="149" t="s">
        <v>24412</v>
      </c>
      <c r="C3035" s="153" t="s">
        <v>67</v>
      </c>
      <c r="D3035" s="154">
        <v>13011.7</v>
      </c>
      <c r="E3035" s="155">
        <v>44771</v>
      </c>
      <c r="F3035" s="154">
        <v>13011.7</v>
      </c>
      <c r="G3035" s="156">
        <f>Tabla18[[#This Row],[Importe]]-Tabla18[[#This Row],[Pagado]]</f>
        <v>0</v>
      </c>
      <c r="H3035" s="153" t="s">
        <v>10</v>
      </c>
    </row>
    <row r="3036" spans="1:8" x14ac:dyDescent="0.25">
      <c r="A3036" s="73">
        <v>44771</v>
      </c>
      <c r="B3036" s="74" t="s">
        <v>24413</v>
      </c>
      <c r="C3036" s="75" t="s">
        <v>97</v>
      </c>
      <c r="D3036" s="81">
        <v>2224.4</v>
      </c>
      <c r="E3036" s="151">
        <v>44771</v>
      </c>
      <c r="F3036" s="81">
        <v>2224.4</v>
      </c>
      <c r="G3036" s="156">
        <f>Tabla18[[#This Row],[Importe]]-Tabla18[[#This Row],[Pagado]]</f>
        <v>0</v>
      </c>
      <c r="H3036" s="75" t="s">
        <v>10</v>
      </c>
    </row>
    <row r="3037" spans="1:8" x14ac:dyDescent="0.25">
      <c r="A3037" s="148">
        <v>44771</v>
      </c>
      <c r="B3037" s="149" t="s">
        <v>24414</v>
      </c>
      <c r="C3037" s="153" t="s">
        <v>31</v>
      </c>
      <c r="D3037" s="154">
        <v>722.1</v>
      </c>
      <c r="E3037" s="155">
        <v>44771</v>
      </c>
      <c r="F3037" s="154">
        <v>722.1</v>
      </c>
      <c r="G3037" s="156">
        <f>Tabla18[[#This Row],[Importe]]-Tabla18[[#This Row],[Pagado]]</f>
        <v>0</v>
      </c>
      <c r="H3037" s="153" t="s">
        <v>10</v>
      </c>
    </row>
    <row r="3038" spans="1:8" x14ac:dyDescent="0.25">
      <c r="A3038" s="73">
        <v>44771</v>
      </c>
      <c r="B3038" s="74" t="s">
        <v>24415</v>
      </c>
      <c r="C3038" s="75" t="s">
        <v>2377</v>
      </c>
      <c r="D3038" s="81">
        <v>18000</v>
      </c>
      <c r="E3038" s="151">
        <v>44771</v>
      </c>
      <c r="F3038" s="81">
        <v>18000</v>
      </c>
      <c r="G3038" s="156">
        <f>Tabla18[[#This Row],[Importe]]-Tabla18[[#This Row],[Pagado]]</f>
        <v>0</v>
      </c>
      <c r="H3038" s="75" t="s">
        <v>10</v>
      </c>
    </row>
    <row r="3039" spans="1:8" x14ac:dyDescent="0.25">
      <c r="A3039" s="148">
        <v>44771</v>
      </c>
      <c r="B3039" s="149" t="s">
        <v>24416</v>
      </c>
      <c r="C3039" s="153" t="s">
        <v>275</v>
      </c>
      <c r="D3039" s="154">
        <v>175487</v>
      </c>
      <c r="E3039" s="155">
        <v>44789</v>
      </c>
      <c r="F3039" s="154">
        <v>175487</v>
      </c>
      <c r="G3039" s="156">
        <f>Tabla18[[#This Row],[Importe]]-Tabla18[[#This Row],[Pagado]]</f>
        <v>0</v>
      </c>
      <c r="H3039" s="153" t="s">
        <v>10</v>
      </c>
    </row>
    <row r="3040" spans="1:8" x14ac:dyDescent="0.25">
      <c r="A3040" s="73">
        <v>44771</v>
      </c>
      <c r="B3040" s="74" t="s">
        <v>24417</v>
      </c>
      <c r="C3040" s="75" t="s">
        <v>555</v>
      </c>
      <c r="D3040" s="81">
        <v>27585.599999999999</v>
      </c>
      <c r="E3040" s="151">
        <v>44771</v>
      </c>
      <c r="F3040" s="81">
        <v>27585.599999999999</v>
      </c>
      <c r="G3040" s="156">
        <f>Tabla18[[#This Row],[Importe]]-Tabla18[[#This Row],[Pagado]]</f>
        <v>0</v>
      </c>
      <c r="H3040" s="75" t="s">
        <v>10</v>
      </c>
    </row>
    <row r="3041" spans="1:8" x14ac:dyDescent="0.25">
      <c r="A3041" s="148">
        <v>44771</v>
      </c>
      <c r="B3041" s="149" t="s">
        <v>24418</v>
      </c>
      <c r="C3041" s="153" t="s">
        <v>27</v>
      </c>
      <c r="D3041" s="154">
        <v>2560</v>
      </c>
      <c r="E3041" s="155">
        <v>44771</v>
      </c>
      <c r="F3041" s="154">
        <v>2560</v>
      </c>
      <c r="G3041" s="156">
        <f>Tabla18[[#This Row],[Importe]]-Tabla18[[#This Row],[Pagado]]</f>
        <v>0</v>
      </c>
      <c r="H3041" s="153" t="s">
        <v>10</v>
      </c>
    </row>
    <row r="3042" spans="1:8" x14ac:dyDescent="0.25">
      <c r="A3042" s="73">
        <v>44771</v>
      </c>
      <c r="B3042" s="74" t="s">
        <v>24419</v>
      </c>
      <c r="C3042" s="75" t="s">
        <v>19879</v>
      </c>
      <c r="D3042" s="81">
        <v>0</v>
      </c>
      <c r="E3042" s="157" t="s">
        <v>189</v>
      </c>
      <c r="F3042" s="81">
        <v>0</v>
      </c>
      <c r="G3042" s="156">
        <f>Tabla18[[#This Row],[Importe]]-Tabla18[[#This Row],[Pagado]]</f>
        <v>0</v>
      </c>
      <c r="H3042" s="161" t="s">
        <v>24420</v>
      </c>
    </row>
    <row r="3043" spans="1:8" x14ac:dyDescent="0.25">
      <c r="A3043" s="148">
        <v>44771</v>
      </c>
      <c r="B3043" s="149" t="s">
        <v>24421</v>
      </c>
      <c r="C3043" s="153" t="s">
        <v>698</v>
      </c>
      <c r="D3043" s="154">
        <v>6975.9</v>
      </c>
      <c r="E3043" s="155">
        <v>44771</v>
      </c>
      <c r="F3043" s="154">
        <v>6975.9</v>
      </c>
      <c r="G3043" s="156">
        <f>Tabla18[[#This Row],[Importe]]-Tabla18[[#This Row],[Pagado]]</f>
        <v>0</v>
      </c>
      <c r="H3043" s="153" t="s">
        <v>10</v>
      </c>
    </row>
    <row r="3044" spans="1:8" x14ac:dyDescent="0.25">
      <c r="A3044" s="73">
        <v>44771</v>
      </c>
      <c r="B3044" s="74" t="s">
        <v>24422</v>
      </c>
      <c r="C3044" s="75" t="s">
        <v>214</v>
      </c>
      <c r="D3044" s="81">
        <v>1653</v>
      </c>
      <c r="E3044" s="151">
        <v>44771</v>
      </c>
      <c r="F3044" s="81">
        <v>1653</v>
      </c>
      <c r="G3044" s="156">
        <f>Tabla18[[#This Row],[Importe]]-Tabla18[[#This Row],[Pagado]]</f>
        <v>0</v>
      </c>
      <c r="H3044" s="75" t="s">
        <v>10</v>
      </c>
    </row>
    <row r="3045" spans="1:8" x14ac:dyDescent="0.25">
      <c r="A3045" s="148">
        <v>44771</v>
      </c>
      <c r="B3045" s="149" t="s">
        <v>24423</v>
      </c>
      <c r="C3045" s="153" t="s">
        <v>409</v>
      </c>
      <c r="D3045" s="154">
        <v>10200.6</v>
      </c>
      <c r="E3045" s="155">
        <v>44776</v>
      </c>
      <c r="F3045" s="154">
        <v>10200.6</v>
      </c>
      <c r="G3045" s="156">
        <f>Tabla18[[#This Row],[Importe]]-Tabla18[[#This Row],[Pagado]]</f>
        <v>0</v>
      </c>
      <c r="H3045" s="153" t="s">
        <v>10</v>
      </c>
    </row>
    <row r="3046" spans="1:8" x14ac:dyDescent="0.25">
      <c r="A3046" s="73">
        <v>44771</v>
      </c>
      <c r="B3046" s="74" t="s">
        <v>24424</v>
      </c>
      <c r="C3046" s="75" t="s">
        <v>31</v>
      </c>
      <c r="D3046" s="81">
        <v>252.4</v>
      </c>
      <c r="E3046" s="151">
        <v>44771</v>
      </c>
      <c r="F3046" s="81">
        <v>252.4</v>
      </c>
      <c r="G3046" s="156">
        <f>Tabla18[[#This Row],[Importe]]-Tabla18[[#This Row],[Pagado]]</f>
        <v>0</v>
      </c>
      <c r="H3046" s="75" t="s">
        <v>10</v>
      </c>
    </row>
    <row r="3047" spans="1:8" x14ac:dyDescent="0.25">
      <c r="A3047" s="148">
        <v>44771</v>
      </c>
      <c r="B3047" s="149" t="s">
        <v>24425</v>
      </c>
      <c r="C3047" s="153" t="s">
        <v>296</v>
      </c>
      <c r="D3047" s="154">
        <v>2479.1999999999998</v>
      </c>
      <c r="E3047" s="155">
        <v>44771</v>
      </c>
      <c r="F3047" s="154">
        <v>2479.1999999999998</v>
      </c>
      <c r="G3047" s="156">
        <f>Tabla18[[#This Row],[Importe]]-Tabla18[[#This Row],[Pagado]]</f>
        <v>0</v>
      </c>
      <c r="H3047" s="153" t="s">
        <v>10</v>
      </c>
    </row>
    <row r="3048" spans="1:8" x14ac:dyDescent="0.25">
      <c r="A3048" s="73">
        <v>44771</v>
      </c>
      <c r="B3048" s="74" t="s">
        <v>24426</v>
      </c>
      <c r="C3048" s="75" t="s">
        <v>191</v>
      </c>
      <c r="D3048" s="81">
        <v>876.9</v>
      </c>
      <c r="E3048" s="151">
        <v>44771</v>
      </c>
      <c r="F3048" s="81">
        <v>876.9</v>
      </c>
      <c r="G3048" s="156">
        <f>Tabla18[[#This Row],[Importe]]-Tabla18[[#This Row],[Pagado]]</f>
        <v>0</v>
      </c>
      <c r="H3048" s="75" t="s">
        <v>10</v>
      </c>
    </row>
    <row r="3049" spans="1:8" x14ac:dyDescent="0.25">
      <c r="A3049" s="148">
        <v>44771</v>
      </c>
      <c r="B3049" s="149" t="s">
        <v>24427</v>
      </c>
      <c r="C3049" s="153" t="s">
        <v>31</v>
      </c>
      <c r="D3049" s="154">
        <v>650</v>
      </c>
      <c r="E3049" s="155">
        <v>44771</v>
      </c>
      <c r="F3049" s="154">
        <v>650</v>
      </c>
      <c r="G3049" s="156">
        <f>Tabla18[[#This Row],[Importe]]-Tabla18[[#This Row],[Pagado]]</f>
        <v>0</v>
      </c>
      <c r="H3049" s="153" t="s">
        <v>10</v>
      </c>
    </row>
    <row r="3050" spans="1:8" x14ac:dyDescent="0.25">
      <c r="A3050" s="73">
        <v>44771</v>
      </c>
      <c r="B3050" s="74" t="s">
        <v>24428</v>
      </c>
      <c r="C3050" s="75" t="s">
        <v>421</v>
      </c>
      <c r="D3050" s="81">
        <v>11546</v>
      </c>
      <c r="E3050" s="151">
        <v>44781</v>
      </c>
      <c r="F3050" s="81">
        <v>11546</v>
      </c>
      <c r="G3050" s="156">
        <f>Tabla18[[#This Row],[Importe]]-Tabla18[[#This Row],[Pagado]]</f>
        <v>0</v>
      </c>
      <c r="H3050" s="75" t="s">
        <v>10</v>
      </c>
    </row>
    <row r="3051" spans="1:8" x14ac:dyDescent="0.25">
      <c r="A3051" s="148">
        <v>44771</v>
      </c>
      <c r="B3051" s="149" t="s">
        <v>24429</v>
      </c>
      <c r="C3051" s="153" t="s">
        <v>31</v>
      </c>
      <c r="D3051" s="154">
        <v>1411</v>
      </c>
      <c r="E3051" s="155">
        <v>44771</v>
      </c>
      <c r="F3051" s="154">
        <v>1411</v>
      </c>
      <c r="G3051" s="156">
        <f>Tabla18[[#This Row],[Importe]]-Tabla18[[#This Row],[Pagado]]</f>
        <v>0</v>
      </c>
      <c r="H3051" s="153" t="s">
        <v>10</v>
      </c>
    </row>
    <row r="3052" spans="1:8" x14ac:dyDescent="0.25">
      <c r="A3052" s="73">
        <v>44771</v>
      </c>
      <c r="B3052" s="74" t="s">
        <v>24430</v>
      </c>
      <c r="C3052" s="75" t="s">
        <v>10678</v>
      </c>
      <c r="D3052" s="81">
        <v>5223.6000000000004</v>
      </c>
      <c r="E3052" s="151">
        <v>44771</v>
      </c>
      <c r="F3052" s="81">
        <v>5223.6000000000004</v>
      </c>
      <c r="G3052" s="156">
        <f>Tabla18[[#This Row],[Importe]]-Tabla18[[#This Row],[Pagado]]</f>
        <v>0</v>
      </c>
      <c r="H3052" s="75" t="s">
        <v>10</v>
      </c>
    </row>
    <row r="3053" spans="1:8" x14ac:dyDescent="0.25">
      <c r="A3053" s="148">
        <v>44771</v>
      </c>
      <c r="B3053" s="149" t="s">
        <v>24431</v>
      </c>
      <c r="C3053" s="153" t="s">
        <v>5345</v>
      </c>
      <c r="D3053" s="154">
        <v>8649.2999999999993</v>
      </c>
      <c r="E3053" s="155">
        <v>44772</v>
      </c>
      <c r="F3053" s="154">
        <v>8649.2999999999993</v>
      </c>
      <c r="G3053" s="156">
        <f>Tabla18[[#This Row],[Importe]]-Tabla18[[#This Row],[Pagado]]</f>
        <v>0</v>
      </c>
      <c r="H3053" s="153" t="s">
        <v>10</v>
      </c>
    </row>
    <row r="3054" spans="1:8" x14ac:dyDescent="0.25">
      <c r="A3054" s="73">
        <v>44771</v>
      </c>
      <c r="B3054" s="74" t="s">
        <v>24432</v>
      </c>
      <c r="C3054" s="75" t="s">
        <v>280</v>
      </c>
      <c r="D3054" s="81">
        <v>2418.6</v>
      </c>
      <c r="E3054" s="151">
        <v>44772</v>
      </c>
      <c r="F3054" s="81">
        <v>2418.6</v>
      </c>
      <c r="G3054" s="156">
        <f>Tabla18[[#This Row],[Importe]]-Tabla18[[#This Row],[Pagado]]</f>
        <v>0</v>
      </c>
      <c r="H3054" s="75" t="s">
        <v>10</v>
      </c>
    </row>
    <row r="3055" spans="1:8" x14ac:dyDescent="0.25">
      <c r="A3055" s="148">
        <v>44771</v>
      </c>
      <c r="B3055" s="149" t="s">
        <v>24433</v>
      </c>
      <c r="C3055" s="153" t="s">
        <v>69</v>
      </c>
      <c r="D3055" s="154">
        <v>2612.4</v>
      </c>
      <c r="E3055" s="155">
        <v>44771</v>
      </c>
      <c r="F3055" s="154">
        <v>2612.4</v>
      </c>
      <c r="G3055" s="156">
        <f>Tabla18[[#This Row],[Importe]]-Tabla18[[#This Row],[Pagado]]</f>
        <v>0</v>
      </c>
      <c r="H3055" s="153" t="s">
        <v>10</v>
      </c>
    </row>
    <row r="3056" spans="1:8" x14ac:dyDescent="0.25">
      <c r="A3056" s="73">
        <v>44771</v>
      </c>
      <c r="B3056" s="74" t="s">
        <v>24434</v>
      </c>
      <c r="C3056" s="75" t="s">
        <v>282</v>
      </c>
      <c r="D3056" s="81">
        <v>2566.5</v>
      </c>
      <c r="E3056" s="151">
        <v>44772</v>
      </c>
      <c r="F3056" s="81">
        <v>2566.5</v>
      </c>
      <c r="G3056" s="156">
        <f>Tabla18[[#This Row],[Importe]]-Tabla18[[#This Row],[Pagado]]</f>
        <v>0</v>
      </c>
      <c r="H3056" s="75" t="s">
        <v>10</v>
      </c>
    </row>
    <row r="3057" spans="1:8" x14ac:dyDescent="0.25">
      <c r="A3057" s="148">
        <v>44771</v>
      </c>
      <c r="B3057" s="149" t="s">
        <v>24435</v>
      </c>
      <c r="C3057" s="153" t="s">
        <v>10819</v>
      </c>
      <c r="D3057" s="154">
        <v>1475.5</v>
      </c>
      <c r="E3057" s="155">
        <v>44772</v>
      </c>
      <c r="F3057" s="154">
        <v>1475.5</v>
      </c>
      <c r="G3057" s="156">
        <f>Tabla18[[#This Row],[Importe]]-Tabla18[[#This Row],[Pagado]]</f>
        <v>0</v>
      </c>
      <c r="H3057" s="153" t="s">
        <v>10</v>
      </c>
    </row>
    <row r="3058" spans="1:8" x14ac:dyDescent="0.25">
      <c r="A3058" s="73">
        <v>44771</v>
      </c>
      <c r="B3058" s="74" t="s">
        <v>24436</v>
      </c>
      <c r="C3058" s="75" t="s">
        <v>31</v>
      </c>
      <c r="D3058" s="81">
        <v>533</v>
      </c>
      <c r="E3058" s="151">
        <v>44771</v>
      </c>
      <c r="F3058" s="81">
        <v>533</v>
      </c>
      <c r="G3058" s="156">
        <f>Tabla18[[#This Row],[Importe]]-Tabla18[[#This Row],[Pagado]]</f>
        <v>0</v>
      </c>
      <c r="H3058" s="75" t="s">
        <v>10</v>
      </c>
    </row>
    <row r="3059" spans="1:8" x14ac:dyDescent="0.25">
      <c r="A3059" s="148">
        <v>44771</v>
      </c>
      <c r="B3059" s="149" t="s">
        <v>24437</v>
      </c>
      <c r="C3059" s="153" t="s">
        <v>179</v>
      </c>
      <c r="D3059" s="154">
        <v>2610</v>
      </c>
      <c r="E3059" s="155">
        <v>44772</v>
      </c>
      <c r="F3059" s="154">
        <v>2610</v>
      </c>
      <c r="G3059" s="156">
        <f>Tabla18[[#This Row],[Importe]]-Tabla18[[#This Row],[Pagado]]</f>
        <v>0</v>
      </c>
      <c r="H3059" s="153" t="s">
        <v>10</v>
      </c>
    </row>
    <row r="3060" spans="1:8" x14ac:dyDescent="0.25">
      <c r="A3060" s="73">
        <v>44771</v>
      </c>
      <c r="B3060" s="74" t="s">
        <v>24438</v>
      </c>
      <c r="C3060" s="75" t="s">
        <v>365</v>
      </c>
      <c r="D3060" s="81">
        <v>1829.2</v>
      </c>
      <c r="E3060" s="151">
        <v>44771</v>
      </c>
      <c r="F3060" s="81">
        <v>1829.2</v>
      </c>
      <c r="G3060" s="156">
        <f>Tabla18[[#This Row],[Importe]]-Tabla18[[#This Row],[Pagado]]</f>
        <v>0</v>
      </c>
      <c r="H3060" s="75" t="s">
        <v>10</v>
      </c>
    </row>
    <row r="3061" spans="1:8" x14ac:dyDescent="0.25">
      <c r="A3061" s="148">
        <v>44771</v>
      </c>
      <c r="B3061" s="149" t="s">
        <v>24439</v>
      </c>
      <c r="C3061" s="153" t="s">
        <v>450</v>
      </c>
      <c r="D3061" s="154">
        <v>8123.9</v>
      </c>
      <c r="E3061" s="155">
        <v>44768</v>
      </c>
      <c r="F3061" s="154">
        <v>8123.9</v>
      </c>
      <c r="G3061" s="156">
        <f>Tabla18[[#This Row],[Importe]]-Tabla18[[#This Row],[Pagado]]</f>
        <v>0</v>
      </c>
      <c r="H3061" s="153" t="s">
        <v>10</v>
      </c>
    </row>
    <row r="3062" spans="1:8" x14ac:dyDescent="0.25">
      <c r="A3062" s="73">
        <v>44771</v>
      </c>
      <c r="B3062" s="74" t="s">
        <v>24440</v>
      </c>
      <c r="C3062" s="75" t="s">
        <v>857</v>
      </c>
      <c r="D3062" s="81">
        <v>1315.2</v>
      </c>
      <c r="E3062" s="151">
        <v>44768</v>
      </c>
      <c r="F3062" s="81">
        <v>1315.2</v>
      </c>
      <c r="G3062" s="156">
        <f>Tabla18[[#This Row],[Importe]]-Tabla18[[#This Row],[Pagado]]</f>
        <v>0</v>
      </c>
      <c r="H3062" s="75" t="s">
        <v>10</v>
      </c>
    </row>
    <row r="3063" spans="1:8" x14ac:dyDescent="0.25">
      <c r="A3063" s="148">
        <v>44771</v>
      </c>
      <c r="B3063" s="149" t="s">
        <v>24441</v>
      </c>
      <c r="C3063" s="153" t="s">
        <v>142</v>
      </c>
      <c r="D3063" s="154">
        <v>73071.5</v>
      </c>
      <c r="E3063" s="155">
        <v>44837</v>
      </c>
      <c r="F3063" s="154">
        <v>73071.5</v>
      </c>
      <c r="G3063" s="156">
        <f>Tabla18[[#This Row],[Importe]]-Tabla18[[#This Row],[Pagado]]</f>
        <v>0</v>
      </c>
      <c r="H3063" s="153" t="s">
        <v>10</v>
      </c>
    </row>
    <row r="3064" spans="1:8" x14ac:dyDescent="0.25">
      <c r="A3064" s="73">
        <v>44771</v>
      </c>
      <c r="B3064" s="74" t="s">
        <v>24442</v>
      </c>
      <c r="C3064" s="75" t="s">
        <v>31</v>
      </c>
      <c r="D3064" s="81">
        <v>1232</v>
      </c>
      <c r="E3064" s="151">
        <v>44771</v>
      </c>
      <c r="F3064" s="81">
        <v>1232</v>
      </c>
      <c r="G3064" s="156">
        <f>Tabla18[[#This Row],[Importe]]-Tabla18[[#This Row],[Pagado]]</f>
        <v>0</v>
      </c>
      <c r="H3064" s="75" t="s">
        <v>10</v>
      </c>
    </row>
    <row r="3065" spans="1:8" x14ac:dyDescent="0.25">
      <c r="A3065" s="148">
        <v>44771</v>
      </c>
      <c r="B3065" s="149" t="s">
        <v>24443</v>
      </c>
      <c r="C3065" s="153" t="s">
        <v>196</v>
      </c>
      <c r="D3065" s="154">
        <v>126836.5</v>
      </c>
      <c r="E3065" s="155">
        <v>44778</v>
      </c>
      <c r="F3065" s="154">
        <v>126836.5</v>
      </c>
      <c r="G3065" s="156">
        <f>Tabla18[[#This Row],[Importe]]-Tabla18[[#This Row],[Pagado]]</f>
        <v>0</v>
      </c>
      <c r="H3065" s="153" t="s">
        <v>10</v>
      </c>
    </row>
    <row r="3066" spans="1:8" x14ac:dyDescent="0.25">
      <c r="A3066" s="73">
        <v>44771</v>
      </c>
      <c r="B3066" s="74" t="s">
        <v>24444</v>
      </c>
      <c r="C3066" s="75" t="s">
        <v>75</v>
      </c>
      <c r="D3066" s="81">
        <v>1235.4000000000001</v>
      </c>
      <c r="E3066" s="151">
        <v>44771</v>
      </c>
      <c r="F3066" s="81">
        <v>1235.4000000000001</v>
      </c>
      <c r="G3066" s="156">
        <f>Tabla18[[#This Row],[Importe]]-Tabla18[[#This Row],[Pagado]]</f>
        <v>0</v>
      </c>
      <c r="H3066" s="75" t="s">
        <v>10</v>
      </c>
    </row>
    <row r="3067" spans="1:8" x14ac:dyDescent="0.25">
      <c r="A3067" s="148">
        <v>44771</v>
      </c>
      <c r="B3067" s="149" t="s">
        <v>24445</v>
      </c>
      <c r="C3067" s="153" t="s">
        <v>7313</v>
      </c>
      <c r="D3067" s="154">
        <v>3308.2</v>
      </c>
      <c r="E3067" s="155">
        <v>44771</v>
      </c>
      <c r="F3067" s="154">
        <v>3308.2</v>
      </c>
      <c r="G3067" s="156">
        <f>Tabla18[[#This Row],[Importe]]-Tabla18[[#This Row],[Pagado]]</f>
        <v>0</v>
      </c>
      <c r="H3067" s="153" t="s">
        <v>10</v>
      </c>
    </row>
    <row r="3068" spans="1:8" x14ac:dyDescent="0.25">
      <c r="A3068" s="73">
        <v>44771</v>
      </c>
      <c r="B3068" s="74" t="s">
        <v>24446</v>
      </c>
      <c r="C3068" s="75" t="s">
        <v>196</v>
      </c>
      <c r="D3068" s="81">
        <v>49636.2</v>
      </c>
      <c r="E3068" s="151">
        <v>44778</v>
      </c>
      <c r="F3068" s="81">
        <v>49636.2</v>
      </c>
      <c r="G3068" s="156">
        <f>Tabla18[[#This Row],[Importe]]-Tabla18[[#This Row],[Pagado]]</f>
        <v>0</v>
      </c>
      <c r="H3068" s="75" t="s">
        <v>10</v>
      </c>
    </row>
    <row r="3069" spans="1:8" x14ac:dyDescent="0.25">
      <c r="A3069" s="148">
        <v>44771</v>
      </c>
      <c r="B3069" s="149" t="s">
        <v>24447</v>
      </c>
      <c r="C3069" s="153" t="s">
        <v>461</v>
      </c>
      <c r="D3069" s="154">
        <v>548.1</v>
      </c>
      <c r="E3069" s="155">
        <v>44771</v>
      </c>
      <c r="F3069" s="154">
        <v>548.1</v>
      </c>
      <c r="G3069" s="156">
        <f>Tabla18[[#This Row],[Importe]]-Tabla18[[#This Row],[Pagado]]</f>
        <v>0</v>
      </c>
      <c r="H3069" s="153" t="s">
        <v>10</v>
      </c>
    </row>
    <row r="3070" spans="1:8" x14ac:dyDescent="0.25">
      <c r="A3070" s="73">
        <v>44771</v>
      </c>
      <c r="B3070" s="74" t="s">
        <v>24448</v>
      </c>
      <c r="C3070" s="75" t="s">
        <v>10190</v>
      </c>
      <c r="D3070" s="81">
        <v>38334</v>
      </c>
      <c r="E3070" s="151">
        <v>44772</v>
      </c>
      <c r="F3070" s="81">
        <v>38334</v>
      </c>
      <c r="G3070" s="156">
        <f>Tabla18[[#This Row],[Importe]]-Tabla18[[#This Row],[Pagado]]</f>
        <v>0</v>
      </c>
      <c r="H3070" s="75" t="s">
        <v>10</v>
      </c>
    </row>
    <row r="3071" spans="1:8" ht="31.5" x14ac:dyDescent="0.25">
      <c r="A3071" s="148">
        <v>44771</v>
      </c>
      <c r="B3071" s="149" t="s">
        <v>24449</v>
      </c>
      <c r="C3071" s="160" t="s">
        <v>9180</v>
      </c>
      <c r="D3071" s="154">
        <v>0</v>
      </c>
      <c r="E3071" s="158" t="s">
        <v>189</v>
      </c>
      <c r="F3071" s="154">
        <v>0</v>
      </c>
      <c r="G3071" s="156">
        <f>Tabla18[[#This Row],[Importe]]-Tabla18[[#This Row],[Pagado]]</f>
        <v>0</v>
      </c>
      <c r="H3071" s="153" t="s">
        <v>189</v>
      </c>
    </row>
    <row r="3072" spans="1:8" x14ac:dyDescent="0.25">
      <c r="A3072" s="73">
        <v>44771</v>
      </c>
      <c r="B3072" s="74" t="s">
        <v>24450</v>
      </c>
      <c r="C3072" s="75" t="s">
        <v>31</v>
      </c>
      <c r="D3072" s="81">
        <v>325</v>
      </c>
      <c r="E3072" s="151">
        <v>44772</v>
      </c>
      <c r="F3072" s="81">
        <v>325</v>
      </c>
      <c r="G3072" s="156">
        <f>Tabla18[[#This Row],[Importe]]-Tabla18[[#This Row],[Pagado]]</f>
        <v>0</v>
      </c>
      <c r="H3072" s="75" t="s">
        <v>10</v>
      </c>
    </row>
    <row r="3073" spans="1:8" x14ac:dyDescent="0.25">
      <c r="A3073" s="148">
        <v>44772</v>
      </c>
      <c r="B3073" s="149" t="s">
        <v>24451</v>
      </c>
      <c r="C3073" s="153" t="s">
        <v>475</v>
      </c>
      <c r="D3073" s="154">
        <v>74546</v>
      </c>
      <c r="E3073" s="155">
        <v>44773</v>
      </c>
      <c r="F3073" s="154">
        <v>74546</v>
      </c>
      <c r="G3073" s="156">
        <f>Tabla18[[#This Row],[Importe]]-Tabla18[[#This Row],[Pagado]]</f>
        <v>0</v>
      </c>
      <c r="H3073" s="153" t="s">
        <v>10</v>
      </c>
    </row>
    <row r="3074" spans="1:8" x14ac:dyDescent="0.25">
      <c r="A3074" s="73">
        <v>44772</v>
      </c>
      <c r="B3074" s="74" t="s">
        <v>24452</v>
      </c>
      <c r="C3074" s="75" t="s">
        <v>887</v>
      </c>
      <c r="D3074" s="81">
        <v>31954.9</v>
      </c>
      <c r="E3074" s="151">
        <v>44772</v>
      </c>
      <c r="F3074" s="81">
        <v>31954.9</v>
      </c>
      <c r="G3074" s="156">
        <f>Tabla18[[#This Row],[Importe]]-Tabla18[[#This Row],[Pagado]]</f>
        <v>0</v>
      </c>
      <c r="H3074" s="75" t="s">
        <v>10</v>
      </c>
    </row>
    <row r="3075" spans="1:8" x14ac:dyDescent="0.25">
      <c r="A3075" s="148">
        <v>44772</v>
      </c>
      <c r="B3075" s="149" t="s">
        <v>24453</v>
      </c>
      <c r="C3075" s="153" t="s">
        <v>75</v>
      </c>
      <c r="D3075" s="154">
        <v>25464.9</v>
      </c>
      <c r="E3075" s="155">
        <v>44772</v>
      </c>
      <c r="F3075" s="154">
        <v>25464.9</v>
      </c>
      <c r="G3075" s="156">
        <f>Tabla18[[#This Row],[Importe]]-Tabla18[[#This Row],[Pagado]]</f>
        <v>0</v>
      </c>
      <c r="H3075" s="153" t="s">
        <v>10</v>
      </c>
    </row>
    <row r="3076" spans="1:8" x14ac:dyDescent="0.25">
      <c r="A3076" s="73">
        <v>44772</v>
      </c>
      <c r="B3076" s="74" t="s">
        <v>24454</v>
      </c>
      <c r="C3076" s="75" t="s">
        <v>18</v>
      </c>
      <c r="D3076" s="81">
        <v>1777.5</v>
      </c>
      <c r="E3076" s="151">
        <v>44772</v>
      </c>
      <c r="F3076" s="81">
        <v>1777.5</v>
      </c>
      <c r="G3076" s="156">
        <f>Tabla18[[#This Row],[Importe]]-Tabla18[[#This Row],[Pagado]]</f>
        <v>0</v>
      </c>
      <c r="H3076" s="75" t="s">
        <v>10</v>
      </c>
    </row>
    <row r="3077" spans="1:8" x14ac:dyDescent="0.25">
      <c r="A3077" s="148">
        <v>44772</v>
      </c>
      <c r="B3077" s="149" t="s">
        <v>24455</v>
      </c>
      <c r="C3077" s="153" t="s">
        <v>481</v>
      </c>
      <c r="D3077" s="154">
        <v>2396.9</v>
      </c>
      <c r="E3077" s="155">
        <v>44772</v>
      </c>
      <c r="F3077" s="154">
        <v>2396.9</v>
      </c>
      <c r="G3077" s="156">
        <f>Tabla18[[#This Row],[Importe]]-Tabla18[[#This Row],[Pagado]]</f>
        <v>0</v>
      </c>
      <c r="H3077" s="153" t="s">
        <v>10</v>
      </c>
    </row>
    <row r="3078" spans="1:8" x14ac:dyDescent="0.25">
      <c r="A3078" s="73">
        <v>44772</v>
      </c>
      <c r="B3078" s="74" t="s">
        <v>24456</v>
      </c>
      <c r="C3078" s="75" t="s">
        <v>111</v>
      </c>
      <c r="D3078" s="81">
        <v>10745.6</v>
      </c>
      <c r="E3078" s="151">
        <v>44773</v>
      </c>
      <c r="F3078" s="81">
        <v>10745.6</v>
      </c>
      <c r="G3078" s="156">
        <f>Tabla18[[#This Row],[Importe]]-Tabla18[[#This Row],[Pagado]]</f>
        <v>0</v>
      </c>
      <c r="H3078" s="75" t="s">
        <v>10</v>
      </c>
    </row>
    <row r="3079" spans="1:8" x14ac:dyDescent="0.25">
      <c r="A3079" s="148">
        <v>44772</v>
      </c>
      <c r="B3079" s="149" t="s">
        <v>24457</v>
      </c>
      <c r="C3079" s="153" t="s">
        <v>105</v>
      </c>
      <c r="D3079" s="154">
        <v>11900.8</v>
      </c>
      <c r="E3079" s="155">
        <v>44774</v>
      </c>
      <c r="F3079" s="154">
        <v>11900.8</v>
      </c>
      <c r="G3079" s="156">
        <f>Tabla18[[#This Row],[Importe]]-Tabla18[[#This Row],[Pagado]]</f>
        <v>0</v>
      </c>
      <c r="H3079" s="153" t="s">
        <v>10</v>
      </c>
    </row>
    <row r="3080" spans="1:8" ht="47.25" x14ac:dyDescent="0.25">
      <c r="A3080" s="73">
        <v>44772</v>
      </c>
      <c r="B3080" s="74" t="s">
        <v>24458</v>
      </c>
      <c r="C3080" s="75" t="s">
        <v>93</v>
      </c>
      <c r="D3080" s="81">
        <v>24533.4</v>
      </c>
      <c r="E3080" s="147" t="s">
        <v>24618</v>
      </c>
      <c r="F3080" s="81">
        <f>10000+6000+8533.4</f>
        <v>24533.4</v>
      </c>
      <c r="G3080" s="156">
        <f>Tabla18[[#This Row],[Importe]]-Tabla18[[#This Row],[Pagado]]</f>
        <v>0</v>
      </c>
      <c r="H3080" s="75" t="s">
        <v>10</v>
      </c>
    </row>
    <row r="3081" spans="1:8" x14ac:dyDescent="0.25">
      <c r="A3081" s="148">
        <v>44772</v>
      </c>
      <c r="B3081" s="149" t="s">
        <v>24459</v>
      </c>
      <c r="C3081" s="153" t="s">
        <v>114</v>
      </c>
      <c r="D3081" s="154">
        <v>9894.4</v>
      </c>
      <c r="E3081" s="155">
        <v>44774</v>
      </c>
      <c r="F3081" s="154">
        <v>9894.4</v>
      </c>
      <c r="G3081" s="156">
        <f>Tabla18[[#This Row],[Importe]]-Tabla18[[#This Row],[Pagado]]</f>
        <v>0</v>
      </c>
      <c r="H3081" s="153" t="s">
        <v>10</v>
      </c>
    </row>
    <row r="3082" spans="1:8" ht="31.5" x14ac:dyDescent="0.25">
      <c r="A3082" s="73">
        <v>44772</v>
      </c>
      <c r="B3082" s="74" t="s">
        <v>24460</v>
      </c>
      <c r="C3082" s="75" t="s">
        <v>99</v>
      </c>
      <c r="D3082" s="81">
        <v>9036.7999999999993</v>
      </c>
      <c r="E3082" s="147" t="s">
        <v>24619</v>
      </c>
      <c r="F3082" s="81">
        <f>6600+2436.8</f>
        <v>9036.7999999999993</v>
      </c>
      <c r="G3082" s="156">
        <f>Tabla18[[#This Row],[Importe]]-Tabla18[[#This Row],[Pagado]]</f>
        <v>0</v>
      </c>
      <c r="H3082" s="75" t="s">
        <v>10</v>
      </c>
    </row>
    <row r="3083" spans="1:8" x14ac:dyDescent="0.25">
      <c r="A3083" s="148">
        <v>44772</v>
      </c>
      <c r="B3083" s="149" t="s">
        <v>24461</v>
      </c>
      <c r="C3083" s="153" t="s">
        <v>2563</v>
      </c>
      <c r="D3083" s="154">
        <v>4903.8</v>
      </c>
      <c r="E3083" s="155">
        <v>44774</v>
      </c>
      <c r="F3083" s="154">
        <v>4903.8</v>
      </c>
      <c r="G3083" s="156">
        <f>Tabla18[[#This Row],[Importe]]-Tabla18[[#This Row],[Pagado]]</f>
        <v>0</v>
      </c>
      <c r="H3083" s="153" t="s">
        <v>10</v>
      </c>
    </row>
    <row r="3084" spans="1:8" x14ac:dyDescent="0.25">
      <c r="A3084" s="73">
        <v>44772</v>
      </c>
      <c r="B3084" s="74" t="s">
        <v>24462</v>
      </c>
      <c r="C3084" s="75" t="s">
        <v>5043</v>
      </c>
      <c r="D3084" s="81">
        <v>4963.2</v>
      </c>
      <c r="E3084" s="151">
        <v>44774</v>
      </c>
      <c r="F3084" s="81">
        <v>4963.2</v>
      </c>
      <c r="G3084" s="156">
        <f>Tabla18[[#This Row],[Importe]]-Tabla18[[#This Row],[Pagado]]</f>
        <v>0</v>
      </c>
      <c r="H3084" s="75" t="s">
        <v>10</v>
      </c>
    </row>
    <row r="3085" spans="1:8" x14ac:dyDescent="0.25">
      <c r="A3085" s="148">
        <v>44772</v>
      </c>
      <c r="B3085" s="149" t="s">
        <v>24463</v>
      </c>
      <c r="C3085" s="153" t="s">
        <v>2151</v>
      </c>
      <c r="D3085" s="154">
        <v>36095.4</v>
      </c>
      <c r="E3085" s="155">
        <v>44772</v>
      </c>
      <c r="F3085" s="154">
        <v>36095.4</v>
      </c>
      <c r="G3085" s="156">
        <f>Tabla18[[#This Row],[Importe]]-Tabla18[[#This Row],[Pagado]]</f>
        <v>0</v>
      </c>
      <c r="H3085" s="153" t="s">
        <v>10</v>
      </c>
    </row>
    <row r="3086" spans="1:8" x14ac:dyDescent="0.25">
      <c r="A3086" s="73">
        <v>44772</v>
      </c>
      <c r="B3086" s="74" t="s">
        <v>24464</v>
      </c>
      <c r="C3086" s="75" t="s">
        <v>348</v>
      </c>
      <c r="D3086" s="81">
        <v>7940.5</v>
      </c>
      <c r="E3086" s="151">
        <v>44772</v>
      </c>
      <c r="F3086" s="81">
        <v>7940.5</v>
      </c>
      <c r="G3086" s="156">
        <f>Tabla18[[#This Row],[Importe]]-Tabla18[[#This Row],[Pagado]]</f>
        <v>0</v>
      </c>
      <c r="H3086" s="75" t="s">
        <v>10</v>
      </c>
    </row>
    <row r="3087" spans="1:8" x14ac:dyDescent="0.25">
      <c r="A3087" s="148">
        <v>44772</v>
      </c>
      <c r="B3087" s="149" t="s">
        <v>24465</v>
      </c>
      <c r="C3087" s="153" t="s">
        <v>60</v>
      </c>
      <c r="D3087" s="154">
        <v>4778.3999999999996</v>
      </c>
      <c r="E3087" s="155">
        <v>44777</v>
      </c>
      <c r="F3087" s="154">
        <v>4778.3999999999996</v>
      </c>
      <c r="G3087" s="156">
        <f>Tabla18[[#This Row],[Importe]]-Tabla18[[#This Row],[Pagado]]</f>
        <v>0</v>
      </c>
      <c r="H3087" s="153" t="s">
        <v>10</v>
      </c>
    </row>
    <row r="3088" spans="1:8" x14ac:dyDescent="0.25">
      <c r="A3088" s="73">
        <v>44772</v>
      </c>
      <c r="B3088" s="74" t="s">
        <v>24466</v>
      </c>
      <c r="C3088" s="75" t="s">
        <v>64</v>
      </c>
      <c r="D3088" s="81">
        <v>11434.3</v>
      </c>
      <c r="E3088" s="151">
        <v>44775</v>
      </c>
      <c r="F3088" s="81">
        <v>11434.3</v>
      </c>
      <c r="G3088" s="156">
        <f>Tabla18[[#This Row],[Importe]]-Tabla18[[#This Row],[Pagado]]</f>
        <v>0</v>
      </c>
      <c r="H3088" s="75" t="s">
        <v>10</v>
      </c>
    </row>
    <row r="3089" spans="1:8" x14ac:dyDescent="0.25">
      <c r="A3089" s="148">
        <v>44772</v>
      </c>
      <c r="B3089" s="149" t="s">
        <v>24467</v>
      </c>
      <c r="C3089" s="153" t="s">
        <v>326</v>
      </c>
      <c r="D3089" s="154">
        <v>15206.4</v>
      </c>
      <c r="E3089" s="155">
        <v>44774</v>
      </c>
      <c r="F3089" s="154">
        <v>15206.4</v>
      </c>
      <c r="G3089" s="156">
        <f>Tabla18[[#This Row],[Importe]]-Tabla18[[#This Row],[Pagado]]</f>
        <v>0</v>
      </c>
      <c r="H3089" s="153" t="s">
        <v>10</v>
      </c>
    </row>
    <row r="3090" spans="1:8" x14ac:dyDescent="0.25">
      <c r="A3090" s="73">
        <v>44772</v>
      </c>
      <c r="B3090" s="74" t="s">
        <v>24468</v>
      </c>
      <c r="C3090" s="75" t="s">
        <v>89</v>
      </c>
      <c r="D3090" s="81">
        <v>19664.5</v>
      </c>
      <c r="E3090" s="151">
        <v>44774</v>
      </c>
      <c r="F3090" s="81">
        <v>19664.5</v>
      </c>
      <c r="G3090" s="156">
        <f>Tabla18[[#This Row],[Importe]]-Tabla18[[#This Row],[Pagado]]</f>
        <v>0</v>
      </c>
      <c r="H3090" s="75" t="s">
        <v>10</v>
      </c>
    </row>
    <row r="3091" spans="1:8" x14ac:dyDescent="0.25">
      <c r="A3091" s="148">
        <v>44772</v>
      </c>
      <c r="B3091" s="149" t="s">
        <v>24469</v>
      </c>
      <c r="C3091" s="153" t="s">
        <v>97</v>
      </c>
      <c r="D3091" s="154">
        <v>17190.099999999999</v>
      </c>
      <c r="E3091" s="155">
        <v>44774</v>
      </c>
      <c r="F3091" s="154">
        <v>17190.099999999999</v>
      </c>
      <c r="G3091" s="156">
        <f>Tabla18[[#This Row],[Importe]]-Tabla18[[#This Row],[Pagado]]</f>
        <v>0</v>
      </c>
      <c r="H3091" s="153" t="s">
        <v>10</v>
      </c>
    </row>
    <row r="3092" spans="1:8" x14ac:dyDescent="0.25">
      <c r="A3092" s="73">
        <v>44772</v>
      </c>
      <c r="B3092" s="74" t="s">
        <v>24470</v>
      </c>
      <c r="C3092" s="75" t="s">
        <v>93</v>
      </c>
      <c r="D3092" s="81">
        <v>544</v>
      </c>
      <c r="E3092" s="151">
        <v>44774</v>
      </c>
      <c r="F3092" s="81">
        <v>544</v>
      </c>
      <c r="G3092" s="156">
        <f>Tabla18[[#This Row],[Importe]]-Tabla18[[#This Row],[Pagado]]</f>
        <v>0</v>
      </c>
      <c r="H3092" s="75" t="s">
        <v>10</v>
      </c>
    </row>
    <row r="3093" spans="1:8" x14ac:dyDescent="0.25">
      <c r="A3093" s="148">
        <v>44772</v>
      </c>
      <c r="B3093" s="149" t="s">
        <v>24471</v>
      </c>
      <c r="C3093" s="153" t="s">
        <v>114</v>
      </c>
      <c r="D3093" s="154">
        <v>432</v>
      </c>
      <c r="E3093" s="155">
        <v>44774</v>
      </c>
      <c r="F3093" s="154">
        <v>432</v>
      </c>
      <c r="G3093" s="156">
        <f>Tabla18[[#This Row],[Importe]]-Tabla18[[#This Row],[Pagado]]</f>
        <v>0</v>
      </c>
      <c r="H3093" s="153" t="s">
        <v>10</v>
      </c>
    </row>
    <row r="3094" spans="1:8" x14ac:dyDescent="0.25">
      <c r="A3094" s="73">
        <v>44772</v>
      </c>
      <c r="B3094" s="74" t="s">
        <v>24472</v>
      </c>
      <c r="C3094" s="75" t="s">
        <v>9</v>
      </c>
      <c r="D3094" s="81">
        <v>10294.9</v>
      </c>
      <c r="E3094" s="151">
        <v>44772</v>
      </c>
      <c r="F3094" s="81">
        <v>10294.9</v>
      </c>
      <c r="G3094" s="156">
        <f>Tabla18[[#This Row],[Importe]]-Tabla18[[#This Row],[Pagado]]</f>
        <v>0</v>
      </c>
      <c r="H3094" s="75" t="s">
        <v>10</v>
      </c>
    </row>
    <row r="3095" spans="1:8" ht="31.5" x14ac:dyDescent="0.25">
      <c r="A3095" s="148">
        <v>44772</v>
      </c>
      <c r="B3095" s="149" t="s">
        <v>24473</v>
      </c>
      <c r="C3095" s="153" t="s">
        <v>22</v>
      </c>
      <c r="D3095" s="154">
        <v>70838.5</v>
      </c>
      <c r="E3095" s="150" t="s">
        <v>24615</v>
      </c>
      <c r="F3095" s="154">
        <f>60000+10838.5</f>
        <v>70838.5</v>
      </c>
      <c r="G3095" s="156">
        <f>Tabla18[[#This Row],[Importe]]-Tabla18[[#This Row],[Pagado]]</f>
        <v>0</v>
      </c>
      <c r="H3095" s="153" t="s">
        <v>10</v>
      </c>
    </row>
    <row r="3096" spans="1:8" x14ac:dyDescent="0.25">
      <c r="A3096" s="73">
        <v>44772</v>
      </c>
      <c r="B3096" s="74" t="s">
        <v>24474</v>
      </c>
      <c r="C3096" s="75" t="s">
        <v>146</v>
      </c>
      <c r="D3096" s="81">
        <v>12590.4</v>
      </c>
      <c r="E3096" s="151">
        <v>44772</v>
      </c>
      <c r="F3096" s="81">
        <v>12590.4</v>
      </c>
      <c r="G3096" s="156">
        <f>Tabla18[[#This Row],[Importe]]-Tabla18[[#This Row],[Pagado]]</f>
        <v>0</v>
      </c>
      <c r="H3096" s="75" t="s">
        <v>10</v>
      </c>
    </row>
    <row r="3097" spans="1:8" x14ac:dyDescent="0.25">
      <c r="A3097" s="148">
        <v>44772</v>
      </c>
      <c r="B3097" s="149" t="s">
        <v>24475</v>
      </c>
      <c r="C3097" s="153" t="s">
        <v>314</v>
      </c>
      <c r="D3097" s="154">
        <v>5289.7</v>
      </c>
      <c r="E3097" s="155">
        <v>44772</v>
      </c>
      <c r="F3097" s="154">
        <v>5289.7</v>
      </c>
      <c r="G3097" s="156">
        <f>Tabla18[[#This Row],[Importe]]-Tabla18[[#This Row],[Pagado]]</f>
        <v>0</v>
      </c>
      <c r="H3097" s="153" t="s">
        <v>10</v>
      </c>
    </row>
    <row r="3098" spans="1:8" x14ac:dyDescent="0.25">
      <c r="A3098" s="73">
        <v>44772</v>
      </c>
      <c r="B3098" s="74" t="s">
        <v>24476</v>
      </c>
      <c r="C3098" s="75" t="s">
        <v>24477</v>
      </c>
      <c r="D3098" s="81">
        <v>0</v>
      </c>
      <c r="E3098" s="157" t="s">
        <v>189</v>
      </c>
      <c r="F3098" s="81">
        <v>0</v>
      </c>
      <c r="G3098" s="156">
        <f>Tabla18[[#This Row],[Importe]]-Tabla18[[#This Row],[Pagado]]</f>
        <v>0</v>
      </c>
      <c r="H3098" s="161" t="s">
        <v>24478</v>
      </c>
    </row>
    <row r="3099" spans="1:8" x14ac:dyDescent="0.25">
      <c r="A3099" s="148">
        <v>44772</v>
      </c>
      <c r="B3099" s="149" t="s">
        <v>24479</v>
      </c>
      <c r="C3099" s="153" t="s">
        <v>49</v>
      </c>
      <c r="D3099" s="154">
        <v>4562.8</v>
      </c>
      <c r="E3099" s="155">
        <v>44772</v>
      </c>
      <c r="F3099" s="154">
        <v>4562.8</v>
      </c>
      <c r="G3099" s="156">
        <f>Tabla18[[#This Row],[Importe]]-Tabla18[[#This Row],[Pagado]]</f>
        <v>0</v>
      </c>
      <c r="H3099" s="153" t="s">
        <v>10</v>
      </c>
    </row>
    <row r="3100" spans="1:8" x14ac:dyDescent="0.25">
      <c r="A3100" s="73">
        <v>44772</v>
      </c>
      <c r="B3100" s="74" t="s">
        <v>24480</v>
      </c>
      <c r="C3100" s="75" t="s">
        <v>87</v>
      </c>
      <c r="D3100" s="81">
        <v>6734.7</v>
      </c>
      <c r="E3100" s="151">
        <v>44772</v>
      </c>
      <c r="F3100" s="81">
        <v>6734.7</v>
      </c>
      <c r="G3100" s="156">
        <f>Tabla18[[#This Row],[Importe]]-Tabla18[[#This Row],[Pagado]]</f>
        <v>0</v>
      </c>
      <c r="H3100" s="75" t="s">
        <v>10</v>
      </c>
    </row>
    <row r="3101" spans="1:8" x14ac:dyDescent="0.25">
      <c r="A3101" s="148">
        <v>44772</v>
      </c>
      <c r="B3101" s="149" t="s">
        <v>24481</v>
      </c>
      <c r="C3101" s="153" t="s">
        <v>161</v>
      </c>
      <c r="D3101" s="154">
        <v>4381.3</v>
      </c>
      <c r="E3101" s="155">
        <v>44772</v>
      </c>
      <c r="F3101" s="154">
        <v>4381.3</v>
      </c>
      <c r="G3101" s="156">
        <f>Tabla18[[#This Row],[Importe]]-Tabla18[[#This Row],[Pagado]]</f>
        <v>0</v>
      </c>
      <c r="H3101" s="153" t="s">
        <v>10</v>
      </c>
    </row>
    <row r="3102" spans="1:8" x14ac:dyDescent="0.25">
      <c r="A3102" s="73">
        <v>44772</v>
      </c>
      <c r="B3102" s="74" t="s">
        <v>24482</v>
      </c>
      <c r="C3102" s="75" t="s">
        <v>140</v>
      </c>
      <c r="D3102" s="81">
        <v>7764.3</v>
      </c>
      <c r="E3102" s="151">
        <v>44772</v>
      </c>
      <c r="F3102" s="81">
        <v>7764.3</v>
      </c>
      <c r="G3102" s="156">
        <f>Tabla18[[#This Row],[Importe]]-Tabla18[[#This Row],[Pagado]]</f>
        <v>0</v>
      </c>
      <c r="H3102" s="75" t="s">
        <v>10</v>
      </c>
    </row>
    <row r="3103" spans="1:8" x14ac:dyDescent="0.25">
      <c r="A3103" s="148">
        <v>44772</v>
      </c>
      <c r="B3103" s="149" t="s">
        <v>24483</v>
      </c>
      <c r="C3103" s="153" t="s">
        <v>127</v>
      </c>
      <c r="D3103" s="154">
        <v>5873.6</v>
      </c>
      <c r="E3103" s="155">
        <v>44772</v>
      </c>
      <c r="F3103" s="154">
        <v>5873.6</v>
      </c>
      <c r="G3103" s="156">
        <f>Tabla18[[#This Row],[Importe]]-Tabla18[[#This Row],[Pagado]]</f>
        <v>0</v>
      </c>
      <c r="H3103" s="153" t="s">
        <v>10</v>
      </c>
    </row>
    <row r="3104" spans="1:8" x14ac:dyDescent="0.25">
      <c r="A3104" s="73">
        <v>44772</v>
      </c>
      <c r="B3104" s="74" t="s">
        <v>24484</v>
      </c>
      <c r="C3104" s="75" t="s">
        <v>129</v>
      </c>
      <c r="D3104" s="81">
        <v>7224.3</v>
      </c>
      <c r="E3104" s="151">
        <v>44772</v>
      </c>
      <c r="F3104" s="81">
        <v>7224.3</v>
      </c>
      <c r="G3104" s="156">
        <f>Tabla18[[#This Row],[Importe]]-Tabla18[[#This Row],[Pagado]]</f>
        <v>0</v>
      </c>
      <c r="H3104" s="75" t="s">
        <v>10</v>
      </c>
    </row>
    <row r="3105" spans="1:8" x14ac:dyDescent="0.25">
      <c r="A3105" s="148">
        <v>44772</v>
      </c>
      <c r="B3105" s="149" t="s">
        <v>24485</v>
      </c>
      <c r="C3105" s="153" t="s">
        <v>1187</v>
      </c>
      <c r="D3105" s="154">
        <v>2432.1</v>
      </c>
      <c r="E3105" s="155">
        <v>44772</v>
      </c>
      <c r="F3105" s="154">
        <v>2432.1</v>
      </c>
      <c r="G3105" s="156">
        <f>Tabla18[[#This Row],[Importe]]-Tabla18[[#This Row],[Pagado]]</f>
        <v>0</v>
      </c>
      <c r="H3105" s="153" t="s">
        <v>10</v>
      </c>
    </row>
    <row r="3106" spans="1:8" x14ac:dyDescent="0.25">
      <c r="A3106" s="73">
        <v>44772</v>
      </c>
      <c r="B3106" s="74" t="s">
        <v>24486</v>
      </c>
      <c r="C3106" s="75" t="s">
        <v>45</v>
      </c>
      <c r="D3106" s="81">
        <v>15349.8</v>
      </c>
      <c r="E3106" s="151">
        <v>44772</v>
      </c>
      <c r="F3106" s="81">
        <v>15349.8</v>
      </c>
      <c r="G3106" s="156">
        <f>Tabla18[[#This Row],[Importe]]-Tabla18[[#This Row],[Pagado]]</f>
        <v>0</v>
      </c>
      <c r="H3106" s="75" t="s">
        <v>10</v>
      </c>
    </row>
    <row r="3107" spans="1:8" x14ac:dyDescent="0.25">
      <c r="A3107" s="148">
        <v>44772</v>
      </c>
      <c r="B3107" s="149" t="s">
        <v>24487</v>
      </c>
      <c r="C3107" s="153" t="s">
        <v>4136</v>
      </c>
      <c r="D3107" s="154">
        <v>2965.2</v>
      </c>
      <c r="E3107" s="155">
        <v>44772</v>
      </c>
      <c r="F3107" s="154">
        <v>2965.2</v>
      </c>
      <c r="G3107" s="156">
        <f>Tabla18[[#This Row],[Importe]]-Tabla18[[#This Row],[Pagado]]</f>
        <v>0</v>
      </c>
      <c r="H3107" s="153" t="s">
        <v>10</v>
      </c>
    </row>
    <row r="3108" spans="1:8" x14ac:dyDescent="0.25">
      <c r="A3108" s="73">
        <v>44772</v>
      </c>
      <c r="B3108" s="74" t="s">
        <v>24488</v>
      </c>
      <c r="C3108" s="75" t="s">
        <v>31</v>
      </c>
      <c r="D3108" s="81">
        <v>3588.4</v>
      </c>
      <c r="E3108" s="151">
        <v>44772</v>
      </c>
      <c r="F3108" s="81">
        <v>3588.4</v>
      </c>
      <c r="G3108" s="156">
        <f>Tabla18[[#This Row],[Importe]]-Tabla18[[#This Row],[Pagado]]</f>
        <v>0</v>
      </c>
      <c r="H3108" s="75" t="s">
        <v>10</v>
      </c>
    </row>
    <row r="3109" spans="1:8" x14ac:dyDescent="0.25">
      <c r="A3109" s="148">
        <v>44772</v>
      </c>
      <c r="B3109" s="149" t="s">
        <v>24489</v>
      </c>
      <c r="C3109" s="153" t="s">
        <v>16</v>
      </c>
      <c r="D3109" s="154">
        <v>7727.6</v>
      </c>
      <c r="E3109" s="155">
        <v>44772</v>
      </c>
      <c r="F3109" s="154">
        <v>7727.6</v>
      </c>
      <c r="G3109" s="156">
        <f>Tabla18[[#This Row],[Importe]]-Tabla18[[#This Row],[Pagado]]</f>
        <v>0</v>
      </c>
      <c r="H3109" s="153" t="s">
        <v>10</v>
      </c>
    </row>
    <row r="3110" spans="1:8" x14ac:dyDescent="0.25">
      <c r="A3110" s="73">
        <v>44772</v>
      </c>
      <c r="B3110" s="74" t="s">
        <v>24490</v>
      </c>
      <c r="C3110" s="75" t="s">
        <v>56</v>
      </c>
      <c r="D3110" s="81">
        <v>10663.8</v>
      </c>
      <c r="E3110" s="151">
        <v>44772</v>
      </c>
      <c r="F3110" s="81">
        <v>10663.8</v>
      </c>
      <c r="G3110" s="156">
        <f>Tabla18[[#This Row],[Importe]]-Tabla18[[#This Row],[Pagado]]</f>
        <v>0</v>
      </c>
      <c r="H3110" s="75" t="s">
        <v>10</v>
      </c>
    </row>
    <row r="3111" spans="1:8" x14ac:dyDescent="0.25">
      <c r="A3111" s="148">
        <v>44772</v>
      </c>
      <c r="B3111" s="149" t="s">
        <v>24491</v>
      </c>
      <c r="C3111" s="153" t="s">
        <v>11033</v>
      </c>
      <c r="D3111" s="154">
        <v>1653.6</v>
      </c>
      <c r="E3111" s="155">
        <v>44772</v>
      </c>
      <c r="F3111" s="154">
        <v>1653.6</v>
      </c>
      <c r="G3111" s="156">
        <f>Tabla18[[#This Row],[Importe]]-Tabla18[[#This Row],[Pagado]]</f>
        <v>0</v>
      </c>
      <c r="H3111" s="153" t="s">
        <v>10</v>
      </c>
    </row>
    <row r="3112" spans="1:8" ht="31.5" x14ac:dyDescent="0.25">
      <c r="A3112" s="73">
        <v>44772</v>
      </c>
      <c r="B3112" s="74" t="s">
        <v>24492</v>
      </c>
      <c r="C3112" s="75" t="s">
        <v>275</v>
      </c>
      <c r="D3112" s="81">
        <v>194560.6</v>
      </c>
      <c r="E3112" s="147" t="s">
        <v>24628</v>
      </c>
      <c r="F3112" s="81">
        <f>13842.39+180718.21</f>
        <v>194560.59999999998</v>
      </c>
      <c r="G3112" s="156">
        <f>Tabla18[[#This Row],[Importe]]-Tabla18[[#This Row],[Pagado]]</f>
        <v>0</v>
      </c>
      <c r="H3112" s="75" t="s">
        <v>10</v>
      </c>
    </row>
    <row r="3113" spans="1:8" x14ac:dyDescent="0.25">
      <c r="A3113" s="148">
        <v>44772</v>
      </c>
      <c r="B3113" s="149" t="s">
        <v>24493</v>
      </c>
      <c r="C3113" s="153" t="s">
        <v>62</v>
      </c>
      <c r="D3113" s="154">
        <v>5705.4</v>
      </c>
      <c r="E3113" s="155">
        <v>44772</v>
      </c>
      <c r="F3113" s="154">
        <v>5705.4</v>
      </c>
      <c r="G3113" s="156">
        <f>Tabla18[[#This Row],[Importe]]-Tabla18[[#This Row],[Pagado]]</f>
        <v>0</v>
      </c>
      <c r="H3113" s="153" t="s">
        <v>10</v>
      </c>
    </row>
    <row r="3114" spans="1:8" x14ac:dyDescent="0.25">
      <c r="A3114" s="73">
        <v>44772</v>
      </c>
      <c r="B3114" s="74" t="s">
        <v>24494</v>
      </c>
      <c r="C3114" s="75" t="s">
        <v>1064</v>
      </c>
      <c r="D3114" s="81">
        <v>9961.5</v>
      </c>
      <c r="E3114" s="151">
        <v>44772</v>
      </c>
      <c r="F3114" s="81">
        <v>9961.5</v>
      </c>
      <c r="G3114" s="156">
        <f>Tabla18[[#This Row],[Importe]]-Tabla18[[#This Row],[Pagado]]</f>
        <v>0</v>
      </c>
      <c r="H3114" s="75" t="s">
        <v>10</v>
      </c>
    </row>
    <row r="3115" spans="1:8" x14ac:dyDescent="0.25">
      <c r="A3115" s="148">
        <v>44772</v>
      </c>
      <c r="B3115" s="149" t="s">
        <v>24495</v>
      </c>
      <c r="C3115" s="153" t="s">
        <v>196</v>
      </c>
      <c r="D3115" s="154">
        <v>106157.9</v>
      </c>
      <c r="E3115" s="155">
        <v>44778</v>
      </c>
      <c r="F3115" s="154">
        <v>106157.9</v>
      </c>
      <c r="G3115" s="156">
        <f>Tabla18[[#This Row],[Importe]]-Tabla18[[#This Row],[Pagado]]</f>
        <v>0</v>
      </c>
      <c r="H3115" s="153" t="s">
        <v>10</v>
      </c>
    </row>
    <row r="3116" spans="1:8" x14ac:dyDescent="0.25">
      <c r="A3116" s="73">
        <v>44772</v>
      </c>
      <c r="B3116" s="74" t="s">
        <v>24496</v>
      </c>
      <c r="C3116" s="75" t="s">
        <v>5906</v>
      </c>
      <c r="D3116" s="81">
        <v>7416.9</v>
      </c>
      <c r="E3116" s="151">
        <v>44772</v>
      </c>
      <c r="F3116" s="81">
        <v>7416.9</v>
      </c>
      <c r="G3116" s="156">
        <f>Tabla18[[#This Row],[Importe]]-Tabla18[[#This Row],[Pagado]]</f>
        <v>0</v>
      </c>
      <c r="H3116" s="75" t="s">
        <v>10</v>
      </c>
    </row>
    <row r="3117" spans="1:8" x14ac:dyDescent="0.25">
      <c r="A3117" s="148">
        <v>44772</v>
      </c>
      <c r="B3117" s="149" t="s">
        <v>24497</v>
      </c>
      <c r="C3117" s="153" t="s">
        <v>319</v>
      </c>
      <c r="D3117" s="154">
        <v>13316.9</v>
      </c>
      <c r="E3117" s="155">
        <v>44772</v>
      </c>
      <c r="F3117" s="154">
        <v>13316.9</v>
      </c>
      <c r="G3117" s="156">
        <f>Tabla18[[#This Row],[Importe]]-Tabla18[[#This Row],[Pagado]]</f>
        <v>0</v>
      </c>
      <c r="H3117" s="153" t="s">
        <v>10</v>
      </c>
    </row>
    <row r="3118" spans="1:8" x14ac:dyDescent="0.25">
      <c r="A3118" s="73">
        <v>44772</v>
      </c>
      <c r="B3118" s="74" t="s">
        <v>24498</v>
      </c>
      <c r="C3118" s="75" t="s">
        <v>157</v>
      </c>
      <c r="D3118" s="81">
        <v>7163.5</v>
      </c>
      <c r="E3118" s="151">
        <v>44772</v>
      </c>
      <c r="F3118" s="81">
        <v>7163.5</v>
      </c>
      <c r="G3118" s="156">
        <f>Tabla18[[#This Row],[Importe]]-Tabla18[[#This Row],[Pagado]]</f>
        <v>0</v>
      </c>
      <c r="H3118" s="75" t="s">
        <v>10</v>
      </c>
    </row>
    <row r="3119" spans="1:8" x14ac:dyDescent="0.25">
      <c r="A3119" s="148">
        <v>44772</v>
      </c>
      <c r="B3119" s="149" t="s">
        <v>24499</v>
      </c>
      <c r="C3119" s="153" t="s">
        <v>159</v>
      </c>
      <c r="D3119" s="154">
        <v>2675.4</v>
      </c>
      <c r="E3119" s="155">
        <v>44772</v>
      </c>
      <c r="F3119" s="154">
        <v>2675.4</v>
      </c>
      <c r="G3119" s="156">
        <f>Tabla18[[#This Row],[Importe]]-Tabla18[[#This Row],[Pagado]]</f>
        <v>0</v>
      </c>
      <c r="H3119" s="153" t="s">
        <v>10</v>
      </c>
    </row>
    <row r="3120" spans="1:8" x14ac:dyDescent="0.25">
      <c r="A3120" s="73">
        <v>44772</v>
      </c>
      <c r="B3120" s="74" t="s">
        <v>24500</v>
      </c>
      <c r="C3120" s="75" t="s">
        <v>966</v>
      </c>
      <c r="D3120" s="81">
        <v>5484.2</v>
      </c>
      <c r="E3120" s="151">
        <v>44772</v>
      </c>
      <c r="F3120" s="81">
        <v>5484.2</v>
      </c>
      <c r="G3120" s="156">
        <f>Tabla18[[#This Row],[Importe]]-Tabla18[[#This Row],[Pagado]]</f>
        <v>0</v>
      </c>
      <c r="H3120" s="75" t="s">
        <v>10</v>
      </c>
    </row>
    <row r="3121" spans="1:8" x14ac:dyDescent="0.25">
      <c r="A3121" s="148">
        <v>44772</v>
      </c>
      <c r="B3121" s="149" t="s">
        <v>24501</v>
      </c>
      <c r="C3121" s="153" t="s">
        <v>419</v>
      </c>
      <c r="D3121" s="154">
        <v>9824</v>
      </c>
      <c r="E3121" s="155">
        <v>44772</v>
      </c>
      <c r="F3121" s="154">
        <v>9824</v>
      </c>
      <c r="G3121" s="156">
        <f>Tabla18[[#This Row],[Importe]]-Tabla18[[#This Row],[Pagado]]</f>
        <v>0</v>
      </c>
      <c r="H3121" s="153" t="s">
        <v>10</v>
      </c>
    </row>
    <row r="3122" spans="1:8" x14ac:dyDescent="0.25">
      <c r="A3122" s="73">
        <v>44772</v>
      </c>
      <c r="B3122" s="74" t="s">
        <v>24502</v>
      </c>
      <c r="C3122" s="75" t="s">
        <v>24</v>
      </c>
      <c r="D3122" s="81">
        <v>5041.8999999999996</v>
      </c>
      <c r="E3122" s="151">
        <v>44772</v>
      </c>
      <c r="F3122" s="81">
        <v>5041.8999999999996</v>
      </c>
      <c r="G3122" s="156">
        <f>Tabla18[[#This Row],[Importe]]-Tabla18[[#This Row],[Pagado]]</f>
        <v>0</v>
      </c>
      <c r="H3122" s="75" t="s">
        <v>10</v>
      </c>
    </row>
    <row r="3123" spans="1:8" x14ac:dyDescent="0.25">
      <c r="A3123" s="148">
        <v>44772</v>
      </c>
      <c r="B3123" s="149" t="s">
        <v>24503</v>
      </c>
      <c r="C3123" s="153" t="s">
        <v>518</v>
      </c>
      <c r="D3123" s="154">
        <v>1713.66</v>
      </c>
      <c r="E3123" s="155">
        <v>44772</v>
      </c>
      <c r="F3123" s="154">
        <v>1713.66</v>
      </c>
      <c r="G3123" s="156">
        <f>Tabla18[[#This Row],[Importe]]-Tabla18[[#This Row],[Pagado]]</f>
        <v>0</v>
      </c>
      <c r="H3123" s="153" t="s">
        <v>10</v>
      </c>
    </row>
    <row r="3124" spans="1:8" x14ac:dyDescent="0.25">
      <c r="A3124" s="73">
        <v>44772</v>
      </c>
      <c r="B3124" s="74" t="s">
        <v>24504</v>
      </c>
      <c r="C3124" s="75" t="s">
        <v>31</v>
      </c>
      <c r="D3124" s="81">
        <v>870</v>
      </c>
      <c r="E3124" s="151">
        <v>44772</v>
      </c>
      <c r="F3124" s="81">
        <v>870</v>
      </c>
      <c r="G3124" s="156">
        <f>Tabla18[[#This Row],[Importe]]-Tabla18[[#This Row],[Pagado]]</f>
        <v>0</v>
      </c>
      <c r="H3124" s="75" t="s">
        <v>10</v>
      </c>
    </row>
    <row r="3125" spans="1:8" x14ac:dyDescent="0.25">
      <c r="A3125" s="148">
        <v>44772</v>
      </c>
      <c r="B3125" s="149" t="s">
        <v>24505</v>
      </c>
      <c r="C3125" s="153" t="s">
        <v>79</v>
      </c>
      <c r="D3125" s="154">
        <v>42752</v>
      </c>
      <c r="E3125" s="155">
        <v>44772</v>
      </c>
      <c r="F3125" s="154">
        <v>42752</v>
      </c>
      <c r="G3125" s="156">
        <f>Tabla18[[#This Row],[Importe]]-Tabla18[[#This Row],[Pagado]]</f>
        <v>0</v>
      </c>
      <c r="H3125" s="153" t="s">
        <v>10</v>
      </c>
    </row>
    <row r="3126" spans="1:8" x14ac:dyDescent="0.25">
      <c r="A3126" s="73">
        <v>44772</v>
      </c>
      <c r="B3126" s="74" t="s">
        <v>24506</v>
      </c>
      <c r="C3126" s="75" t="s">
        <v>698</v>
      </c>
      <c r="D3126" s="81">
        <v>5632.1</v>
      </c>
      <c r="E3126" s="151">
        <v>44772</v>
      </c>
      <c r="F3126" s="81">
        <v>5632.1</v>
      </c>
      <c r="G3126" s="156">
        <f>Tabla18[[#This Row],[Importe]]-Tabla18[[#This Row],[Pagado]]</f>
        <v>0</v>
      </c>
      <c r="H3126" s="75" t="s">
        <v>10</v>
      </c>
    </row>
    <row r="3127" spans="1:8" x14ac:dyDescent="0.25">
      <c r="A3127" s="148">
        <v>44772</v>
      </c>
      <c r="B3127" s="149" t="s">
        <v>24507</v>
      </c>
      <c r="C3127" s="153" t="s">
        <v>840</v>
      </c>
      <c r="D3127" s="154">
        <v>31142.3</v>
      </c>
      <c r="E3127" s="155">
        <v>44772</v>
      </c>
      <c r="F3127" s="154">
        <v>31142.3</v>
      </c>
      <c r="G3127" s="156">
        <f>Tabla18[[#This Row],[Importe]]-Tabla18[[#This Row],[Pagado]]</f>
        <v>0</v>
      </c>
      <c r="H3127" s="153" t="s">
        <v>10</v>
      </c>
    </row>
    <row r="3128" spans="1:8" x14ac:dyDescent="0.25">
      <c r="A3128" s="73">
        <v>44772</v>
      </c>
      <c r="B3128" s="74" t="s">
        <v>24508</v>
      </c>
      <c r="C3128" s="75" t="s">
        <v>1003</v>
      </c>
      <c r="D3128" s="81">
        <v>2340.3000000000002</v>
      </c>
      <c r="E3128" s="151">
        <v>44772</v>
      </c>
      <c r="F3128" s="81">
        <v>2340.3000000000002</v>
      </c>
      <c r="G3128" s="156">
        <f>Tabla18[[#This Row],[Importe]]-Tabla18[[#This Row],[Pagado]]</f>
        <v>0</v>
      </c>
      <c r="H3128" s="75" t="s">
        <v>10</v>
      </c>
    </row>
    <row r="3129" spans="1:8" x14ac:dyDescent="0.25">
      <c r="A3129" s="148">
        <v>44772</v>
      </c>
      <c r="B3129" s="149" t="s">
        <v>24509</v>
      </c>
      <c r="C3129" s="153" t="s">
        <v>555</v>
      </c>
      <c r="D3129" s="154">
        <v>25401.599999999999</v>
      </c>
      <c r="E3129" s="155">
        <v>44772</v>
      </c>
      <c r="F3129" s="154">
        <v>25401.599999999999</v>
      </c>
      <c r="G3129" s="156">
        <f>Tabla18[[#This Row],[Importe]]-Tabla18[[#This Row],[Pagado]]</f>
        <v>0</v>
      </c>
      <c r="H3129" s="153" t="s">
        <v>10</v>
      </c>
    </row>
    <row r="3130" spans="1:8" x14ac:dyDescent="0.25">
      <c r="A3130" s="73">
        <v>44772</v>
      </c>
      <c r="B3130" s="74" t="s">
        <v>24510</v>
      </c>
      <c r="C3130" s="75" t="s">
        <v>840</v>
      </c>
      <c r="D3130" s="81">
        <v>5151.3</v>
      </c>
      <c r="E3130" s="151">
        <v>44772</v>
      </c>
      <c r="F3130" s="81">
        <v>5151.3</v>
      </c>
      <c r="G3130" s="156">
        <f>Tabla18[[#This Row],[Importe]]-Tabla18[[#This Row],[Pagado]]</f>
        <v>0</v>
      </c>
      <c r="H3130" s="75" t="s">
        <v>10</v>
      </c>
    </row>
    <row r="3131" spans="1:8" x14ac:dyDescent="0.25">
      <c r="A3131" s="148">
        <v>44772</v>
      </c>
      <c r="B3131" s="149" t="s">
        <v>24511</v>
      </c>
      <c r="C3131" s="153" t="s">
        <v>24284</v>
      </c>
      <c r="D3131" s="154">
        <v>1409.4</v>
      </c>
      <c r="E3131" s="155">
        <v>44772</v>
      </c>
      <c r="F3131" s="154">
        <v>1409.4</v>
      </c>
      <c r="G3131" s="156">
        <f>Tabla18[[#This Row],[Importe]]-Tabla18[[#This Row],[Pagado]]</f>
        <v>0</v>
      </c>
      <c r="H3131" s="153" t="s">
        <v>10</v>
      </c>
    </row>
    <row r="3132" spans="1:8" x14ac:dyDescent="0.25">
      <c r="A3132" s="73">
        <v>44772</v>
      </c>
      <c r="B3132" s="74" t="s">
        <v>24512</v>
      </c>
      <c r="C3132" s="75" t="s">
        <v>31</v>
      </c>
      <c r="D3132" s="81">
        <v>2070.2399999999998</v>
      </c>
      <c r="E3132" s="151">
        <v>44772</v>
      </c>
      <c r="F3132" s="81">
        <v>2070.2399999999998</v>
      </c>
      <c r="G3132" s="156">
        <f>Tabla18[[#This Row],[Importe]]-Tabla18[[#This Row],[Pagado]]</f>
        <v>0</v>
      </c>
      <c r="H3132" s="75" t="s">
        <v>10</v>
      </c>
    </row>
    <row r="3133" spans="1:8" x14ac:dyDescent="0.25">
      <c r="A3133" s="148">
        <v>44772</v>
      </c>
      <c r="B3133" s="149" t="s">
        <v>24513</v>
      </c>
      <c r="C3133" s="153" t="s">
        <v>1239</v>
      </c>
      <c r="D3133" s="154">
        <v>13960.8</v>
      </c>
      <c r="E3133" s="155">
        <v>44772</v>
      </c>
      <c r="F3133" s="154">
        <v>13960.8</v>
      </c>
      <c r="G3133" s="156">
        <f>Tabla18[[#This Row],[Importe]]-Tabla18[[#This Row],[Pagado]]</f>
        <v>0</v>
      </c>
      <c r="H3133" s="153" t="s">
        <v>10</v>
      </c>
    </row>
    <row r="3134" spans="1:8" x14ac:dyDescent="0.25">
      <c r="A3134" s="73">
        <v>44772</v>
      </c>
      <c r="B3134" s="74" t="s">
        <v>24514</v>
      </c>
      <c r="C3134" s="75" t="s">
        <v>396</v>
      </c>
      <c r="D3134" s="81">
        <v>14070.7</v>
      </c>
      <c r="E3134" s="151">
        <v>44779</v>
      </c>
      <c r="F3134" s="81">
        <v>14070.7</v>
      </c>
      <c r="G3134" s="156">
        <f>Tabla18[[#This Row],[Importe]]-Tabla18[[#This Row],[Pagado]]</f>
        <v>0</v>
      </c>
      <c r="H3134" s="75" t="s">
        <v>10</v>
      </c>
    </row>
    <row r="3135" spans="1:8" x14ac:dyDescent="0.25">
      <c r="A3135" s="148">
        <v>44772</v>
      </c>
      <c r="B3135" s="149" t="s">
        <v>24515</v>
      </c>
      <c r="C3135" s="153" t="s">
        <v>37</v>
      </c>
      <c r="D3135" s="154">
        <v>2196.4</v>
      </c>
      <c r="E3135" s="155">
        <v>44772</v>
      </c>
      <c r="F3135" s="154">
        <v>2196.4</v>
      </c>
      <c r="G3135" s="156">
        <f>Tabla18[[#This Row],[Importe]]-Tabla18[[#This Row],[Pagado]]</f>
        <v>0</v>
      </c>
      <c r="H3135" s="153" t="s">
        <v>10</v>
      </c>
    </row>
    <row r="3136" spans="1:8" x14ac:dyDescent="0.25">
      <c r="A3136" s="73">
        <v>44772</v>
      </c>
      <c r="B3136" s="74" t="s">
        <v>24516</v>
      </c>
      <c r="C3136" s="75" t="s">
        <v>3823</v>
      </c>
      <c r="D3136" s="81">
        <v>0</v>
      </c>
      <c r="E3136" s="157" t="s">
        <v>189</v>
      </c>
      <c r="F3136" s="81">
        <v>0</v>
      </c>
      <c r="G3136" s="156">
        <f>Tabla18[[#This Row],[Importe]]-Tabla18[[#This Row],[Pagado]]</f>
        <v>0</v>
      </c>
      <c r="H3136" s="75" t="s">
        <v>189</v>
      </c>
    </row>
    <row r="3137" spans="1:8" x14ac:dyDescent="0.25">
      <c r="A3137" s="148">
        <v>44772</v>
      </c>
      <c r="B3137" s="149" t="s">
        <v>24517</v>
      </c>
      <c r="C3137" s="153" t="s">
        <v>31</v>
      </c>
      <c r="D3137" s="154">
        <v>2964.8</v>
      </c>
      <c r="E3137" s="155">
        <v>44772</v>
      </c>
      <c r="F3137" s="154">
        <v>2964.8</v>
      </c>
      <c r="G3137" s="156">
        <f>Tabla18[[#This Row],[Importe]]-Tabla18[[#This Row],[Pagado]]</f>
        <v>0</v>
      </c>
      <c r="H3137" s="153" t="s">
        <v>10</v>
      </c>
    </row>
    <row r="3138" spans="1:8" x14ac:dyDescent="0.25">
      <c r="A3138" s="73">
        <v>44772</v>
      </c>
      <c r="B3138" s="74" t="s">
        <v>24518</v>
      </c>
      <c r="C3138" s="75" t="s">
        <v>452</v>
      </c>
      <c r="D3138" s="81">
        <v>7856</v>
      </c>
      <c r="E3138" s="151">
        <v>44772</v>
      </c>
      <c r="F3138" s="81">
        <v>7856</v>
      </c>
      <c r="G3138" s="156">
        <f>Tabla18[[#This Row],[Importe]]-Tabla18[[#This Row],[Pagado]]</f>
        <v>0</v>
      </c>
      <c r="H3138" s="75" t="s">
        <v>10</v>
      </c>
    </row>
    <row r="3139" spans="1:8" ht="31.5" x14ac:dyDescent="0.25">
      <c r="A3139" s="148">
        <v>44772</v>
      </c>
      <c r="B3139" s="149" t="s">
        <v>24519</v>
      </c>
      <c r="C3139" s="153" t="s">
        <v>670</v>
      </c>
      <c r="D3139" s="154">
        <v>4627.7</v>
      </c>
      <c r="E3139" s="150" t="s">
        <v>24629</v>
      </c>
      <c r="F3139" s="154">
        <f>2000+2627.7</f>
        <v>4627.7</v>
      </c>
      <c r="G3139" s="156">
        <f>Tabla18[[#This Row],[Importe]]-Tabla18[[#This Row],[Pagado]]</f>
        <v>0</v>
      </c>
      <c r="H3139" s="153" t="s">
        <v>10</v>
      </c>
    </row>
    <row r="3140" spans="1:8" x14ac:dyDescent="0.25">
      <c r="A3140" s="73">
        <v>44772</v>
      </c>
      <c r="B3140" s="74" t="s">
        <v>24520</v>
      </c>
      <c r="C3140" s="75" t="s">
        <v>2139</v>
      </c>
      <c r="D3140" s="81">
        <v>1789.8</v>
      </c>
      <c r="E3140" s="151">
        <v>44772</v>
      </c>
      <c r="F3140" s="81">
        <v>1789.8</v>
      </c>
      <c r="G3140" s="156">
        <f>Tabla18[[#This Row],[Importe]]-Tabla18[[#This Row],[Pagado]]</f>
        <v>0</v>
      </c>
      <c r="H3140" s="75" t="s">
        <v>10</v>
      </c>
    </row>
    <row r="3141" spans="1:8" x14ac:dyDescent="0.25">
      <c r="A3141" s="148">
        <v>44772</v>
      </c>
      <c r="B3141" s="149" t="s">
        <v>24521</v>
      </c>
      <c r="C3141" s="153" t="s">
        <v>24621</v>
      </c>
      <c r="D3141" s="154">
        <v>0</v>
      </c>
      <c r="E3141" s="158" t="s">
        <v>189</v>
      </c>
      <c r="F3141" s="154">
        <v>0</v>
      </c>
      <c r="G3141" s="156">
        <f>Tabla18[[#This Row],[Importe]]-Tabla18[[#This Row],[Pagado]]</f>
        <v>0</v>
      </c>
      <c r="H3141" s="153" t="s">
        <v>189</v>
      </c>
    </row>
    <row r="3142" spans="1:8" x14ac:dyDescent="0.25">
      <c r="A3142" s="73">
        <v>44772</v>
      </c>
      <c r="B3142" s="74" t="s">
        <v>24522</v>
      </c>
      <c r="C3142" s="75" t="s">
        <v>191</v>
      </c>
      <c r="D3142" s="81">
        <v>1840.7</v>
      </c>
      <c r="E3142" s="151">
        <v>44772</v>
      </c>
      <c r="F3142" s="81">
        <v>1840.7</v>
      </c>
      <c r="G3142" s="156">
        <f>Tabla18[[#This Row],[Importe]]-Tabla18[[#This Row],[Pagado]]</f>
        <v>0</v>
      </c>
      <c r="H3142" s="75" t="s">
        <v>10</v>
      </c>
    </row>
    <row r="3143" spans="1:8" x14ac:dyDescent="0.25">
      <c r="A3143" s="148">
        <v>44772</v>
      </c>
      <c r="B3143" s="149" t="s">
        <v>24523</v>
      </c>
      <c r="C3143" s="153" t="s">
        <v>233</v>
      </c>
      <c r="D3143" s="154">
        <v>6142.2</v>
      </c>
      <c r="E3143" s="155">
        <v>44772</v>
      </c>
      <c r="F3143" s="154">
        <v>6142.2</v>
      </c>
      <c r="G3143" s="156">
        <f>Tabla18[[#This Row],[Importe]]-Tabla18[[#This Row],[Pagado]]</f>
        <v>0</v>
      </c>
      <c r="H3143" s="153" t="s">
        <v>10</v>
      </c>
    </row>
    <row r="3144" spans="1:8" x14ac:dyDescent="0.25">
      <c r="A3144" s="73">
        <v>44772</v>
      </c>
      <c r="B3144" s="74" t="s">
        <v>24524</v>
      </c>
      <c r="C3144" s="75" t="s">
        <v>31</v>
      </c>
      <c r="D3144" s="81">
        <v>18731.2</v>
      </c>
      <c r="E3144" s="151">
        <v>44772</v>
      </c>
      <c r="F3144" s="81">
        <v>18731.2</v>
      </c>
      <c r="G3144" s="156">
        <f>Tabla18[[#This Row],[Importe]]-Tabla18[[#This Row],[Pagado]]</f>
        <v>0</v>
      </c>
      <c r="H3144" s="75" t="s">
        <v>10</v>
      </c>
    </row>
    <row r="3145" spans="1:8" x14ac:dyDescent="0.25">
      <c r="A3145" s="148">
        <v>44772</v>
      </c>
      <c r="B3145" s="149" t="s">
        <v>24525</v>
      </c>
      <c r="C3145" s="153" t="s">
        <v>31</v>
      </c>
      <c r="D3145" s="154">
        <v>1740</v>
      </c>
      <c r="E3145" s="155">
        <v>44772</v>
      </c>
      <c r="F3145" s="154">
        <v>1740</v>
      </c>
      <c r="G3145" s="156">
        <f>Tabla18[[#This Row],[Importe]]-Tabla18[[#This Row],[Pagado]]</f>
        <v>0</v>
      </c>
      <c r="H3145" s="153" t="s">
        <v>10</v>
      </c>
    </row>
    <row r="3146" spans="1:8" x14ac:dyDescent="0.25">
      <c r="A3146" s="73">
        <v>44772</v>
      </c>
      <c r="B3146" s="74" t="s">
        <v>24526</v>
      </c>
      <c r="C3146" s="75" t="s">
        <v>31</v>
      </c>
      <c r="D3146" s="81">
        <v>1832</v>
      </c>
      <c r="E3146" s="151">
        <v>44772</v>
      </c>
      <c r="F3146" s="81">
        <v>1832</v>
      </c>
      <c r="G3146" s="156">
        <f>Tabla18[[#This Row],[Importe]]-Tabla18[[#This Row],[Pagado]]</f>
        <v>0</v>
      </c>
      <c r="H3146" s="75" t="s">
        <v>10</v>
      </c>
    </row>
    <row r="3147" spans="1:8" x14ac:dyDescent="0.25">
      <c r="A3147" s="148">
        <v>44772</v>
      </c>
      <c r="B3147" s="149" t="s">
        <v>24527</v>
      </c>
      <c r="C3147" s="153" t="s">
        <v>142</v>
      </c>
      <c r="D3147" s="154">
        <v>78511.600000000006</v>
      </c>
      <c r="E3147" s="155">
        <v>44837</v>
      </c>
      <c r="F3147" s="154">
        <v>78511.600000000006</v>
      </c>
      <c r="G3147" s="156">
        <f>Tabla18[[#This Row],[Importe]]-Tabla18[[#This Row],[Pagado]]</f>
        <v>0</v>
      </c>
      <c r="H3147" s="153" t="s">
        <v>10</v>
      </c>
    </row>
    <row r="3148" spans="1:8" x14ac:dyDescent="0.25">
      <c r="A3148" s="73">
        <v>44772</v>
      </c>
      <c r="B3148" s="74" t="s">
        <v>24528</v>
      </c>
      <c r="C3148" s="75" t="s">
        <v>198</v>
      </c>
      <c r="D3148" s="81">
        <v>4641</v>
      </c>
      <c r="E3148" s="151">
        <v>44773</v>
      </c>
      <c r="F3148" s="81">
        <v>4641</v>
      </c>
      <c r="G3148" s="156">
        <f>Tabla18[[#This Row],[Importe]]-Tabla18[[#This Row],[Pagado]]</f>
        <v>0</v>
      </c>
      <c r="H3148" s="75" t="s">
        <v>10</v>
      </c>
    </row>
    <row r="3149" spans="1:8" x14ac:dyDescent="0.25">
      <c r="A3149" s="148">
        <v>44772</v>
      </c>
      <c r="B3149" s="149" t="s">
        <v>24529</v>
      </c>
      <c r="C3149" s="153" t="s">
        <v>67</v>
      </c>
      <c r="D3149" s="154">
        <v>3384.6</v>
      </c>
      <c r="E3149" s="155">
        <v>44772</v>
      </c>
      <c r="F3149" s="154">
        <v>3384.6</v>
      </c>
      <c r="G3149" s="156">
        <f>Tabla18[[#This Row],[Importe]]-Tabla18[[#This Row],[Pagado]]</f>
        <v>0</v>
      </c>
      <c r="H3149" s="153" t="s">
        <v>10</v>
      </c>
    </row>
    <row r="3150" spans="1:8" x14ac:dyDescent="0.25">
      <c r="A3150" s="73">
        <v>44772</v>
      </c>
      <c r="B3150" s="74" t="s">
        <v>24530</v>
      </c>
      <c r="C3150" s="75" t="s">
        <v>31</v>
      </c>
      <c r="D3150" s="81">
        <v>12000</v>
      </c>
      <c r="E3150" s="151">
        <v>44772</v>
      </c>
      <c r="F3150" s="81">
        <v>12000</v>
      </c>
      <c r="G3150" s="156">
        <f>Tabla18[[#This Row],[Importe]]-Tabla18[[#This Row],[Pagado]]</f>
        <v>0</v>
      </c>
      <c r="H3150" s="75" t="s">
        <v>10</v>
      </c>
    </row>
    <row r="3151" spans="1:8" x14ac:dyDescent="0.25">
      <c r="A3151" s="148">
        <v>44772</v>
      </c>
      <c r="B3151" s="149" t="s">
        <v>24531</v>
      </c>
      <c r="C3151" s="153" t="s">
        <v>214</v>
      </c>
      <c r="D3151" s="154">
        <v>2192.4</v>
      </c>
      <c r="E3151" s="155">
        <v>44772</v>
      </c>
      <c r="F3151" s="154">
        <v>2192.4</v>
      </c>
      <c r="G3151" s="156">
        <f>Tabla18[[#This Row],[Importe]]-Tabla18[[#This Row],[Pagado]]</f>
        <v>0</v>
      </c>
      <c r="H3151" s="153" t="s">
        <v>10</v>
      </c>
    </row>
    <row r="3152" spans="1:8" x14ac:dyDescent="0.25">
      <c r="A3152" s="73">
        <v>44772</v>
      </c>
      <c r="B3152" s="74" t="s">
        <v>24532</v>
      </c>
      <c r="C3152" s="75" t="s">
        <v>53</v>
      </c>
      <c r="D3152" s="81">
        <v>2493.6999999999998</v>
      </c>
      <c r="E3152" s="151">
        <v>44772</v>
      </c>
      <c r="F3152" s="81">
        <v>2493.6999999999998</v>
      </c>
      <c r="G3152" s="156">
        <f>Tabla18[[#This Row],[Importe]]-Tabla18[[#This Row],[Pagado]]</f>
        <v>0</v>
      </c>
      <c r="H3152" s="75" t="s">
        <v>10</v>
      </c>
    </row>
    <row r="3153" spans="1:8" x14ac:dyDescent="0.25">
      <c r="A3153" s="148">
        <v>44772</v>
      </c>
      <c r="B3153" s="149" t="s">
        <v>24533</v>
      </c>
      <c r="C3153" s="153" t="s">
        <v>426</v>
      </c>
      <c r="D3153" s="154">
        <v>3256</v>
      </c>
      <c r="E3153" s="155">
        <v>44773</v>
      </c>
      <c r="F3153" s="154">
        <v>3256</v>
      </c>
      <c r="G3153" s="156">
        <f>Tabla18[[#This Row],[Importe]]-Tabla18[[#This Row],[Pagado]]</f>
        <v>0</v>
      </c>
      <c r="H3153" s="153" t="s">
        <v>10</v>
      </c>
    </row>
    <row r="3154" spans="1:8" x14ac:dyDescent="0.25">
      <c r="A3154" s="73">
        <v>44772</v>
      </c>
      <c r="B3154" s="74" t="s">
        <v>24534</v>
      </c>
      <c r="C3154" s="75" t="s">
        <v>200</v>
      </c>
      <c r="D3154" s="81">
        <v>2183.6999999999998</v>
      </c>
      <c r="E3154" s="151">
        <v>44773</v>
      </c>
      <c r="F3154" s="81">
        <v>2183.6999999999998</v>
      </c>
      <c r="G3154" s="156">
        <f>Tabla18[[#This Row],[Importe]]-Tabla18[[#This Row],[Pagado]]</f>
        <v>0</v>
      </c>
      <c r="H3154" s="75" t="s">
        <v>10</v>
      </c>
    </row>
    <row r="3155" spans="1:8" x14ac:dyDescent="0.25">
      <c r="A3155" s="148">
        <v>44772</v>
      </c>
      <c r="B3155" s="149" t="s">
        <v>24535</v>
      </c>
      <c r="C3155" s="153" t="s">
        <v>181</v>
      </c>
      <c r="D3155" s="154">
        <v>14744.4</v>
      </c>
      <c r="E3155" s="155">
        <v>44773</v>
      </c>
      <c r="F3155" s="154">
        <v>14744.4</v>
      </c>
      <c r="G3155" s="156">
        <f>Tabla18[[#This Row],[Importe]]-Tabla18[[#This Row],[Pagado]]</f>
        <v>0</v>
      </c>
      <c r="H3155" s="153" t="s">
        <v>10</v>
      </c>
    </row>
    <row r="3156" spans="1:8" x14ac:dyDescent="0.25">
      <c r="A3156" s="73">
        <v>44772</v>
      </c>
      <c r="B3156" s="74" t="s">
        <v>24536</v>
      </c>
      <c r="C3156" s="75" t="s">
        <v>9827</v>
      </c>
      <c r="D3156" s="81">
        <v>11634.9</v>
      </c>
      <c r="E3156" s="151">
        <v>44772</v>
      </c>
      <c r="F3156" s="81">
        <v>11634.9</v>
      </c>
      <c r="G3156" s="156">
        <f>Tabla18[[#This Row],[Importe]]-Tabla18[[#This Row],[Pagado]]</f>
        <v>0</v>
      </c>
      <c r="H3156" s="75" t="s">
        <v>10</v>
      </c>
    </row>
    <row r="3157" spans="1:8" x14ac:dyDescent="0.25">
      <c r="A3157" s="148">
        <v>44772</v>
      </c>
      <c r="B3157" s="149" t="s">
        <v>24537</v>
      </c>
      <c r="C3157" s="153" t="s">
        <v>107</v>
      </c>
      <c r="D3157" s="154">
        <v>31828.3</v>
      </c>
      <c r="E3157" s="155">
        <v>44772</v>
      </c>
      <c r="F3157" s="154">
        <v>31828.3</v>
      </c>
      <c r="G3157" s="156">
        <f>Tabla18[[#This Row],[Importe]]-Tabla18[[#This Row],[Pagado]]</f>
        <v>0</v>
      </c>
      <c r="H3157" s="153" t="s">
        <v>10</v>
      </c>
    </row>
    <row r="3158" spans="1:8" x14ac:dyDescent="0.25">
      <c r="A3158" s="73">
        <v>44772</v>
      </c>
      <c r="B3158" s="74" t="s">
        <v>24538</v>
      </c>
      <c r="C3158" s="75" t="s">
        <v>31</v>
      </c>
      <c r="D3158" s="81">
        <v>2618.6999999999998</v>
      </c>
      <c r="E3158" s="151">
        <v>44772</v>
      </c>
      <c r="F3158" s="81">
        <v>2618.6999999999998</v>
      </c>
      <c r="G3158" s="156">
        <f>Tabla18[[#This Row],[Importe]]-Tabla18[[#This Row],[Pagado]]</f>
        <v>0</v>
      </c>
      <c r="H3158" s="75" t="s">
        <v>10</v>
      </c>
    </row>
    <row r="3159" spans="1:8" x14ac:dyDescent="0.25">
      <c r="A3159" s="148">
        <v>44772</v>
      </c>
      <c r="B3159" s="149" t="s">
        <v>24539</v>
      </c>
      <c r="C3159" s="153" t="s">
        <v>22</v>
      </c>
      <c r="D3159" s="154">
        <v>5118.8</v>
      </c>
      <c r="E3159" s="155">
        <v>44773</v>
      </c>
      <c r="F3159" s="154">
        <v>5118.8</v>
      </c>
      <c r="G3159" s="156">
        <f>Tabla18[[#This Row],[Importe]]-Tabla18[[#This Row],[Pagado]]</f>
        <v>0</v>
      </c>
      <c r="H3159" s="153" t="s">
        <v>10</v>
      </c>
    </row>
    <row r="3160" spans="1:8" x14ac:dyDescent="0.25">
      <c r="A3160" s="73">
        <v>44772</v>
      </c>
      <c r="B3160" s="74" t="s">
        <v>24540</v>
      </c>
      <c r="C3160" s="75" t="s">
        <v>19027</v>
      </c>
      <c r="D3160" s="81">
        <v>0</v>
      </c>
      <c r="E3160" s="157" t="s">
        <v>189</v>
      </c>
      <c r="F3160" s="81">
        <v>0</v>
      </c>
      <c r="G3160" s="156">
        <f>Tabla18[[#This Row],[Importe]]-Tabla18[[#This Row],[Pagado]]</f>
        <v>0</v>
      </c>
      <c r="H3160" s="161" t="s">
        <v>24541</v>
      </c>
    </row>
    <row r="3161" spans="1:8" x14ac:dyDescent="0.25">
      <c r="A3161" s="148">
        <v>44772</v>
      </c>
      <c r="B3161" s="149" t="s">
        <v>24542</v>
      </c>
      <c r="C3161" s="153" t="s">
        <v>457</v>
      </c>
      <c r="D3161" s="154">
        <v>218</v>
      </c>
      <c r="E3161" s="155">
        <v>44772</v>
      </c>
      <c r="F3161" s="154">
        <v>218</v>
      </c>
      <c r="G3161" s="156">
        <f>Tabla18[[#This Row],[Importe]]-Tabla18[[#This Row],[Pagado]]</f>
        <v>0</v>
      </c>
      <c r="H3161" s="153" t="s">
        <v>10</v>
      </c>
    </row>
    <row r="3162" spans="1:8" x14ac:dyDescent="0.25">
      <c r="A3162" s="73">
        <v>44772</v>
      </c>
      <c r="B3162" s="74" t="s">
        <v>24543</v>
      </c>
      <c r="C3162" s="75" t="s">
        <v>459</v>
      </c>
      <c r="D3162" s="81">
        <v>213</v>
      </c>
      <c r="E3162" s="151">
        <v>44772</v>
      </c>
      <c r="F3162" s="81">
        <v>213</v>
      </c>
      <c r="G3162" s="156">
        <f>Tabla18[[#This Row],[Importe]]-Tabla18[[#This Row],[Pagado]]</f>
        <v>0</v>
      </c>
      <c r="H3162" s="75" t="s">
        <v>10</v>
      </c>
    </row>
    <row r="3163" spans="1:8" x14ac:dyDescent="0.25">
      <c r="A3163" s="148">
        <v>44772</v>
      </c>
      <c r="B3163" s="149" t="s">
        <v>24544</v>
      </c>
      <c r="C3163" s="153" t="s">
        <v>414</v>
      </c>
      <c r="D3163" s="154">
        <v>26935.200000000001</v>
      </c>
      <c r="E3163" s="155">
        <v>44786</v>
      </c>
      <c r="F3163" s="154">
        <v>26935.200000000001</v>
      </c>
      <c r="G3163" s="156">
        <f>Tabla18[[#This Row],[Importe]]-Tabla18[[#This Row],[Pagado]]</f>
        <v>0</v>
      </c>
      <c r="H3163" s="153" t="s">
        <v>10</v>
      </c>
    </row>
    <row r="3164" spans="1:8" x14ac:dyDescent="0.25">
      <c r="A3164" s="73">
        <v>44772</v>
      </c>
      <c r="B3164" s="74" t="s">
        <v>24545</v>
      </c>
      <c r="C3164" s="75" t="s">
        <v>463</v>
      </c>
      <c r="D3164" s="81">
        <v>550</v>
      </c>
      <c r="E3164" s="151">
        <v>44772</v>
      </c>
      <c r="F3164" s="81">
        <v>550</v>
      </c>
      <c r="G3164" s="156">
        <f>Tabla18[[#This Row],[Importe]]-Tabla18[[#This Row],[Pagado]]</f>
        <v>0</v>
      </c>
      <c r="H3164" s="75" t="s">
        <v>10</v>
      </c>
    </row>
    <row r="3165" spans="1:8" x14ac:dyDescent="0.25">
      <c r="A3165" s="148">
        <v>44772</v>
      </c>
      <c r="B3165" s="149" t="s">
        <v>24546</v>
      </c>
      <c r="C3165" s="153" t="s">
        <v>461</v>
      </c>
      <c r="D3165" s="154">
        <v>394</v>
      </c>
      <c r="E3165" s="155">
        <v>44772</v>
      </c>
      <c r="F3165" s="154">
        <v>394</v>
      </c>
      <c r="G3165" s="156">
        <f>Tabla18[[#This Row],[Importe]]-Tabla18[[#This Row],[Pagado]]</f>
        <v>0</v>
      </c>
      <c r="H3165" s="153" t="s">
        <v>10</v>
      </c>
    </row>
    <row r="3166" spans="1:8" x14ac:dyDescent="0.25">
      <c r="A3166" s="73">
        <v>44772</v>
      </c>
      <c r="B3166" s="74" t="s">
        <v>24547</v>
      </c>
      <c r="C3166" s="75" t="s">
        <v>5345</v>
      </c>
      <c r="D3166" s="81">
        <v>10622.7</v>
      </c>
      <c r="E3166" s="151">
        <v>44773</v>
      </c>
      <c r="F3166" s="81">
        <v>10622.7</v>
      </c>
      <c r="G3166" s="156">
        <f>Tabla18[[#This Row],[Importe]]-Tabla18[[#This Row],[Pagado]]</f>
        <v>0</v>
      </c>
      <c r="H3166" s="75" t="s">
        <v>10</v>
      </c>
    </row>
    <row r="3167" spans="1:8" x14ac:dyDescent="0.25">
      <c r="A3167" s="148">
        <v>44772</v>
      </c>
      <c r="B3167" s="149" t="s">
        <v>24548</v>
      </c>
      <c r="C3167" s="153" t="s">
        <v>282</v>
      </c>
      <c r="D3167" s="154">
        <v>3488.7</v>
      </c>
      <c r="E3167" s="155">
        <v>44774</v>
      </c>
      <c r="F3167" s="154">
        <v>3488.7</v>
      </c>
      <c r="G3167" s="156">
        <f>Tabla18[[#This Row],[Importe]]-Tabla18[[#This Row],[Pagado]]</f>
        <v>0</v>
      </c>
      <c r="H3167" s="153" t="s">
        <v>10</v>
      </c>
    </row>
    <row r="3168" spans="1:8" x14ac:dyDescent="0.25">
      <c r="A3168" s="73">
        <v>44772</v>
      </c>
      <c r="B3168" s="74" t="s">
        <v>24549</v>
      </c>
      <c r="C3168" s="75" t="s">
        <v>280</v>
      </c>
      <c r="D3168" s="81">
        <v>3201.6</v>
      </c>
      <c r="E3168" s="151">
        <v>44774</v>
      </c>
      <c r="F3168" s="81">
        <v>3201.6</v>
      </c>
      <c r="G3168" s="156">
        <f>Tabla18[[#This Row],[Importe]]-Tabla18[[#This Row],[Pagado]]</f>
        <v>0</v>
      </c>
      <c r="H3168" s="75" t="s">
        <v>10</v>
      </c>
    </row>
    <row r="3169" spans="1:8" x14ac:dyDescent="0.25">
      <c r="A3169" s="148">
        <v>44772</v>
      </c>
      <c r="B3169" s="149" t="s">
        <v>24550</v>
      </c>
      <c r="C3169" s="153" t="s">
        <v>10819</v>
      </c>
      <c r="D3169" s="154">
        <v>3285.6</v>
      </c>
      <c r="E3169" s="155">
        <v>44774</v>
      </c>
      <c r="F3169" s="154">
        <v>3285.6</v>
      </c>
      <c r="G3169" s="156">
        <f>Tabla18[[#This Row],[Importe]]-Tabla18[[#This Row],[Pagado]]</f>
        <v>0</v>
      </c>
      <c r="H3169" s="153" t="s">
        <v>10</v>
      </c>
    </row>
    <row r="3170" spans="1:8" x14ac:dyDescent="0.25">
      <c r="A3170" s="73">
        <v>44772</v>
      </c>
      <c r="B3170" s="74" t="s">
        <v>24551</v>
      </c>
      <c r="C3170" s="75" t="s">
        <v>1350</v>
      </c>
      <c r="D3170" s="81">
        <v>1234.0999999999999</v>
      </c>
      <c r="E3170" s="151">
        <v>44774</v>
      </c>
      <c r="F3170" s="81">
        <v>1234.0999999999999</v>
      </c>
      <c r="G3170" s="156">
        <f>Tabla18[[#This Row],[Importe]]-Tabla18[[#This Row],[Pagado]]</f>
        <v>0</v>
      </c>
      <c r="H3170" s="75" t="s">
        <v>10</v>
      </c>
    </row>
    <row r="3171" spans="1:8" x14ac:dyDescent="0.25">
      <c r="A3171" s="148">
        <v>44772</v>
      </c>
      <c r="B3171" s="149" t="s">
        <v>24552</v>
      </c>
      <c r="C3171" s="153" t="s">
        <v>31</v>
      </c>
      <c r="D3171" s="154">
        <v>6244</v>
      </c>
      <c r="E3171" s="155">
        <v>44772</v>
      </c>
      <c r="F3171" s="154">
        <v>6244</v>
      </c>
      <c r="G3171" s="156">
        <f>Tabla18[[#This Row],[Importe]]-Tabla18[[#This Row],[Pagado]]</f>
        <v>0</v>
      </c>
      <c r="H3171" s="153" t="s">
        <v>10</v>
      </c>
    </row>
    <row r="3172" spans="1:8" x14ac:dyDescent="0.25">
      <c r="A3172" s="73">
        <v>44772</v>
      </c>
      <c r="B3172" s="74" t="s">
        <v>24553</v>
      </c>
      <c r="C3172" s="75" t="s">
        <v>56</v>
      </c>
      <c r="D3172" s="81">
        <v>3096</v>
      </c>
      <c r="E3172" s="151">
        <v>44772</v>
      </c>
      <c r="F3172" s="81">
        <v>3096</v>
      </c>
      <c r="G3172" s="156">
        <f>Tabla18[[#This Row],[Importe]]-Tabla18[[#This Row],[Pagado]]</f>
        <v>0</v>
      </c>
      <c r="H3172" s="75" t="s">
        <v>10</v>
      </c>
    </row>
    <row r="3173" spans="1:8" x14ac:dyDescent="0.25">
      <c r="A3173" s="148">
        <v>44772</v>
      </c>
      <c r="B3173" s="149" t="s">
        <v>24554</v>
      </c>
      <c r="C3173" s="153" t="s">
        <v>296</v>
      </c>
      <c r="D3173" s="154">
        <v>3517.8</v>
      </c>
      <c r="E3173" s="155">
        <v>44772</v>
      </c>
      <c r="F3173" s="154">
        <v>3517.8</v>
      </c>
      <c r="G3173" s="156">
        <f>Tabla18[[#This Row],[Importe]]-Tabla18[[#This Row],[Pagado]]</f>
        <v>0</v>
      </c>
      <c r="H3173" s="153" t="s">
        <v>10</v>
      </c>
    </row>
    <row r="3174" spans="1:8" x14ac:dyDescent="0.25">
      <c r="A3174" s="73">
        <v>44772</v>
      </c>
      <c r="B3174" s="74" t="s">
        <v>24555</v>
      </c>
      <c r="C3174" s="75" t="s">
        <v>31</v>
      </c>
      <c r="D3174" s="81">
        <v>1937</v>
      </c>
      <c r="E3174" s="151">
        <v>44772</v>
      </c>
      <c r="F3174" s="81">
        <v>1937</v>
      </c>
      <c r="G3174" s="156">
        <f>Tabla18[[#This Row],[Importe]]-Tabla18[[#This Row],[Pagado]]</f>
        <v>0</v>
      </c>
      <c r="H3174" s="75" t="s">
        <v>10</v>
      </c>
    </row>
    <row r="3175" spans="1:8" x14ac:dyDescent="0.25">
      <c r="A3175" s="148">
        <v>44772</v>
      </c>
      <c r="B3175" s="149" t="s">
        <v>24556</v>
      </c>
      <c r="C3175" s="153" t="s">
        <v>7313</v>
      </c>
      <c r="D3175" s="154">
        <v>3971.1</v>
      </c>
      <c r="E3175" s="155">
        <v>44772</v>
      </c>
      <c r="F3175" s="154">
        <v>3971.1</v>
      </c>
      <c r="G3175" s="156">
        <f>Tabla18[[#This Row],[Importe]]-Tabla18[[#This Row],[Pagado]]</f>
        <v>0</v>
      </c>
      <c r="H3175" s="153" t="s">
        <v>10</v>
      </c>
    </row>
    <row r="3176" spans="1:8" x14ac:dyDescent="0.25">
      <c r="A3176" s="73">
        <v>44772</v>
      </c>
      <c r="B3176" s="74" t="s">
        <v>24557</v>
      </c>
      <c r="C3176" s="75" t="s">
        <v>1421</v>
      </c>
      <c r="D3176" s="81">
        <v>30664.400000000001</v>
      </c>
      <c r="E3176" s="151">
        <v>44772</v>
      </c>
      <c r="F3176" s="81">
        <v>30664.400000000001</v>
      </c>
      <c r="G3176" s="156">
        <f>Tabla18[[#This Row],[Importe]]-Tabla18[[#This Row],[Pagado]]</f>
        <v>0</v>
      </c>
      <c r="H3176" s="75" t="s">
        <v>10</v>
      </c>
    </row>
    <row r="3177" spans="1:8" x14ac:dyDescent="0.25">
      <c r="A3177" s="148">
        <v>44772</v>
      </c>
      <c r="B3177" s="149" t="s">
        <v>24558</v>
      </c>
      <c r="C3177" s="153" t="s">
        <v>654</v>
      </c>
      <c r="D3177" s="154">
        <v>10854.9</v>
      </c>
      <c r="E3177" s="155">
        <v>44774</v>
      </c>
      <c r="F3177" s="154">
        <v>10854.9</v>
      </c>
      <c r="G3177" s="156">
        <f>Tabla18[[#This Row],[Importe]]-Tabla18[[#This Row],[Pagado]]</f>
        <v>0</v>
      </c>
      <c r="H3177" s="153" t="s">
        <v>10</v>
      </c>
    </row>
    <row r="3178" spans="1:8" x14ac:dyDescent="0.25">
      <c r="A3178" s="73">
        <v>44772</v>
      </c>
      <c r="B3178" s="74" t="s">
        <v>24559</v>
      </c>
      <c r="C3178" s="75" t="s">
        <v>857</v>
      </c>
      <c r="D3178" s="81">
        <v>1016</v>
      </c>
      <c r="E3178" s="151">
        <v>44772</v>
      </c>
      <c r="F3178" s="81">
        <v>1016</v>
      </c>
      <c r="G3178" s="156">
        <f>Tabla18[[#This Row],[Importe]]-Tabla18[[#This Row],[Pagado]]</f>
        <v>0</v>
      </c>
      <c r="H3178" s="75" t="s">
        <v>10</v>
      </c>
    </row>
    <row r="3179" spans="1:8" x14ac:dyDescent="0.25">
      <c r="A3179" s="148">
        <v>44772</v>
      </c>
      <c r="B3179" s="149" t="s">
        <v>24560</v>
      </c>
      <c r="C3179" s="153" t="s">
        <v>69</v>
      </c>
      <c r="D3179" s="154">
        <v>2610</v>
      </c>
      <c r="E3179" s="155">
        <v>44772</v>
      </c>
      <c r="F3179" s="154">
        <v>2610</v>
      </c>
      <c r="G3179" s="156">
        <f>Tabla18[[#This Row],[Importe]]-Tabla18[[#This Row],[Pagado]]</f>
        <v>0</v>
      </c>
      <c r="H3179" s="153" t="s">
        <v>10</v>
      </c>
    </row>
    <row r="3180" spans="1:8" x14ac:dyDescent="0.25">
      <c r="A3180" s="73">
        <v>44772</v>
      </c>
      <c r="B3180" s="74" t="s">
        <v>24561</v>
      </c>
      <c r="C3180" s="75" t="s">
        <v>857</v>
      </c>
      <c r="D3180" s="81">
        <v>200</v>
      </c>
      <c r="E3180" s="151">
        <v>44772</v>
      </c>
      <c r="F3180" s="81">
        <v>200</v>
      </c>
      <c r="G3180" s="156">
        <f>Tabla18[[#This Row],[Importe]]-Tabla18[[#This Row],[Pagado]]</f>
        <v>0</v>
      </c>
      <c r="H3180" s="75" t="s">
        <v>10</v>
      </c>
    </row>
    <row r="3181" spans="1:8" x14ac:dyDescent="0.25">
      <c r="A3181" s="148">
        <v>44772</v>
      </c>
      <c r="B3181" s="149" t="s">
        <v>24562</v>
      </c>
      <c r="C3181" s="153" t="s">
        <v>51</v>
      </c>
      <c r="D3181" s="154">
        <v>5008</v>
      </c>
      <c r="E3181" s="155">
        <v>44772</v>
      </c>
      <c r="F3181" s="154">
        <v>5008</v>
      </c>
      <c r="G3181" s="156">
        <f>Tabla18[[#This Row],[Importe]]-Tabla18[[#This Row],[Pagado]]</f>
        <v>0</v>
      </c>
      <c r="H3181" s="153" t="s">
        <v>10</v>
      </c>
    </row>
    <row r="3182" spans="1:8" x14ac:dyDescent="0.25">
      <c r="A3182" s="73">
        <v>44772</v>
      </c>
      <c r="B3182" s="74" t="s">
        <v>24563</v>
      </c>
      <c r="C3182" s="75" t="s">
        <v>51</v>
      </c>
      <c r="D3182" s="81">
        <v>1364</v>
      </c>
      <c r="E3182" s="151">
        <v>44772</v>
      </c>
      <c r="F3182" s="81">
        <v>1364</v>
      </c>
      <c r="G3182" s="156">
        <f>Tabla18[[#This Row],[Importe]]-Tabla18[[#This Row],[Pagado]]</f>
        <v>0</v>
      </c>
      <c r="H3182" s="75" t="s">
        <v>10</v>
      </c>
    </row>
    <row r="3183" spans="1:8" x14ac:dyDescent="0.25">
      <c r="A3183" s="148">
        <v>44772</v>
      </c>
      <c r="B3183" s="149" t="s">
        <v>24564</v>
      </c>
      <c r="C3183" s="153" t="s">
        <v>157</v>
      </c>
      <c r="D3183" s="154">
        <v>4756.6000000000004</v>
      </c>
      <c r="E3183" s="155">
        <v>44772</v>
      </c>
      <c r="F3183" s="154">
        <v>4756.6000000000004</v>
      </c>
      <c r="G3183" s="156">
        <f>Tabla18[[#This Row],[Importe]]-Tabla18[[#This Row],[Pagado]]</f>
        <v>0</v>
      </c>
      <c r="H3183" s="153" t="s">
        <v>10</v>
      </c>
    </row>
    <row r="3184" spans="1:8" x14ac:dyDescent="0.25">
      <c r="A3184" s="73">
        <v>44772</v>
      </c>
      <c r="B3184" s="74" t="s">
        <v>24565</v>
      </c>
      <c r="C3184" s="75" t="s">
        <v>19637</v>
      </c>
      <c r="D3184" s="81">
        <v>6429.58</v>
      </c>
      <c r="E3184" s="151">
        <v>44779</v>
      </c>
      <c r="F3184" s="81">
        <v>6429.58</v>
      </c>
      <c r="G3184" s="156">
        <f>Tabla18[[#This Row],[Importe]]-Tabla18[[#This Row],[Pagado]]</f>
        <v>0</v>
      </c>
      <c r="H3184" s="75" t="s">
        <v>10</v>
      </c>
    </row>
    <row r="3185" spans="1:8" x14ac:dyDescent="0.25">
      <c r="A3185" s="148">
        <v>44772</v>
      </c>
      <c r="B3185" s="149" t="s">
        <v>24566</v>
      </c>
      <c r="C3185" s="153" t="s">
        <v>31</v>
      </c>
      <c r="D3185" s="154">
        <v>4376.3999999999996</v>
      </c>
      <c r="E3185" s="155">
        <v>44772</v>
      </c>
      <c r="F3185" s="154">
        <v>4376.3999999999996</v>
      </c>
      <c r="G3185" s="156">
        <f>Tabla18[[#This Row],[Importe]]-Tabla18[[#This Row],[Pagado]]</f>
        <v>0</v>
      </c>
      <c r="H3185" s="153" t="s">
        <v>10</v>
      </c>
    </row>
    <row r="3186" spans="1:8" x14ac:dyDescent="0.25">
      <c r="A3186" s="73">
        <v>44773</v>
      </c>
      <c r="B3186" s="74" t="s">
        <v>24567</v>
      </c>
      <c r="C3186" s="75" t="s">
        <v>9</v>
      </c>
      <c r="D3186" s="81">
        <v>8732</v>
      </c>
      <c r="E3186" s="151">
        <v>44773</v>
      </c>
      <c r="F3186" s="81">
        <v>8732</v>
      </c>
      <c r="G3186" s="156">
        <f>Tabla18[[#This Row],[Importe]]-Tabla18[[#This Row],[Pagado]]</f>
        <v>0</v>
      </c>
      <c r="H3186" s="75" t="s">
        <v>10</v>
      </c>
    </row>
    <row r="3187" spans="1:8" x14ac:dyDescent="0.25">
      <c r="A3187" s="148">
        <v>44773</v>
      </c>
      <c r="B3187" s="149" t="s">
        <v>24568</v>
      </c>
      <c r="C3187" s="153" t="s">
        <v>475</v>
      </c>
      <c r="D3187" s="154">
        <v>70615.3</v>
      </c>
      <c r="E3187" s="155">
        <v>44774</v>
      </c>
      <c r="F3187" s="154">
        <v>70615.3</v>
      </c>
      <c r="G3187" s="156">
        <f>Tabla18[[#This Row],[Importe]]-Tabla18[[#This Row],[Pagado]]</f>
        <v>0</v>
      </c>
      <c r="H3187" s="153" t="s">
        <v>10</v>
      </c>
    </row>
    <row r="3188" spans="1:8" x14ac:dyDescent="0.25">
      <c r="A3188" s="73">
        <v>44773</v>
      </c>
      <c r="B3188" s="74" t="s">
        <v>24569</v>
      </c>
      <c r="C3188" s="75" t="s">
        <v>1187</v>
      </c>
      <c r="D3188" s="81">
        <v>2566.1</v>
      </c>
      <c r="E3188" s="151">
        <v>44773</v>
      </c>
      <c r="F3188" s="81">
        <v>2566.1</v>
      </c>
      <c r="G3188" s="156">
        <f>Tabla18[[#This Row],[Importe]]-Tabla18[[#This Row],[Pagado]]</f>
        <v>0</v>
      </c>
      <c r="H3188" s="75" t="s">
        <v>10</v>
      </c>
    </row>
    <row r="3189" spans="1:8" x14ac:dyDescent="0.25">
      <c r="A3189" s="148">
        <v>44773</v>
      </c>
      <c r="B3189" s="149" t="s">
        <v>24570</v>
      </c>
      <c r="C3189" s="153" t="s">
        <v>16</v>
      </c>
      <c r="D3189" s="154">
        <v>10095.700000000001</v>
      </c>
      <c r="E3189" s="155">
        <v>44773</v>
      </c>
      <c r="F3189" s="154">
        <v>10095.700000000001</v>
      </c>
      <c r="G3189" s="156">
        <f>Tabla18[[#This Row],[Importe]]-Tabla18[[#This Row],[Pagado]]</f>
        <v>0</v>
      </c>
      <c r="H3189" s="153" t="s">
        <v>10</v>
      </c>
    </row>
    <row r="3190" spans="1:8" x14ac:dyDescent="0.25">
      <c r="A3190" s="73">
        <v>44773</v>
      </c>
      <c r="B3190" s="74" t="s">
        <v>24571</v>
      </c>
      <c r="C3190" s="75" t="s">
        <v>348</v>
      </c>
      <c r="D3190" s="81">
        <v>1614.7</v>
      </c>
      <c r="E3190" s="151">
        <v>44773</v>
      </c>
      <c r="F3190" s="81">
        <v>1614.7</v>
      </c>
      <c r="G3190" s="156">
        <f>Tabla18[[#This Row],[Importe]]-Tabla18[[#This Row],[Pagado]]</f>
        <v>0</v>
      </c>
      <c r="H3190" s="75" t="s">
        <v>10</v>
      </c>
    </row>
    <row r="3191" spans="1:8" ht="31.5" x14ac:dyDescent="0.25">
      <c r="A3191" s="148">
        <v>44773</v>
      </c>
      <c r="B3191" s="149" t="s">
        <v>24572</v>
      </c>
      <c r="C3191" s="153" t="s">
        <v>22</v>
      </c>
      <c r="D3191" s="154">
        <v>70719.3</v>
      </c>
      <c r="E3191" s="150" t="s">
        <v>24616</v>
      </c>
      <c r="F3191" s="154">
        <f>60000+10719.3</f>
        <v>70719.3</v>
      </c>
      <c r="G3191" s="156">
        <f>Tabla18[[#This Row],[Importe]]-Tabla18[[#This Row],[Pagado]]</f>
        <v>0</v>
      </c>
      <c r="H3191" s="153" t="s">
        <v>10</v>
      </c>
    </row>
    <row r="3192" spans="1:8" x14ac:dyDescent="0.25">
      <c r="A3192" s="73">
        <v>44773</v>
      </c>
      <c r="B3192" s="74" t="s">
        <v>24573</v>
      </c>
      <c r="C3192" s="75" t="s">
        <v>22</v>
      </c>
      <c r="D3192" s="81">
        <v>1576</v>
      </c>
      <c r="E3192" s="151">
        <v>44774</v>
      </c>
      <c r="F3192" s="81">
        <v>1576</v>
      </c>
      <c r="G3192" s="156">
        <f>Tabla18[[#This Row],[Importe]]-Tabla18[[#This Row],[Pagado]]</f>
        <v>0</v>
      </c>
      <c r="H3192" s="75" t="s">
        <v>10</v>
      </c>
    </row>
    <row r="3193" spans="1:8" x14ac:dyDescent="0.25">
      <c r="A3193" s="148">
        <v>44773</v>
      </c>
      <c r="B3193" s="149" t="s">
        <v>24574</v>
      </c>
      <c r="C3193" s="153" t="s">
        <v>12</v>
      </c>
      <c r="D3193" s="154">
        <v>8474</v>
      </c>
      <c r="E3193" s="155">
        <v>44773</v>
      </c>
      <c r="F3193" s="154">
        <v>8474</v>
      </c>
      <c r="G3193" s="156">
        <f>Tabla18[[#This Row],[Importe]]-Tabla18[[#This Row],[Pagado]]</f>
        <v>0</v>
      </c>
      <c r="H3193" s="153" t="s">
        <v>10</v>
      </c>
    </row>
    <row r="3194" spans="1:8" x14ac:dyDescent="0.25">
      <c r="A3194" s="73">
        <v>44773</v>
      </c>
      <c r="B3194" s="74" t="s">
        <v>24575</v>
      </c>
      <c r="C3194" s="75" t="s">
        <v>37</v>
      </c>
      <c r="D3194" s="81">
        <v>3440.8</v>
      </c>
      <c r="E3194" s="151">
        <v>44773</v>
      </c>
      <c r="F3194" s="81">
        <v>3440.8</v>
      </c>
      <c r="G3194" s="156">
        <f>Tabla18[[#This Row],[Importe]]-Tabla18[[#This Row],[Pagado]]</f>
        <v>0</v>
      </c>
      <c r="H3194" s="75" t="s">
        <v>10</v>
      </c>
    </row>
    <row r="3195" spans="1:8" x14ac:dyDescent="0.25">
      <c r="A3195" s="148">
        <v>44773</v>
      </c>
      <c r="B3195" s="149" t="s">
        <v>24576</v>
      </c>
      <c r="C3195" s="153" t="s">
        <v>9415</v>
      </c>
      <c r="D3195" s="154">
        <v>21062.6</v>
      </c>
      <c r="E3195" s="155">
        <v>44775</v>
      </c>
      <c r="F3195" s="154">
        <v>21062.6</v>
      </c>
      <c r="G3195" s="156">
        <f>Tabla18[[#This Row],[Importe]]-Tabla18[[#This Row],[Pagado]]</f>
        <v>0</v>
      </c>
      <c r="H3195" s="153" t="s">
        <v>10</v>
      </c>
    </row>
    <row r="3196" spans="1:8" x14ac:dyDescent="0.25">
      <c r="A3196" s="73">
        <v>44773</v>
      </c>
      <c r="B3196" s="74" t="s">
        <v>24577</v>
      </c>
      <c r="C3196" s="75" t="s">
        <v>670</v>
      </c>
      <c r="D3196" s="81">
        <v>1808.5</v>
      </c>
      <c r="E3196" s="151">
        <v>44773</v>
      </c>
      <c r="F3196" s="81">
        <v>1808.5</v>
      </c>
      <c r="G3196" s="156">
        <f>Tabla18[[#This Row],[Importe]]-Tabla18[[#This Row],[Pagado]]</f>
        <v>0</v>
      </c>
      <c r="H3196" s="75" t="s">
        <v>10</v>
      </c>
    </row>
    <row r="3197" spans="1:8" x14ac:dyDescent="0.25">
      <c r="A3197" s="148">
        <v>44773</v>
      </c>
      <c r="B3197" s="149" t="s">
        <v>24578</v>
      </c>
      <c r="C3197" s="153" t="s">
        <v>27</v>
      </c>
      <c r="D3197" s="154">
        <v>972.8</v>
      </c>
      <c r="E3197" s="155">
        <v>44773</v>
      </c>
      <c r="F3197" s="154">
        <v>972.8</v>
      </c>
      <c r="G3197" s="156">
        <f>Tabla18[[#This Row],[Importe]]-Tabla18[[#This Row],[Pagado]]</f>
        <v>0</v>
      </c>
      <c r="H3197" s="153" t="s">
        <v>10</v>
      </c>
    </row>
    <row r="3198" spans="1:8" x14ac:dyDescent="0.25">
      <c r="A3198" s="73">
        <v>44773</v>
      </c>
      <c r="B3198" s="74" t="s">
        <v>24579</v>
      </c>
      <c r="C3198" s="75" t="s">
        <v>11033</v>
      </c>
      <c r="D3198" s="81">
        <v>1919.7</v>
      </c>
      <c r="E3198" s="151">
        <v>44773</v>
      </c>
      <c r="F3198" s="81">
        <v>1919.7</v>
      </c>
      <c r="G3198" s="156">
        <f>Tabla18[[#This Row],[Importe]]-Tabla18[[#This Row],[Pagado]]</f>
        <v>0</v>
      </c>
      <c r="H3198" s="75" t="s">
        <v>10</v>
      </c>
    </row>
    <row r="3199" spans="1:8" x14ac:dyDescent="0.25">
      <c r="A3199" s="148">
        <v>44773</v>
      </c>
      <c r="B3199" s="149" t="s">
        <v>24580</v>
      </c>
      <c r="C3199" s="153" t="s">
        <v>31</v>
      </c>
      <c r="D3199" s="154">
        <v>10303.799999999999</v>
      </c>
      <c r="E3199" s="155">
        <v>44773</v>
      </c>
      <c r="F3199" s="154">
        <v>10303.799999999999</v>
      </c>
      <c r="G3199" s="156">
        <f>Tabla18[[#This Row],[Importe]]-Tabla18[[#This Row],[Pagado]]</f>
        <v>0</v>
      </c>
      <c r="H3199" s="153" t="s">
        <v>10</v>
      </c>
    </row>
    <row r="3200" spans="1:8" x14ac:dyDescent="0.25">
      <c r="A3200" s="73">
        <v>44773</v>
      </c>
      <c r="B3200" s="74" t="s">
        <v>24581</v>
      </c>
      <c r="C3200" s="75" t="s">
        <v>29</v>
      </c>
      <c r="D3200" s="81">
        <v>14737.8</v>
      </c>
      <c r="E3200" s="151">
        <v>44773</v>
      </c>
      <c r="F3200" s="81">
        <v>14737.8</v>
      </c>
      <c r="G3200" s="156">
        <f>Tabla18[[#This Row],[Importe]]-Tabla18[[#This Row],[Pagado]]</f>
        <v>0</v>
      </c>
      <c r="H3200" s="75" t="s">
        <v>10</v>
      </c>
    </row>
    <row r="3201" spans="1:8" x14ac:dyDescent="0.25">
      <c r="A3201" s="148">
        <v>44773</v>
      </c>
      <c r="B3201" s="149" t="s">
        <v>24582</v>
      </c>
      <c r="C3201" s="153" t="s">
        <v>20</v>
      </c>
      <c r="D3201" s="154">
        <v>12307.2</v>
      </c>
      <c r="E3201" s="155">
        <v>44773</v>
      </c>
      <c r="F3201" s="154">
        <v>12307.2</v>
      </c>
      <c r="G3201" s="156">
        <f>Tabla18[[#This Row],[Importe]]-Tabla18[[#This Row],[Pagado]]</f>
        <v>0</v>
      </c>
      <c r="H3201" s="153" t="s">
        <v>10</v>
      </c>
    </row>
    <row r="3202" spans="1:8" x14ac:dyDescent="0.25">
      <c r="A3202" s="73">
        <v>44773</v>
      </c>
      <c r="B3202" s="74" t="s">
        <v>24583</v>
      </c>
      <c r="C3202" s="75" t="s">
        <v>111</v>
      </c>
      <c r="D3202" s="81">
        <v>696</v>
      </c>
      <c r="E3202" s="151">
        <v>44773</v>
      </c>
      <c r="F3202" s="81">
        <v>696</v>
      </c>
      <c r="G3202" s="156">
        <f>Tabla18[[#This Row],[Importe]]-Tabla18[[#This Row],[Pagado]]</f>
        <v>0</v>
      </c>
      <c r="H3202" s="75" t="s">
        <v>10</v>
      </c>
    </row>
    <row r="3203" spans="1:8" x14ac:dyDescent="0.25">
      <c r="A3203" s="148">
        <v>44773</v>
      </c>
      <c r="B3203" s="149" t="s">
        <v>24584</v>
      </c>
      <c r="C3203" s="153" t="s">
        <v>45</v>
      </c>
      <c r="D3203" s="154">
        <v>8904.6</v>
      </c>
      <c r="E3203" s="155">
        <v>44773</v>
      </c>
      <c r="F3203" s="154">
        <v>8904.6</v>
      </c>
      <c r="G3203" s="156">
        <f>Tabla18[[#This Row],[Importe]]-Tabla18[[#This Row],[Pagado]]</f>
        <v>0</v>
      </c>
      <c r="H3203" s="153" t="s">
        <v>10</v>
      </c>
    </row>
    <row r="3204" spans="1:8" x14ac:dyDescent="0.25">
      <c r="A3204" s="73">
        <v>44773</v>
      </c>
      <c r="B3204" s="74" t="s">
        <v>24585</v>
      </c>
      <c r="C3204" s="75" t="s">
        <v>49</v>
      </c>
      <c r="D3204" s="81">
        <v>4720.5</v>
      </c>
      <c r="E3204" s="151">
        <v>44773</v>
      </c>
      <c r="F3204" s="81">
        <v>4720.5</v>
      </c>
      <c r="G3204" s="156">
        <f>Tabla18[[#This Row],[Importe]]-Tabla18[[#This Row],[Pagado]]</f>
        <v>0</v>
      </c>
      <c r="H3204" s="75" t="s">
        <v>10</v>
      </c>
    </row>
    <row r="3205" spans="1:8" x14ac:dyDescent="0.25">
      <c r="A3205" s="148">
        <v>44773</v>
      </c>
      <c r="B3205" s="149" t="s">
        <v>24586</v>
      </c>
      <c r="C3205" s="153" t="s">
        <v>31</v>
      </c>
      <c r="D3205" s="154">
        <v>2445.4</v>
      </c>
      <c r="E3205" s="155">
        <v>44773</v>
      </c>
      <c r="F3205" s="154">
        <v>2445.4</v>
      </c>
      <c r="G3205" s="156">
        <f>Tabla18[[#This Row],[Importe]]-Tabla18[[#This Row],[Pagado]]</f>
        <v>0</v>
      </c>
      <c r="H3205" s="153" t="s">
        <v>10</v>
      </c>
    </row>
    <row r="3206" spans="1:8" x14ac:dyDescent="0.25">
      <c r="A3206" s="73">
        <v>44773</v>
      </c>
      <c r="B3206" s="74" t="s">
        <v>24587</v>
      </c>
      <c r="C3206" s="75" t="s">
        <v>1003</v>
      </c>
      <c r="D3206" s="81">
        <v>16552</v>
      </c>
      <c r="E3206" s="151">
        <v>44777</v>
      </c>
      <c r="F3206" s="81">
        <v>16552</v>
      </c>
      <c r="G3206" s="156">
        <f>Tabla18[[#This Row],[Importe]]-Tabla18[[#This Row],[Pagado]]</f>
        <v>0</v>
      </c>
      <c r="H3206" s="75" t="s">
        <v>10</v>
      </c>
    </row>
    <row r="3207" spans="1:8" x14ac:dyDescent="0.25">
      <c r="A3207" s="148">
        <v>44773</v>
      </c>
      <c r="B3207" s="149" t="s">
        <v>24588</v>
      </c>
      <c r="C3207" s="153" t="s">
        <v>35</v>
      </c>
      <c r="D3207" s="154">
        <v>2789.2</v>
      </c>
      <c r="E3207" s="155">
        <v>44773</v>
      </c>
      <c r="F3207" s="154">
        <v>2789.2</v>
      </c>
      <c r="G3207" s="156">
        <f>Tabla18[[#This Row],[Importe]]-Tabla18[[#This Row],[Pagado]]</f>
        <v>0</v>
      </c>
      <c r="H3207" s="153" t="s">
        <v>10</v>
      </c>
    </row>
    <row r="3208" spans="1:8" x14ac:dyDescent="0.25">
      <c r="A3208" s="73">
        <v>44773</v>
      </c>
      <c r="B3208" s="74" t="s">
        <v>24589</v>
      </c>
      <c r="C3208" s="75" t="s">
        <v>24</v>
      </c>
      <c r="D3208" s="81">
        <v>4734.5</v>
      </c>
      <c r="E3208" s="151">
        <v>44773</v>
      </c>
      <c r="F3208" s="81">
        <v>4734.5</v>
      </c>
      <c r="G3208" s="156">
        <f>Tabla18[[#This Row],[Importe]]-Tabla18[[#This Row],[Pagado]]</f>
        <v>0</v>
      </c>
      <c r="H3208" s="75" t="s">
        <v>10</v>
      </c>
    </row>
    <row r="3209" spans="1:8" x14ac:dyDescent="0.25">
      <c r="A3209" s="148">
        <v>44773</v>
      </c>
      <c r="B3209" s="149" t="s">
        <v>24590</v>
      </c>
      <c r="C3209" s="153" t="s">
        <v>56</v>
      </c>
      <c r="D3209" s="154">
        <v>9531.4</v>
      </c>
      <c r="E3209" s="155">
        <v>44773</v>
      </c>
      <c r="F3209" s="154">
        <v>9531.4</v>
      </c>
      <c r="G3209" s="156">
        <f>Tabla18[[#This Row],[Importe]]-Tabla18[[#This Row],[Pagado]]</f>
        <v>0</v>
      </c>
      <c r="H3209" s="153" t="s">
        <v>10</v>
      </c>
    </row>
    <row r="3210" spans="1:8" x14ac:dyDescent="0.25">
      <c r="A3210" s="73">
        <v>44773</v>
      </c>
      <c r="B3210" s="74" t="s">
        <v>24591</v>
      </c>
      <c r="C3210" s="75" t="s">
        <v>58</v>
      </c>
      <c r="D3210" s="81">
        <v>5236.8</v>
      </c>
      <c r="E3210" s="151">
        <v>44773</v>
      </c>
      <c r="F3210" s="81">
        <v>5236.8</v>
      </c>
      <c r="G3210" s="156">
        <f>Tabla18[[#This Row],[Importe]]-Tabla18[[#This Row],[Pagado]]</f>
        <v>0</v>
      </c>
      <c r="H3210" s="75" t="s">
        <v>10</v>
      </c>
    </row>
    <row r="3211" spans="1:8" x14ac:dyDescent="0.25">
      <c r="A3211" s="148">
        <v>44773</v>
      </c>
      <c r="B3211" s="149" t="s">
        <v>24592</v>
      </c>
      <c r="C3211" s="153" t="s">
        <v>289</v>
      </c>
      <c r="D3211" s="154">
        <v>13618.2</v>
      </c>
      <c r="E3211" s="155">
        <v>44773</v>
      </c>
      <c r="F3211" s="154">
        <v>13618.2</v>
      </c>
      <c r="G3211" s="156">
        <f>Tabla18[[#This Row],[Importe]]-Tabla18[[#This Row],[Pagado]]</f>
        <v>0</v>
      </c>
      <c r="H3211" s="153" t="s">
        <v>10</v>
      </c>
    </row>
    <row r="3212" spans="1:8" x14ac:dyDescent="0.25">
      <c r="A3212" s="73">
        <v>44773</v>
      </c>
      <c r="B3212" s="74" t="s">
        <v>24593</v>
      </c>
      <c r="C3212" s="75" t="s">
        <v>24284</v>
      </c>
      <c r="D3212" s="81">
        <v>1705.2</v>
      </c>
      <c r="E3212" s="151">
        <v>44773</v>
      </c>
      <c r="F3212" s="81">
        <v>1705.2</v>
      </c>
      <c r="G3212" s="156">
        <f>Tabla18[[#This Row],[Importe]]-Tabla18[[#This Row],[Pagado]]</f>
        <v>0</v>
      </c>
      <c r="H3212" s="75" t="s">
        <v>10</v>
      </c>
    </row>
    <row r="3213" spans="1:8" x14ac:dyDescent="0.25">
      <c r="A3213" s="148">
        <v>44773</v>
      </c>
      <c r="B3213" s="149" t="s">
        <v>24594</v>
      </c>
      <c r="C3213" s="153" t="s">
        <v>296</v>
      </c>
      <c r="D3213" s="154">
        <v>3594.5</v>
      </c>
      <c r="E3213" s="155">
        <v>44773</v>
      </c>
      <c r="F3213" s="154">
        <v>3594.5</v>
      </c>
      <c r="G3213" s="156">
        <f>Tabla18[[#This Row],[Importe]]-Tabla18[[#This Row],[Pagado]]</f>
        <v>0</v>
      </c>
      <c r="H3213" s="153" t="s">
        <v>10</v>
      </c>
    </row>
    <row r="3214" spans="1:8" x14ac:dyDescent="0.25">
      <c r="A3214" s="73">
        <v>44773</v>
      </c>
      <c r="B3214" s="74" t="s">
        <v>24595</v>
      </c>
      <c r="C3214" s="75" t="s">
        <v>191</v>
      </c>
      <c r="D3214" s="81">
        <v>1067.4000000000001</v>
      </c>
      <c r="E3214" s="151">
        <v>44773</v>
      </c>
      <c r="F3214" s="81">
        <v>1067.4000000000001</v>
      </c>
      <c r="G3214" s="156">
        <f>Tabla18[[#This Row],[Importe]]-Tabla18[[#This Row],[Pagado]]</f>
        <v>0</v>
      </c>
      <c r="H3214" s="75" t="s">
        <v>10</v>
      </c>
    </row>
    <row r="3215" spans="1:8" x14ac:dyDescent="0.25">
      <c r="A3215" s="148">
        <v>44773</v>
      </c>
      <c r="B3215" s="149" t="s">
        <v>24596</v>
      </c>
      <c r="C3215" s="153" t="s">
        <v>67</v>
      </c>
      <c r="D3215" s="154">
        <v>2552.1</v>
      </c>
      <c r="E3215" s="155">
        <v>44773</v>
      </c>
      <c r="F3215" s="154">
        <v>2552.1</v>
      </c>
      <c r="G3215" s="156">
        <f>Tabla18[[#This Row],[Importe]]-Tabla18[[#This Row],[Pagado]]</f>
        <v>0</v>
      </c>
      <c r="H3215" s="153" t="s">
        <v>10</v>
      </c>
    </row>
    <row r="3216" spans="1:8" x14ac:dyDescent="0.25">
      <c r="A3216" s="73">
        <v>44773</v>
      </c>
      <c r="B3216" s="74" t="s">
        <v>24597</v>
      </c>
      <c r="C3216" s="75" t="s">
        <v>244</v>
      </c>
      <c r="D3216" s="81">
        <v>1214.4000000000001</v>
      </c>
      <c r="E3216" s="151">
        <v>44773</v>
      </c>
      <c r="F3216" s="81">
        <v>1214.4000000000001</v>
      </c>
      <c r="G3216" s="156">
        <f>Tabla18[[#This Row],[Importe]]-Tabla18[[#This Row],[Pagado]]</f>
        <v>0</v>
      </c>
      <c r="H3216" s="75" t="s">
        <v>10</v>
      </c>
    </row>
    <row r="3217" spans="1:8" x14ac:dyDescent="0.25">
      <c r="A3217" s="148">
        <v>44773</v>
      </c>
      <c r="B3217" s="149" t="s">
        <v>24598</v>
      </c>
      <c r="C3217" s="153" t="s">
        <v>16</v>
      </c>
      <c r="D3217" s="154">
        <v>2570.4</v>
      </c>
      <c r="E3217" s="155">
        <v>44773</v>
      </c>
      <c r="F3217" s="154">
        <v>2570.4</v>
      </c>
      <c r="G3217" s="156">
        <f>Tabla18[[#This Row],[Importe]]-Tabla18[[#This Row],[Pagado]]</f>
        <v>0</v>
      </c>
      <c r="H3217" s="153" t="s">
        <v>10</v>
      </c>
    </row>
    <row r="3218" spans="1:8" x14ac:dyDescent="0.25">
      <c r="A3218" s="73">
        <v>44773</v>
      </c>
      <c r="B3218" s="74" t="s">
        <v>24599</v>
      </c>
      <c r="C3218" s="75" t="s">
        <v>69</v>
      </c>
      <c r="D3218" s="81">
        <v>2868.8</v>
      </c>
      <c r="E3218" s="151">
        <v>44773</v>
      </c>
      <c r="F3218" s="81">
        <v>2868.8</v>
      </c>
      <c r="G3218" s="156">
        <f>Tabla18[[#This Row],[Importe]]-Tabla18[[#This Row],[Pagado]]</f>
        <v>0</v>
      </c>
      <c r="H3218" s="75" t="s">
        <v>10</v>
      </c>
    </row>
    <row r="3219" spans="1:8" x14ac:dyDescent="0.25">
      <c r="A3219" s="148">
        <v>44773</v>
      </c>
      <c r="B3219" s="149" t="s">
        <v>24600</v>
      </c>
      <c r="C3219" s="153" t="s">
        <v>191</v>
      </c>
      <c r="D3219" s="154">
        <v>850</v>
      </c>
      <c r="E3219" s="155">
        <v>44773</v>
      </c>
      <c r="F3219" s="154">
        <v>850</v>
      </c>
      <c r="G3219" s="156">
        <f>Tabla18[[#This Row],[Importe]]-Tabla18[[#This Row],[Pagado]]</f>
        <v>0</v>
      </c>
      <c r="H3219" s="153" t="s">
        <v>10</v>
      </c>
    </row>
    <row r="3220" spans="1:8" x14ac:dyDescent="0.25">
      <c r="A3220" s="73">
        <v>44773</v>
      </c>
      <c r="B3220" s="74" t="s">
        <v>24601</v>
      </c>
      <c r="C3220" s="75" t="s">
        <v>214</v>
      </c>
      <c r="D3220" s="81">
        <v>1931.4</v>
      </c>
      <c r="E3220" s="151">
        <v>44773</v>
      </c>
      <c r="F3220" s="81">
        <v>1931.4</v>
      </c>
      <c r="G3220" s="156">
        <f>Tabla18[[#This Row],[Importe]]-Tabla18[[#This Row],[Pagado]]</f>
        <v>0</v>
      </c>
      <c r="H3220" s="75" t="s">
        <v>10</v>
      </c>
    </row>
    <row r="3221" spans="1:8" x14ac:dyDescent="0.25">
      <c r="A3221" s="148">
        <v>44773</v>
      </c>
      <c r="B3221" s="149" t="s">
        <v>24602</v>
      </c>
      <c r="C3221" s="153" t="s">
        <v>31</v>
      </c>
      <c r="D3221" s="154">
        <v>1693.2</v>
      </c>
      <c r="E3221" s="155">
        <v>44773</v>
      </c>
      <c r="F3221" s="154">
        <v>1693.2</v>
      </c>
      <c r="G3221" s="156">
        <f>Tabla18[[#This Row],[Importe]]-Tabla18[[#This Row],[Pagado]]</f>
        <v>0</v>
      </c>
      <c r="H3221" s="153" t="s">
        <v>10</v>
      </c>
    </row>
    <row r="3222" spans="1:8" x14ac:dyDescent="0.25">
      <c r="A3222" s="73">
        <v>44773</v>
      </c>
      <c r="B3222" s="74" t="s">
        <v>24603</v>
      </c>
      <c r="C3222" s="75" t="s">
        <v>31</v>
      </c>
      <c r="D3222" s="81">
        <v>6838.2</v>
      </c>
      <c r="E3222" s="151">
        <v>44773</v>
      </c>
      <c r="F3222" s="81">
        <v>6838.2</v>
      </c>
      <c r="G3222" s="156">
        <f>Tabla18[[#This Row],[Importe]]-Tabla18[[#This Row],[Pagado]]</f>
        <v>0</v>
      </c>
      <c r="H3222" s="75" t="s">
        <v>10</v>
      </c>
    </row>
    <row r="3223" spans="1:8" x14ac:dyDescent="0.25">
      <c r="A3223" s="148">
        <v>44773</v>
      </c>
      <c r="B3223" s="149" t="s">
        <v>24604</v>
      </c>
      <c r="C3223" s="153" t="s">
        <v>296</v>
      </c>
      <c r="D3223" s="154">
        <v>2182.6</v>
      </c>
      <c r="E3223" s="155">
        <v>44773</v>
      </c>
      <c r="F3223" s="154">
        <v>2182.6</v>
      </c>
      <c r="G3223" s="156">
        <f>Tabla18[[#This Row],[Importe]]-Tabla18[[#This Row],[Pagado]]</f>
        <v>0</v>
      </c>
      <c r="H3223" s="153" t="s">
        <v>10</v>
      </c>
    </row>
    <row r="3224" spans="1:8" x14ac:dyDescent="0.25">
      <c r="A3224" s="73">
        <v>44773</v>
      </c>
      <c r="B3224" s="74" t="s">
        <v>24605</v>
      </c>
      <c r="C3224" s="75" t="s">
        <v>24606</v>
      </c>
      <c r="D3224" s="81">
        <v>687.3</v>
      </c>
      <c r="E3224" s="151">
        <v>44773</v>
      </c>
      <c r="F3224" s="81">
        <v>687.3</v>
      </c>
      <c r="G3224" s="156">
        <f>Tabla18[[#This Row],[Importe]]-Tabla18[[#This Row],[Pagado]]</f>
        <v>0</v>
      </c>
      <c r="H3224" s="75" t="s">
        <v>10</v>
      </c>
    </row>
    <row r="3225" spans="1:8" x14ac:dyDescent="0.25">
      <c r="A3225" s="148">
        <v>44773</v>
      </c>
      <c r="B3225" s="149" t="s">
        <v>24607</v>
      </c>
      <c r="C3225" s="153" t="s">
        <v>2377</v>
      </c>
      <c r="D3225" s="154">
        <v>16876</v>
      </c>
      <c r="E3225" s="155">
        <v>44773</v>
      </c>
      <c r="F3225" s="154">
        <v>16876</v>
      </c>
      <c r="G3225" s="156">
        <f>Tabla18[[#This Row],[Importe]]-Tabla18[[#This Row],[Pagado]]</f>
        <v>0</v>
      </c>
      <c r="H3225" s="153" t="s">
        <v>10</v>
      </c>
    </row>
    <row r="3226" spans="1:8" x14ac:dyDescent="0.25">
      <c r="A3226" s="73">
        <v>44773</v>
      </c>
      <c r="B3226" s="74" t="s">
        <v>24608</v>
      </c>
      <c r="C3226" s="75" t="s">
        <v>226</v>
      </c>
      <c r="D3226" s="81">
        <v>25661</v>
      </c>
      <c r="E3226" s="151">
        <v>44773</v>
      </c>
      <c r="F3226" s="81">
        <v>25661</v>
      </c>
      <c r="G3226" s="156">
        <f>Tabla18[[#This Row],[Importe]]-Tabla18[[#This Row],[Pagado]]</f>
        <v>0</v>
      </c>
      <c r="H3226" s="75" t="s">
        <v>10</v>
      </c>
    </row>
    <row r="3227" spans="1:8" x14ac:dyDescent="0.25">
      <c r="A3227" s="148">
        <v>44773</v>
      </c>
      <c r="B3227" s="149" t="s">
        <v>24609</v>
      </c>
      <c r="C3227" s="153" t="s">
        <v>450</v>
      </c>
      <c r="D3227" s="154">
        <v>15128.4</v>
      </c>
      <c r="E3227" s="155">
        <v>44773</v>
      </c>
      <c r="F3227" s="154">
        <v>15128.4</v>
      </c>
      <c r="G3227" s="156">
        <f>Tabla18[[#This Row],[Importe]]-Tabla18[[#This Row],[Pagado]]</f>
        <v>0</v>
      </c>
      <c r="H3227" s="153" t="s">
        <v>10</v>
      </c>
    </row>
    <row r="3228" spans="1:8" x14ac:dyDescent="0.25">
      <c r="A3228" s="73">
        <v>44773</v>
      </c>
      <c r="B3228" s="74" t="s">
        <v>24610</v>
      </c>
      <c r="C3228" s="75" t="s">
        <v>371</v>
      </c>
      <c r="D3228" s="81">
        <v>14853.9</v>
      </c>
      <c r="E3228" s="151">
        <v>44773</v>
      </c>
      <c r="F3228" s="81">
        <v>14853.9</v>
      </c>
      <c r="G3228" s="156">
        <f>Tabla18[[#This Row],[Importe]]-Tabla18[[#This Row],[Pagado]]</f>
        <v>0</v>
      </c>
      <c r="H3228" s="75" t="s">
        <v>10</v>
      </c>
    </row>
    <row r="3229" spans="1:8" x14ac:dyDescent="0.25">
      <c r="A3229" s="148">
        <v>44773</v>
      </c>
      <c r="B3229" s="149" t="s">
        <v>24611</v>
      </c>
      <c r="C3229" s="153" t="s">
        <v>191</v>
      </c>
      <c r="D3229" s="154">
        <v>722.7</v>
      </c>
      <c r="E3229" s="155">
        <v>44773</v>
      </c>
      <c r="F3229" s="154">
        <v>722.7</v>
      </c>
      <c r="G3229" s="156">
        <f>Tabla18[[#This Row],[Importe]]-Tabla18[[#This Row],[Pagado]]</f>
        <v>0</v>
      </c>
      <c r="H3229" s="153" t="s">
        <v>10</v>
      </c>
    </row>
    <row r="3230" spans="1:8" x14ac:dyDescent="0.25">
      <c r="A3230" s="73">
        <v>44773</v>
      </c>
      <c r="B3230" s="74" t="s">
        <v>24612</v>
      </c>
      <c r="C3230" s="75" t="s">
        <v>67</v>
      </c>
      <c r="D3230" s="81">
        <v>1201.2</v>
      </c>
      <c r="E3230" s="151">
        <v>44773</v>
      </c>
      <c r="F3230" s="81">
        <v>1201.2</v>
      </c>
      <c r="G3230" s="156">
        <f>Tabla18[[#This Row],[Importe]]-Tabla18[[#This Row],[Pagado]]</f>
        <v>0</v>
      </c>
      <c r="H3230" s="75" t="s">
        <v>10</v>
      </c>
    </row>
    <row r="3231" spans="1:8" ht="16.5" thickBot="1" x14ac:dyDescent="0.3">
      <c r="A3231" s="169"/>
      <c r="B3231" s="170"/>
      <c r="C3231" s="171"/>
      <c r="D3231" s="172">
        <v>0</v>
      </c>
      <c r="E3231" s="173"/>
      <c r="F3231" s="172">
        <v>0</v>
      </c>
      <c r="G3231" s="174">
        <f>Tabla18[[#This Row],[Importe]]-Tabla18[[#This Row],[Pagado]]</f>
        <v>0</v>
      </c>
      <c r="H3231" s="171"/>
    </row>
    <row r="3232" spans="1:8" ht="16.5" thickTop="1" x14ac:dyDescent="0.25">
      <c r="A3232" s="163"/>
      <c r="B3232" s="164"/>
      <c r="C3232" s="165"/>
      <c r="D3232" s="166">
        <f>SUBTOTAL(109,D2:D3231)</f>
        <v>38864350.759999983</v>
      </c>
      <c r="E3232" s="167"/>
      <c r="F3232" s="166">
        <f>SUBTOTAL(109,F2:F3231)</f>
        <v>38699387.829999961</v>
      </c>
      <c r="G3232" s="168">
        <f>Tabla18[[#This Row],[Importe]]-Tabla18[[#This Row],[Pagado]]</f>
        <v>164962.93000002205</v>
      </c>
      <c r="H3232" s="165"/>
    </row>
    <row r="3236" spans="4:6" ht="16.5" thickBot="1" x14ac:dyDescent="0.3"/>
    <row r="3237" spans="4:6" x14ac:dyDescent="0.25">
      <c r="D3237" s="289" t="s">
        <v>24613</v>
      </c>
      <c r="E3237" s="285">
        <f>D3232-F3232</f>
        <v>164962.93000002205</v>
      </c>
      <c r="F3237" s="286"/>
    </row>
    <row r="3238" spans="4:6" ht="16.5" thickBot="1" x14ac:dyDescent="0.3">
      <c r="D3238" s="290"/>
      <c r="E3238" s="287"/>
      <c r="F3238" s="288"/>
    </row>
  </sheetData>
  <mergeCells count="2">
    <mergeCell ref="E3237:F3238"/>
    <mergeCell ref="D3237:D323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3228"/>
  <sheetViews>
    <sheetView zoomScale="115" zoomScaleNormal="115" workbookViewId="0">
      <pane xSplit="2" ySplit="1" topLeftCell="D3203" activePane="bottomRight" state="frozen"/>
      <selection pane="topRight" activeCell="C1" sqref="C1"/>
      <selection pane="bottomLeft" activeCell="A2" sqref="A2"/>
      <selection pane="bottomRight" activeCell="G3227" sqref="G3227"/>
    </sheetView>
  </sheetViews>
  <sheetFormatPr baseColWidth="10" defaultRowHeight="15.75" x14ac:dyDescent="0.25"/>
  <cols>
    <col min="1" max="1" width="15.5703125" style="31" customWidth="1"/>
    <col min="2" max="2" width="13" style="32" bestFit="1" customWidth="1"/>
    <col min="3" max="3" width="50.140625" style="33" bestFit="1" customWidth="1"/>
    <col min="4" max="4" width="19.28515625" style="34" customWidth="1"/>
    <col min="5" max="5" width="17.7109375" style="31" customWidth="1"/>
    <col min="6" max="6" width="16.7109375" style="34" customWidth="1"/>
    <col min="7" max="7" width="21" style="36" customWidth="1"/>
    <col min="8" max="8" width="19.28515625" style="33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2" t="s">
        <v>2</v>
      </c>
      <c r="D1" s="52" t="s">
        <v>3</v>
      </c>
      <c r="E1" s="31" t="s">
        <v>4</v>
      </c>
      <c r="F1" s="52" t="s">
        <v>5</v>
      </c>
      <c r="G1" s="180" t="s">
        <v>6</v>
      </c>
      <c r="H1" s="32" t="s">
        <v>7</v>
      </c>
    </row>
    <row r="2" spans="1:8" x14ac:dyDescent="0.25">
      <c r="A2" s="73">
        <v>44774</v>
      </c>
      <c r="B2" s="74" t="s">
        <v>24633</v>
      </c>
      <c r="C2" s="75" t="s">
        <v>887</v>
      </c>
      <c r="D2" s="176">
        <v>15312</v>
      </c>
      <c r="E2" s="151">
        <v>44774</v>
      </c>
      <c r="F2" s="176">
        <v>15312</v>
      </c>
      <c r="G2" s="177">
        <f>Tabla19[[#This Row],[Importe]]-Tabla19[[#This Row],[Pagado]]</f>
        <v>0</v>
      </c>
      <c r="H2" s="75" t="s">
        <v>10</v>
      </c>
    </row>
    <row r="3" spans="1:8" x14ac:dyDescent="0.25">
      <c r="A3" s="148">
        <v>44774</v>
      </c>
      <c r="B3" s="149" t="s">
        <v>24634</v>
      </c>
      <c r="C3" s="153" t="s">
        <v>20</v>
      </c>
      <c r="D3" s="178">
        <v>2148.8000000000002</v>
      </c>
      <c r="E3" s="155">
        <v>44774</v>
      </c>
      <c r="F3" s="178">
        <v>2148.8000000000002</v>
      </c>
      <c r="G3" s="179">
        <f>Tabla19[[#This Row],[Importe]]-Tabla19[[#This Row],[Pagado]]</f>
        <v>0</v>
      </c>
      <c r="H3" s="153" t="s">
        <v>10</v>
      </c>
    </row>
    <row r="4" spans="1:8" ht="31.5" x14ac:dyDescent="0.25">
      <c r="A4" s="73">
        <v>44774</v>
      </c>
      <c r="B4" s="74" t="s">
        <v>24635</v>
      </c>
      <c r="C4" s="75" t="s">
        <v>475</v>
      </c>
      <c r="D4" s="176">
        <v>116629.3</v>
      </c>
      <c r="E4" s="147" t="s">
        <v>24636</v>
      </c>
      <c r="F4" s="176">
        <f>105000+11629.3</f>
        <v>116629.3</v>
      </c>
      <c r="G4" s="177">
        <f>Tabla19[[#This Row],[Importe]]-Tabla19[[#This Row],[Pagado]]</f>
        <v>0</v>
      </c>
      <c r="H4" s="75" t="s">
        <v>10</v>
      </c>
    </row>
    <row r="5" spans="1:8" x14ac:dyDescent="0.25">
      <c r="A5" s="148">
        <v>44774</v>
      </c>
      <c r="B5" s="149" t="s">
        <v>24637</v>
      </c>
      <c r="C5" s="153" t="s">
        <v>95</v>
      </c>
      <c r="D5" s="178">
        <v>17914.400000000001</v>
      </c>
      <c r="E5" s="155">
        <v>44774</v>
      </c>
      <c r="F5" s="178">
        <v>17914.400000000001</v>
      </c>
      <c r="G5" s="179">
        <f>Tabla19[[#This Row],[Importe]]-Tabla19[[#This Row],[Pagado]]</f>
        <v>0</v>
      </c>
      <c r="H5" s="153" t="s">
        <v>10</v>
      </c>
    </row>
    <row r="6" spans="1:8" x14ac:dyDescent="0.25">
      <c r="A6" s="73">
        <v>44774</v>
      </c>
      <c r="B6" s="74" t="s">
        <v>24638</v>
      </c>
      <c r="C6" s="75" t="s">
        <v>18</v>
      </c>
      <c r="D6" s="176">
        <v>1801.2</v>
      </c>
      <c r="E6" s="151">
        <v>44774</v>
      </c>
      <c r="F6" s="176">
        <v>1801.2</v>
      </c>
      <c r="G6" s="177">
        <f>Tabla19[[#This Row],[Importe]]-Tabla19[[#This Row],[Pagado]]</f>
        <v>0</v>
      </c>
      <c r="H6" s="75" t="s">
        <v>10</v>
      </c>
    </row>
    <row r="7" spans="1:8" x14ac:dyDescent="0.25">
      <c r="A7" s="148">
        <v>44774</v>
      </c>
      <c r="B7" s="149" t="s">
        <v>24639</v>
      </c>
      <c r="C7" s="153" t="s">
        <v>111</v>
      </c>
      <c r="D7" s="178">
        <v>5779.2</v>
      </c>
      <c r="E7" s="155">
        <v>44775</v>
      </c>
      <c r="F7" s="178">
        <v>5779.2</v>
      </c>
      <c r="G7" s="179">
        <f>Tabla19[[#This Row],[Importe]]-Tabla19[[#This Row],[Pagado]]</f>
        <v>0</v>
      </c>
      <c r="H7" s="153" t="s">
        <v>10</v>
      </c>
    </row>
    <row r="8" spans="1:8" x14ac:dyDescent="0.25">
      <c r="A8" s="73">
        <v>44774</v>
      </c>
      <c r="B8" s="74" t="s">
        <v>24640</v>
      </c>
      <c r="C8" s="75" t="s">
        <v>64</v>
      </c>
      <c r="D8" s="176">
        <v>5161.2</v>
      </c>
      <c r="E8" s="151">
        <v>44775</v>
      </c>
      <c r="F8" s="176">
        <v>5161.2</v>
      </c>
      <c r="G8" s="177">
        <f>Tabla19[[#This Row],[Importe]]-Tabla19[[#This Row],[Pagado]]</f>
        <v>0</v>
      </c>
      <c r="H8" s="75" t="s">
        <v>10</v>
      </c>
    </row>
    <row r="9" spans="1:8" x14ac:dyDescent="0.25">
      <c r="A9" s="148">
        <v>44774</v>
      </c>
      <c r="B9" s="149" t="s">
        <v>24641</v>
      </c>
      <c r="C9" s="153" t="s">
        <v>60</v>
      </c>
      <c r="D9" s="178">
        <v>5082</v>
      </c>
      <c r="E9" s="155">
        <v>44780</v>
      </c>
      <c r="F9" s="178">
        <v>5082</v>
      </c>
      <c r="G9" s="179">
        <f>Tabla19[[#This Row],[Importe]]-Tabla19[[#This Row],[Pagado]]</f>
        <v>0</v>
      </c>
      <c r="H9" s="153" t="s">
        <v>10</v>
      </c>
    </row>
    <row r="10" spans="1:8" x14ac:dyDescent="0.25">
      <c r="A10" s="73">
        <v>44774</v>
      </c>
      <c r="B10" s="74" t="s">
        <v>24642</v>
      </c>
      <c r="C10" s="75" t="s">
        <v>114</v>
      </c>
      <c r="D10" s="176">
        <v>11456</v>
      </c>
      <c r="E10" s="151">
        <v>44775</v>
      </c>
      <c r="F10" s="176">
        <v>11456</v>
      </c>
      <c r="G10" s="177">
        <f>Tabla19[[#This Row],[Importe]]-Tabla19[[#This Row],[Pagado]]</f>
        <v>0</v>
      </c>
      <c r="H10" s="75" t="s">
        <v>10</v>
      </c>
    </row>
    <row r="11" spans="1:8" x14ac:dyDescent="0.25">
      <c r="A11" s="148">
        <v>44774</v>
      </c>
      <c r="B11" s="149" t="s">
        <v>24643</v>
      </c>
      <c r="C11" s="153" t="s">
        <v>2563</v>
      </c>
      <c r="D11" s="178">
        <v>5181</v>
      </c>
      <c r="E11" s="155">
        <v>44775</v>
      </c>
      <c r="F11" s="178">
        <v>5181</v>
      </c>
      <c r="G11" s="179">
        <f>Tabla19[[#This Row],[Importe]]-Tabla19[[#This Row],[Pagado]]</f>
        <v>0</v>
      </c>
      <c r="H11" s="153" t="s">
        <v>10</v>
      </c>
    </row>
    <row r="12" spans="1:8" ht="31.5" x14ac:dyDescent="0.25">
      <c r="A12" s="73">
        <v>44774</v>
      </c>
      <c r="B12" s="74" t="s">
        <v>24644</v>
      </c>
      <c r="C12" s="75" t="s">
        <v>97</v>
      </c>
      <c r="D12" s="176">
        <v>10058.4</v>
      </c>
      <c r="E12" s="147" t="s">
        <v>24645</v>
      </c>
      <c r="F12" s="176">
        <f>9000+1058.4</f>
        <v>10058.4</v>
      </c>
      <c r="G12" s="177">
        <f>Tabla19[[#This Row],[Importe]]-Tabla19[[#This Row],[Pagado]]</f>
        <v>0</v>
      </c>
      <c r="H12" s="75" t="s">
        <v>10</v>
      </c>
    </row>
    <row r="13" spans="1:8" x14ac:dyDescent="0.25">
      <c r="A13" s="148">
        <v>44774</v>
      </c>
      <c r="B13" s="149" t="s">
        <v>24646</v>
      </c>
      <c r="C13" s="153" t="s">
        <v>348</v>
      </c>
      <c r="D13" s="178">
        <v>5293.3</v>
      </c>
      <c r="E13" s="155">
        <v>44774</v>
      </c>
      <c r="F13" s="178">
        <v>5293.3</v>
      </c>
      <c r="G13" s="179">
        <f>Tabla19[[#This Row],[Importe]]-Tabla19[[#This Row],[Pagado]]</f>
        <v>0</v>
      </c>
      <c r="H13" s="153" t="s">
        <v>10</v>
      </c>
    </row>
    <row r="14" spans="1:8" x14ac:dyDescent="0.25">
      <c r="A14" s="73">
        <v>44774</v>
      </c>
      <c r="B14" s="74" t="s">
        <v>24647</v>
      </c>
      <c r="C14" s="75" t="s">
        <v>105</v>
      </c>
      <c r="D14" s="176">
        <v>8208.5</v>
      </c>
      <c r="E14" s="151">
        <v>44775</v>
      </c>
      <c r="F14" s="176">
        <v>8208.5</v>
      </c>
      <c r="G14" s="177">
        <f>Tabla19[[#This Row],[Importe]]-Tabla19[[#This Row],[Pagado]]</f>
        <v>0</v>
      </c>
      <c r="H14" s="75" t="s">
        <v>10</v>
      </c>
    </row>
    <row r="15" spans="1:8" x14ac:dyDescent="0.25">
      <c r="A15" s="148">
        <v>44774</v>
      </c>
      <c r="B15" s="149" t="s">
        <v>24648</v>
      </c>
      <c r="C15" s="153" t="s">
        <v>89</v>
      </c>
      <c r="D15" s="178">
        <v>12797</v>
      </c>
      <c r="E15" s="155">
        <v>44775</v>
      </c>
      <c r="F15" s="178">
        <v>12797</v>
      </c>
      <c r="G15" s="179">
        <f>Tabla19[[#This Row],[Importe]]-Tabla19[[#This Row],[Pagado]]</f>
        <v>0</v>
      </c>
      <c r="H15" s="153" t="s">
        <v>10</v>
      </c>
    </row>
    <row r="16" spans="1:8" x14ac:dyDescent="0.25">
      <c r="A16" s="73">
        <v>44774</v>
      </c>
      <c r="B16" s="74" t="s">
        <v>24649</v>
      </c>
      <c r="C16" s="75" t="s">
        <v>2151</v>
      </c>
      <c r="D16" s="176">
        <v>25350.5</v>
      </c>
      <c r="E16" s="151">
        <v>44774</v>
      </c>
      <c r="F16" s="176">
        <v>25350.5</v>
      </c>
      <c r="G16" s="177">
        <f>Tabla19[[#This Row],[Importe]]-Tabla19[[#This Row],[Pagado]]</f>
        <v>0</v>
      </c>
      <c r="H16" s="75" t="s">
        <v>10</v>
      </c>
    </row>
    <row r="17" spans="1:8" x14ac:dyDescent="0.25">
      <c r="A17" s="148">
        <v>44774</v>
      </c>
      <c r="B17" s="149" t="s">
        <v>24650</v>
      </c>
      <c r="C17" s="153" t="s">
        <v>75</v>
      </c>
      <c r="D17" s="178">
        <v>9717.9</v>
      </c>
      <c r="E17" s="155">
        <v>44774</v>
      </c>
      <c r="F17" s="178">
        <v>9717.9</v>
      </c>
      <c r="G17" s="179">
        <f>Tabla19[[#This Row],[Importe]]-Tabla19[[#This Row],[Pagado]]</f>
        <v>0</v>
      </c>
      <c r="H17" s="153" t="s">
        <v>10</v>
      </c>
    </row>
    <row r="18" spans="1:8" x14ac:dyDescent="0.25">
      <c r="A18" s="73">
        <v>44774</v>
      </c>
      <c r="B18" s="74" t="s">
        <v>24651</v>
      </c>
      <c r="C18" s="75" t="s">
        <v>353</v>
      </c>
      <c r="D18" s="176">
        <v>660</v>
      </c>
      <c r="E18" s="151">
        <v>44774</v>
      </c>
      <c r="F18" s="176">
        <v>660</v>
      </c>
      <c r="G18" s="177">
        <f>Tabla19[[#This Row],[Importe]]-Tabla19[[#This Row],[Pagado]]</f>
        <v>0</v>
      </c>
      <c r="H18" s="75" t="s">
        <v>10</v>
      </c>
    </row>
    <row r="19" spans="1:8" x14ac:dyDescent="0.25">
      <c r="A19" s="148">
        <v>44774</v>
      </c>
      <c r="B19" s="149" t="s">
        <v>24652</v>
      </c>
      <c r="C19" s="153" t="s">
        <v>87</v>
      </c>
      <c r="D19" s="178">
        <v>4149.8</v>
      </c>
      <c r="E19" s="155">
        <v>44774</v>
      </c>
      <c r="F19" s="178">
        <v>4149.8</v>
      </c>
      <c r="G19" s="179">
        <f>Tabla19[[#This Row],[Importe]]-Tabla19[[#This Row],[Pagado]]</f>
        <v>0</v>
      </c>
      <c r="H19" s="153" t="s">
        <v>10</v>
      </c>
    </row>
    <row r="20" spans="1:8" x14ac:dyDescent="0.25">
      <c r="A20" s="73">
        <v>44774</v>
      </c>
      <c r="B20" s="74" t="s">
        <v>24653</v>
      </c>
      <c r="C20" s="75" t="s">
        <v>20182</v>
      </c>
      <c r="D20" s="176">
        <v>0</v>
      </c>
      <c r="E20" s="157" t="s">
        <v>189</v>
      </c>
      <c r="F20" s="176">
        <v>0</v>
      </c>
      <c r="G20" s="177">
        <f>Tabla19[[#This Row],[Importe]]-Tabla19[[#This Row],[Pagado]]</f>
        <v>0</v>
      </c>
      <c r="H20" s="161" t="s">
        <v>24654</v>
      </c>
    </row>
    <row r="21" spans="1:8" x14ac:dyDescent="0.25">
      <c r="A21" s="148">
        <v>44774</v>
      </c>
      <c r="B21" s="149" t="s">
        <v>24655</v>
      </c>
      <c r="C21" s="153" t="s">
        <v>83</v>
      </c>
      <c r="D21" s="178">
        <v>10214</v>
      </c>
      <c r="E21" s="155">
        <v>44774</v>
      </c>
      <c r="F21" s="178">
        <v>10214</v>
      </c>
      <c r="G21" s="179">
        <f>Tabla19[[#This Row],[Importe]]-Tabla19[[#This Row],[Pagado]]</f>
        <v>0</v>
      </c>
      <c r="H21" s="153" t="s">
        <v>10</v>
      </c>
    </row>
    <row r="22" spans="1:8" x14ac:dyDescent="0.25">
      <c r="A22" s="73">
        <v>44774</v>
      </c>
      <c r="B22" s="74" t="s">
        <v>24656</v>
      </c>
      <c r="C22" s="75" t="s">
        <v>9</v>
      </c>
      <c r="D22" s="176">
        <v>8094.7</v>
      </c>
      <c r="E22" s="151">
        <v>44774</v>
      </c>
      <c r="F22" s="176">
        <v>8094.7</v>
      </c>
      <c r="G22" s="177">
        <f>Tabla19[[#This Row],[Importe]]-Tabla19[[#This Row],[Pagado]]</f>
        <v>0</v>
      </c>
      <c r="H22" s="75" t="s">
        <v>10</v>
      </c>
    </row>
    <row r="23" spans="1:8" x14ac:dyDescent="0.25">
      <c r="A23" s="148">
        <v>44774</v>
      </c>
      <c r="B23" s="149" t="s">
        <v>24657</v>
      </c>
      <c r="C23" s="153" t="s">
        <v>484</v>
      </c>
      <c r="D23" s="178">
        <v>7807.8</v>
      </c>
      <c r="E23" s="155">
        <v>44774</v>
      </c>
      <c r="F23" s="178">
        <v>7807.8</v>
      </c>
      <c r="G23" s="179">
        <f>Tabla19[[#This Row],[Importe]]-Tabla19[[#This Row],[Pagado]]</f>
        <v>0</v>
      </c>
      <c r="H23" s="153" t="s">
        <v>10</v>
      </c>
    </row>
    <row r="24" spans="1:8" x14ac:dyDescent="0.25">
      <c r="A24" s="73">
        <v>44774</v>
      </c>
      <c r="B24" s="74" t="s">
        <v>24658</v>
      </c>
      <c r="C24" s="75" t="s">
        <v>1187</v>
      </c>
      <c r="D24" s="176">
        <v>1185.4000000000001</v>
      </c>
      <c r="E24" s="151">
        <v>44774</v>
      </c>
      <c r="F24" s="176">
        <v>1185.4000000000001</v>
      </c>
      <c r="G24" s="177">
        <f>Tabla19[[#This Row],[Importe]]-Tabla19[[#This Row],[Pagado]]</f>
        <v>0</v>
      </c>
      <c r="H24" s="75" t="s">
        <v>10</v>
      </c>
    </row>
    <row r="25" spans="1:8" x14ac:dyDescent="0.25">
      <c r="A25" s="148">
        <v>44774</v>
      </c>
      <c r="B25" s="149" t="s">
        <v>24659</v>
      </c>
      <c r="C25" s="153" t="s">
        <v>212</v>
      </c>
      <c r="D25" s="178">
        <v>46764.4</v>
      </c>
      <c r="E25" s="155">
        <v>44776</v>
      </c>
      <c r="F25" s="178">
        <v>46764.4</v>
      </c>
      <c r="G25" s="179">
        <f>Tabla19[[#This Row],[Importe]]-Tabla19[[#This Row],[Pagado]]</f>
        <v>0</v>
      </c>
      <c r="H25" s="153" t="s">
        <v>10</v>
      </c>
    </row>
    <row r="26" spans="1:8" x14ac:dyDescent="0.25">
      <c r="A26" s="73">
        <v>44774</v>
      </c>
      <c r="B26" s="74" t="s">
        <v>24660</v>
      </c>
      <c r="C26" s="75" t="s">
        <v>275</v>
      </c>
      <c r="D26" s="176">
        <v>37385.040000000001</v>
      </c>
      <c r="E26" s="151">
        <v>44792</v>
      </c>
      <c r="F26" s="176">
        <v>37385.040000000001</v>
      </c>
      <c r="G26" s="177">
        <f>Tabla19[[#This Row],[Importe]]-Tabla19[[#This Row],[Pagado]]</f>
        <v>0</v>
      </c>
      <c r="H26" s="75" t="s">
        <v>10</v>
      </c>
    </row>
    <row r="27" spans="1:8" x14ac:dyDescent="0.25">
      <c r="A27" s="148">
        <v>44774</v>
      </c>
      <c r="B27" s="149" t="s">
        <v>24661</v>
      </c>
      <c r="C27" s="153" t="s">
        <v>146</v>
      </c>
      <c r="D27" s="178">
        <v>3517.4</v>
      </c>
      <c r="E27" s="155">
        <v>44774</v>
      </c>
      <c r="F27" s="178">
        <v>3517.4</v>
      </c>
      <c r="G27" s="179">
        <f>Tabla19[[#This Row],[Importe]]-Tabla19[[#This Row],[Pagado]]</f>
        <v>0</v>
      </c>
      <c r="H27" s="153" t="s">
        <v>10</v>
      </c>
    </row>
    <row r="28" spans="1:8" ht="31.5" x14ac:dyDescent="0.25">
      <c r="A28" s="73">
        <v>44774</v>
      </c>
      <c r="B28" s="74" t="s">
        <v>24662</v>
      </c>
      <c r="C28" s="75" t="s">
        <v>22</v>
      </c>
      <c r="D28" s="176">
        <v>48765.3</v>
      </c>
      <c r="E28" s="147" t="s">
        <v>24645</v>
      </c>
      <c r="F28" s="176">
        <f>39000+9765.3</f>
        <v>48765.3</v>
      </c>
      <c r="G28" s="177">
        <f>Tabla19[[#This Row],[Importe]]-Tabla19[[#This Row],[Pagado]]</f>
        <v>0</v>
      </c>
      <c r="H28" s="75" t="s">
        <v>10</v>
      </c>
    </row>
    <row r="29" spans="1:8" x14ac:dyDescent="0.25">
      <c r="A29" s="148">
        <v>44774</v>
      </c>
      <c r="B29" s="149" t="s">
        <v>24663</v>
      </c>
      <c r="C29" s="153" t="s">
        <v>11033</v>
      </c>
      <c r="D29" s="178">
        <v>1943.4</v>
      </c>
      <c r="E29" s="155">
        <v>44774</v>
      </c>
      <c r="F29" s="178">
        <v>1943.4</v>
      </c>
      <c r="G29" s="179">
        <f>Tabla19[[#This Row],[Importe]]-Tabla19[[#This Row],[Pagado]]</f>
        <v>0</v>
      </c>
      <c r="H29" s="153" t="s">
        <v>10</v>
      </c>
    </row>
    <row r="30" spans="1:8" x14ac:dyDescent="0.25">
      <c r="A30" s="73">
        <v>44774</v>
      </c>
      <c r="B30" s="74" t="s">
        <v>24664</v>
      </c>
      <c r="C30" s="75" t="s">
        <v>161</v>
      </c>
      <c r="D30" s="176">
        <v>4442.8999999999996</v>
      </c>
      <c r="E30" s="151">
        <v>44774</v>
      </c>
      <c r="F30" s="176">
        <v>4442.8999999999996</v>
      </c>
      <c r="G30" s="177">
        <f>Tabla19[[#This Row],[Importe]]-Tabla19[[#This Row],[Pagado]]</f>
        <v>0</v>
      </c>
      <c r="H30" s="75" t="s">
        <v>10</v>
      </c>
    </row>
    <row r="31" spans="1:8" x14ac:dyDescent="0.25">
      <c r="A31" s="148">
        <v>44774</v>
      </c>
      <c r="B31" s="149" t="s">
        <v>24665</v>
      </c>
      <c r="C31" s="153" t="s">
        <v>49</v>
      </c>
      <c r="D31" s="178">
        <v>4175.2</v>
      </c>
      <c r="E31" s="155">
        <v>44774</v>
      </c>
      <c r="F31" s="178">
        <v>4175.2</v>
      </c>
      <c r="G31" s="179">
        <f>Tabla19[[#This Row],[Importe]]-Tabla19[[#This Row],[Pagado]]</f>
        <v>0</v>
      </c>
      <c r="H31" s="153" t="s">
        <v>10</v>
      </c>
    </row>
    <row r="32" spans="1:8" x14ac:dyDescent="0.25">
      <c r="A32" s="73">
        <v>44774</v>
      </c>
      <c r="B32" s="74" t="s">
        <v>24666</v>
      </c>
      <c r="C32" s="75" t="s">
        <v>27</v>
      </c>
      <c r="D32" s="176">
        <v>2770.2</v>
      </c>
      <c r="E32" s="151">
        <v>44774</v>
      </c>
      <c r="F32" s="176">
        <v>2770.2</v>
      </c>
      <c r="G32" s="177">
        <f>Tabla19[[#This Row],[Importe]]-Tabla19[[#This Row],[Pagado]]</f>
        <v>0</v>
      </c>
      <c r="H32" s="75" t="s">
        <v>10</v>
      </c>
    </row>
    <row r="33" spans="1:8" x14ac:dyDescent="0.25">
      <c r="A33" s="148">
        <v>44774</v>
      </c>
      <c r="B33" s="149" t="s">
        <v>24667</v>
      </c>
      <c r="C33" s="153" t="s">
        <v>208</v>
      </c>
      <c r="D33" s="178">
        <v>16993.7</v>
      </c>
      <c r="E33" s="155">
        <v>44782</v>
      </c>
      <c r="F33" s="178">
        <v>16993.7</v>
      </c>
      <c r="G33" s="179">
        <f>Tabla19[[#This Row],[Importe]]-Tabla19[[#This Row],[Pagado]]</f>
        <v>0</v>
      </c>
      <c r="H33" s="153" t="s">
        <v>10</v>
      </c>
    </row>
    <row r="34" spans="1:8" x14ac:dyDescent="0.25">
      <c r="A34" s="73">
        <v>44774</v>
      </c>
      <c r="B34" s="74" t="s">
        <v>24668</v>
      </c>
      <c r="C34" s="75" t="s">
        <v>196</v>
      </c>
      <c r="D34" s="176">
        <v>91101.64</v>
      </c>
      <c r="E34" s="151">
        <v>44778</v>
      </c>
      <c r="F34" s="176">
        <v>91101.64</v>
      </c>
      <c r="G34" s="177">
        <f>Tabla19[[#This Row],[Importe]]-Tabla19[[#This Row],[Pagado]]</f>
        <v>0</v>
      </c>
      <c r="H34" s="75" t="s">
        <v>10</v>
      </c>
    </row>
    <row r="35" spans="1:8" x14ac:dyDescent="0.25">
      <c r="A35" s="148">
        <v>44774</v>
      </c>
      <c r="B35" s="149" t="s">
        <v>24669</v>
      </c>
      <c r="C35" s="153" t="s">
        <v>154</v>
      </c>
      <c r="D35" s="178">
        <v>40188.400000000001</v>
      </c>
      <c r="E35" s="155">
        <v>44779</v>
      </c>
      <c r="F35" s="178">
        <v>40188.400000000001</v>
      </c>
      <c r="G35" s="179">
        <f>Tabla19[[#This Row],[Importe]]-Tabla19[[#This Row],[Pagado]]</f>
        <v>0</v>
      </c>
      <c r="H35" s="153" t="s">
        <v>10</v>
      </c>
    </row>
    <row r="36" spans="1:8" x14ac:dyDescent="0.25">
      <c r="A36" s="73">
        <v>44774</v>
      </c>
      <c r="B36" s="74" t="s">
        <v>24670</v>
      </c>
      <c r="C36" s="75" t="s">
        <v>142</v>
      </c>
      <c r="D36" s="176">
        <v>154625.5</v>
      </c>
      <c r="E36" s="151">
        <v>44837</v>
      </c>
      <c r="F36" s="176">
        <v>154625.5</v>
      </c>
      <c r="G36" s="177">
        <f>Tabla19[[#This Row],[Importe]]-Tabla19[[#This Row],[Pagado]]</f>
        <v>0</v>
      </c>
      <c r="H36" s="75" t="s">
        <v>10</v>
      </c>
    </row>
    <row r="37" spans="1:8" x14ac:dyDescent="0.25">
      <c r="A37" s="148">
        <v>44774</v>
      </c>
      <c r="B37" s="149" t="s">
        <v>24671</v>
      </c>
      <c r="C37" s="153" t="s">
        <v>154</v>
      </c>
      <c r="D37" s="178">
        <v>738</v>
      </c>
      <c r="E37" s="155">
        <v>44779</v>
      </c>
      <c r="F37" s="178">
        <v>738</v>
      </c>
      <c r="G37" s="179">
        <f>Tabla19[[#This Row],[Importe]]-Tabla19[[#This Row],[Pagado]]</f>
        <v>0</v>
      </c>
      <c r="H37" s="153" t="s">
        <v>10</v>
      </c>
    </row>
    <row r="38" spans="1:8" x14ac:dyDescent="0.25">
      <c r="A38" s="73">
        <v>44774</v>
      </c>
      <c r="B38" s="74" t="s">
        <v>24672</v>
      </c>
      <c r="C38" s="75" t="s">
        <v>206</v>
      </c>
      <c r="D38" s="176">
        <v>37830.1</v>
      </c>
      <c r="E38" s="151">
        <v>44776</v>
      </c>
      <c r="F38" s="176">
        <v>37830.1</v>
      </c>
      <c r="G38" s="177">
        <f>Tabla19[[#This Row],[Importe]]-Tabla19[[#This Row],[Pagado]]</f>
        <v>0</v>
      </c>
      <c r="H38" s="75" t="s">
        <v>10</v>
      </c>
    </row>
    <row r="39" spans="1:8" x14ac:dyDescent="0.25">
      <c r="A39" s="148">
        <v>44774</v>
      </c>
      <c r="B39" s="149" t="s">
        <v>24673</v>
      </c>
      <c r="C39" s="153" t="s">
        <v>222</v>
      </c>
      <c r="D39" s="178">
        <v>12567.2</v>
      </c>
      <c r="E39" s="155">
        <v>44774</v>
      </c>
      <c r="F39" s="178">
        <v>12567.2</v>
      </c>
      <c r="G39" s="179">
        <f>Tabla19[[#This Row],[Importe]]-Tabla19[[#This Row],[Pagado]]</f>
        <v>0</v>
      </c>
      <c r="H39" s="153" t="s">
        <v>10</v>
      </c>
    </row>
    <row r="40" spans="1:8" x14ac:dyDescent="0.25">
      <c r="A40" s="73">
        <v>44774</v>
      </c>
      <c r="B40" s="74" t="s">
        <v>24674</v>
      </c>
      <c r="C40" s="75" t="s">
        <v>218</v>
      </c>
      <c r="D40" s="176">
        <v>18655</v>
      </c>
      <c r="E40" s="151">
        <v>44776</v>
      </c>
      <c r="F40" s="176">
        <v>18655</v>
      </c>
      <c r="G40" s="177">
        <f>Tabla19[[#This Row],[Importe]]-Tabla19[[#This Row],[Pagado]]</f>
        <v>0</v>
      </c>
      <c r="H40" s="75" t="s">
        <v>10</v>
      </c>
    </row>
    <row r="41" spans="1:8" x14ac:dyDescent="0.25">
      <c r="A41" s="148">
        <v>44774</v>
      </c>
      <c r="B41" s="149" t="s">
        <v>24675</v>
      </c>
      <c r="C41" s="153" t="s">
        <v>312</v>
      </c>
      <c r="D41" s="178">
        <v>6286.8</v>
      </c>
      <c r="E41" s="155">
        <v>44774</v>
      </c>
      <c r="F41" s="178">
        <v>6286.8</v>
      </c>
      <c r="G41" s="179">
        <f>Tabla19[[#This Row],[Importe]]-Tabla19[[#This Row],[Pagado]]</f>
        <v>0</v>
      </c>
      <c r="H41" s="153" t="s">
        <v>10</v>
      </c>
    </row>
    <row r="42" spans="1:8" x14ac:dyDescent="0.25">
      <c r="A42" s="73">
        <v>44774</v>
      </c>
      <c r="B42" s="74" t="s">
        <v>24676</v>
      </c>
      <c r="C42" s="75" t="s">
        <v>240</v>
      </c>
      <c r="D42" s="176">
        <v>12232</v>
      </c>
      <c r="E42" s="151">
        <v>44774</v>
      </c>
      <c r="F42" s="176">
        <v>12232</v>
      </c>
      <c r="G42" s="177">
        <f>Tabla19[[#This Row],[Importe]]-Tabla19[[#This Row],[Pagado]]</f>
        <v>0</v>
      </c>
      <c r="H42" s="75" t="s">
        <v>10</v>
      </c>
    </row>
    <row r="43" spans="1:8" x14ac:dyDescent="0.25">
      <c r="A43" s="148">
        <v>44774</v>
      </c>
      <c r="B43" s="149" t="s">
        <v>24677</v>
      </c>
      <c r="C43" s="153" t="s">
        <v>16</v>
      </c>
      <c r="D43" s="178">
        <v>7455.9</v>
      </c>
      <c r="E43" s="155">
        <v>44774</v>
      </c>
      <c r="F43" s="178">
        <v>7455.9</v>
      </c>
      <c r="G43" s="179">
        <f>Tabla19[[#This Row],[Importe]]-Tabla19[[#This Row],[Pagado]]</f>
        <v>0</v>
      </c>
      <c r="H43" s="153" t="s">
        <v>10</v>
      </c>
    </row>
    <row r="44" spans="1:8" x14ac:dyDescent="0.25">
      <c r="A44" s="73">
        <v>44774</v>
      </c>
      <c r="B44" s="74" t="s">
        <v>24678</v>
      </c>
      <c r="C44" s="75" t="s">
        <v>16</v>
      </c>
      <c r="D44" s="176">
        <v>70</v>
      </c>
      <c r="E44" s="151">
        <v>44774</v>
      </c>
      <c r="F44" s="176">
        <v>70</v>
      </c>
      <c r="G44" s="177">
        <f>Tabla19[[#This Row],[Importe]]-Tabla19[[#This Row],[Pagado]]</f>
        <v>0</v>
      </c>
      <c r="H44" s="75" t="s">
        <v>10</v>
      </c>
    </row>
    <row r="45" spans="1:8" x14ac:dyDescent="0.25">
      <c r="A45" s="148">
        <v>44774</v>
      </c>
      <c r="B45" s="149" t="s">
        <v>24679</v>
      </c>
      <c r="C45" s="153" t="s">
        <v>45</v>
      </c>
      <c r="D45" s="178">
        <v>12828.2</v>
      </c>
      <c r="E45" s="155">
        <v>44774</v>
      </c>
      <c r="F45" s="178">
        <v>12828.2</v>
      </c>
      <c r="G45" s="179">
        <f>Tabla19[[#This Row],[Importe]]-Tabla19[[#This Row],[Pagado]]</f>
        <v>0</v>
      </c>
      <c r="H45" s="153" t="s">
        <v>10</v>
      </c>
    </row>
    <row r="46" spans="1:8" x14ac:dyDescent="0.25">
      <c r="A46" s="73">
        <v>44774</v>
      </c>
      <c r="B46" s="74" t="s">
        <v>24680</v>
      </c>
      <c r="C46" s="75" t="s">
        <v>24</v>
      </c>
      <c r="D46" s="176">
        <v>3357.5</v>
      </c>
      <c r="E46" s="151">
        <v>44774</v>
      </c>
      <c r="F46" s="176">
        <v>3357.5</v>
      </c>
      <c r="G46" s="177">
        <f>Tabla19[[#This Row],[Importe]]-Tabla19[[#This Row],[Pagado]]</f>
        <v>0</v>
      </c>
      <c r="H46" s="75" t="s">
        <v>10</v>
      </c>
    </row>
    <row r="47" spans="1:8" x14ac:dyDescent="0.25">
      <c r="A47" s="148">
        <v>44774</v>
      </c>
      <c r="B47" s="149" t="s">
        <v>24681</v>
      </c>
      <c r="C47" s="153" t="s">
        <v>24</v>
      </c>
      <c r="D47" s="178">
        <v>426</v>
      </c>
      <c r="E47" s="155">
        <v>44774</v>
      </c>
      <c r="F47" s="178">
        <v>426</v>
      </c>
      <c r="G47" s="179">
        <f>Tabla19[[#This Row],[Importe]]-Tabla19[[#This Row],[Pagado]]</f>
        <v>0</v>
      </c>
      <c r="H47" s="153" t="s">
        <v>10</v>
      </c>
    </row>
    <row r="48" spans="1:8" x14ac:dyDescent="0.25">
      <c r="A48" s="73">
        <v>44774</v>
      </c>
      <c r="B48" s="74" t="s">
        <v>24682</v>
      </c>
      <c r="C48" s="75" t="s">
        <v>179</v>
      </c>
      <c r="D48" s="176">
        <v>2496.9</v>
      </c>
      <c r="E48" s="151">
        <v>44774</v>
      </c>
      <c r="F48" s="176">
        <v>2496.9</v>
      </c>
      <c r="G48" s="177">
        <f>Tabla19[[#This Row],[Importe]]-Tabla19[[#This Row],[Pagado]]</f>
        <v>0</v>
      </c>
      <c r="H48" s="75" t="s">
        <v>10</v>
      </c>
    </row>
    <row r="49" spans="1:8" x14ac:dyDescent="0.25">
      <c r="A49" s="148">
        <v>44774</v>
      </c>
      <c r="B49" s="149" t="s">
        <v>24683</v>
      </c>
      <c r="C49" s="153" t="s">
        <v>129</v>
      </c>
      <c r="D49" s="178">
        <v>5673.3</v>
      </c>
      <c r="E49" s="155">
        <v>44774</v>
      </c>
      <c r="F49" s="178">
        <v>5673.3</v>
      </c>
      <c r="G49" s="179">
        <f>Tabla19[[#This Row],[Importe]]-Tabla19[[#This Row],[Pagado]]</f>
        <v>0</v>
      </c>
      <c r="H49" s="153" t="s">
        <v>10</v>
      </c>
    </row>
    <row r="50" spans="1:8" x14ac:dyDescent="0.25">
      <c r="A50" s="73">
        <v>44774</v>
      </c>
      <c r="B50" s="74" t="s">
        <v>24684</v>
      </c>
      <c r="C50" s="75" t="s">
        <v>127</v>
      </c>
      <c r="D50" s="176">
        <v>8113.9</v>
      </c>
      <c r="E50" s="151">
        <v>44774</v>
      </c>
      <c r="F50" s="176">
        <v>8113.9</v>
      </c>
      <c r="G50" s="177">
        <f>Tabla19[[#This Row],[Importe]]-Tabla19[[#This Row],[Pagado]]</f>
        <v>0</v>
      </c>
      <c r="H50" s="75" t="s">
        <v>10</v>
      </c>
    </row>
    <row r="51" spans="1:8" x14ac:dyDescent="0.25">
      <c r="A51" s="148">
        <v>44774</v>
      </c>
      <c r="B51" s="149" t="s">
        <v>24685</v>
      </c>
      <c r="C51" s="153" t="s">
        <v>339</v>
      </c>
      <c r="D51" s="178">
        <v>5553.6</v>
      </c>
      <c r="E51" s="155">
        <v>44774</v>
      </c>
      <c r="F51" s="178">
        <v>5553.6</v>
      </c>
      <c r="G51" s="179">
        <f>Tabla19[[#This Row],[Importe]]-Tabla19[[#This Row],[Pagado]]</f>
        <v>0</v>
      </c>
      <c r="H51" s="153" t="s">
        <v>10</v>
      </c>
    </row>
    <row r="52" spans="1:8" x14ac:dyDescent="0.25">
      <c r="A52" s="73">
        <v>44774</v>
      </c>
      <c r="B52" s="74" t="s">
        <v>24686</v>
      </c>
      <c r="C52" s="75" t="s">
        <v>357</v>
      </c>
      <c r="D52" s="176">
        <v>383.5</v>
      </c>
      <c r="E52" s="151">
        <v>44774</v>
      </c>
      <c r="F52" s="176">
        <v>383.5</v>
      </c>
      <c r="G52" s="177">
        <f>Tabla19[[#This Row],[Importe]]-Tabla19[[#This Row],[Pagado]]</f>
        <v>0</v>
      </c>
      <c r="H52" s="75" t="s">
        <v>10</v>
      </c>
    </row>
    <row r="53" spans="1:8" x14ac:dyDescent="0.25">
      <c r="A53" s="148">
        <v>44774</v>
      </c>
      <c r="B53" s="149" t="s">
        <v>24687</v>
      </c>
      <c r="C53" s="153" t="s">
        <v>1378</v>
      </c>
      <c r="D53" s="178">
        <v>86848</v>
      </c>
      <c r="E53" s="155">
        <v>44775</v>
      </c>
      <c r="F53" s="178">
        <v>86848</v>
      </c>
      <c r="G53" s="179">
        <f>Tabla19[[#This Row],[Importe]]-Tabla19[[#This Row],[Pagado]]</f>
        <v>0</v>
      </c>
      <c r="H53" s="153" t="s">
        <v>10</v>
      </c>
    </row>
    <row r="54" spans="1:8" x14ac:dyDescent="0.25">
      <c r="A54" s="73">
        <v>44774</v>
      </c>
      <c r="B54" s="74" t="s">
        <v>24688</v>
      </c>
      <c r="C54" s="75" t="s">
        <v>11383</v>
      </c>
      <c r="D54" s="176">
        <v>22771.200000000001</v>
      </c>
      <c r="E54" s="151">
        <v>44774</v>
      </c>
      <c r="F54" s="176">
        <v>22771.200000000001</v>
      </c>
      <c r="G54" s="177">
        <f>Tabla19[[#This Row],[Importe]]-Tabla19[[#This Row],[Pagado]]</f>
        <v>0</v>
      </c>
      <c r="H54" s="75" t="s">
        <v>10</v>
      </c>
    </row>
    <row r="55" spans="1:8" x14ac:dyDescent="0.25">
      <c r="A55" s="148">
        <v>44774</v>
      </c>
      <c r="B55" s="149" t="s">
        <v>24689</v>
      </c>
      <c r="C55" s="153" t="s">
        <v>24690</v>
      </c>
      <c r="D55" s="178">
        <v>0</v>
      </c>
      <c r="E55" s="158" t="s">
        <v>189</v>
      </c>
      <c r="F55" s="178">
        <v>0</v>
      </c>
      <c r="G55" s="179">
        <f>Tabla19[[#This Row],[Importe]]-Tabla19[[#This Row],[Pagado]]</f>
        <v>0</v>
      </c>
      <c r="H55" s="159" t="s">
        <v>24691</v>
      </c>
    </row>
    <row r="56" spans="1:8" x14ac:dyDescent="0.25">
      <c r="A56" s="73">
        <v>44774</v>
      </c>
      <c r="B56" s="74" t="s">
        <v>24692</v>
      </c>
      <c r="C56" s="75" t="s">
        <v>11383</v>
      </c>
      <c r="D56" s="176">
        <v>6169.6</v>
      </c>
      <c r="E56" s="151">
        <v>44774</v>
      </c>
      <c r="F56" s="176">
        <v>6169.6</v>
      </c>
      <c r="G56" s="177">
        <f>Tabla19[[#This Row],[Importe]]-Tabla19[[#This Row],[Pagado]]</f>
        <v>0</v>
      </c>
      <c r="H56" s="75" t="s">
        <v>10</v>
      </c>
    </row>
    <row r="57" spans="1:8" x14ac:dyDescent="0.25">
      <c r="A57" s="148">
        <v>44774</v>
      </c>
      <c r="B57" s="149" t="s">
        <v>24693</v>
      </c>
      <c r="C57" s="153" t="s">
        <v>224</v>
      </c>
      <c r="D57" s="178">
        <v>14887.2</v>
      </c>
      <c r="E57" s="155">
        <v>44788</v>
      </c>
      <c r="F57" s="178">
        <v>14887.2</v>
      </c>
      <c r="G57" s="179">
        <f>Tabla19[[#This Row],[Importe]]-Tabla19[[#This Row],[Pagado]]</f>
        <v>0</v>
      </c>
      <c r="H57" s="153" t="s">
        <v>10</v>
      </c>
    </row>
    <row r="58" spans="1:8" x14ac:dyDescent="0.25">
      <c r="A58" s="73">
        <v>44774</v>
      </c>
      <c r="B58" s="74" t="s">
        <v>24694</v>
      </c>
      <c r="C58" s="75" t="s">
        <v>191</v>
      </c>
      <c r="D58" s="176">
        <v>1959.2</v>
      </c>
      <c r="E58" s="151">
        <v>44774</v>
      </c>
      <c r="F58" s="176">
        <v>1959.2</v>
      </c>
      <c r="G58" s="177">
        <f>Tabla19[[#This Row],[Importe]]-Tabla19[[#This Row],[Pagado]]</f>
        <v>0</v>
      </c>
      <c r="H58" s="75" t="s">
        <v>10</v>
      </c>
    </row>
    <row r="59" spans="1:8" x14ac:dyDescent="0.25">
      <c r="A59" s="148">
        <v>44774</v>
      </c>
      <c r="B59" s="149" t="s">
        <v>24695</v>
      </c>
      <c r="C59" s="153" t="s">
        <v>224</v>
      </c>
      <c r="D59" s="178">
        <v>445.5</v>
      </c>
      <c r="E59" s="155">
        <v>44774</v>
      </c>
      <c r="F59" s="178">
        <v>445.5</v>
      </c>
      <c r="G59" s="179">
        <f>Tabla19[[#This Row],[Importe]]-Tabla19[[#This Row],[Pagado]]</f>
        <v>0</v>
      </c>
      <c r="H59" s="153" t="s">
        <v>10</v>
      </c>
    </row>
    <row r="60" spans="1:8" x14ac:dyDescent="0.25">
      <c r="A60" s="73">
        <v>44774</v>
      </c>
      <c r="B60" s="74" t="s">
        <v>24696</v>
      </c>
      <c r="C60" s="75" t="s">
        <v>53</v>
      </c>
      <c r="D60" s="176">
        <v>2090.9</v>
      </c>
      <c r="E60" s="151">
        <v>44774</v>
      </c>
      <c r="F60" s="176">
        <v>2090.9</v>
      </c>
      <c r="G60" s="177">
        <f>Tabla19[[#This Row],[Importe]]-Tabla19[[#This Row],[Pagado]]</f>
        <v>0</v>
      </c>
      <c r="H60" s="75" t="s">
        <v>10</v>
      </c>
    </row>
    <row r="61" spans="1:8" x14ac:dyDescent="0.25">
      <c r="A61" s="148">
        <v>44774</v>
      </c>
      <c r="B61" s="149" t="s">
        <v>24697</v>
      </c>
      <c r="C61" s="153" t="s">
        <v>62</v>
      </c>
      <c r="D61" s="178">
        <v>3775.2</v>
      </c>
      <c r="E61" s="155">
        <v>44774</v>
      </c>
      <c r="F61" s="178">
        <v>3775.2</v>
      </c>
      <c r="G61" s="179">
        <f>Tabla19[[#This Row],[Importe]]-Tabla19[[#This Row],[Pagado]]</f>
        <v>0</v>
      </c>
      <c r="H61" s="153" t="s">
        <v>10</v>
      </c>
    </row>
    <row r="62" spans="1:8" x14ac:dyDescent="0.25">
      <c r="A62" s="73">
        <v>44774</v>
      </c>
      <c r="B62" s="74" t="s">
        <v>24698</v>
      </c>
      <c r="C62" s="75" t="s">
        <v>31</v>
      </c>
      <c r="D62" s="176">
        <v>3487.2</v>
      </c>
      <c r="E62" s="151">
        <v>44774</v>
      </c>
      <c r="F62" s="176">
        <v>3487.2</v>
      </c>
      <c r="G62" s="177">
        <f>Tabla19[[#This Row],[Importe]]-Tabla19[[#This Row],[Pagado]]</f>
        <v>0</v>
      </c>
      <c r="H62" s="75" t="s">
        <v>10</v>
      </c>
    </row>
    <row r="63" spans="1:8" x14ac:dyDescent="0.25">
      <c r="A63" s="148">
        <v>44774</v>
      </c>
      <c r="B63" s="149" t="s">
        <v>24699</v>
      </c>
      <c r="C63" s="153" t="s">
        <v>62</v>
      </c>
      <c r="D63" s="178">
        <v>691.4</v>
      </c>
      <c r="E63" s="155">
        <v>44774</v>
      </c>
      <c r="F63" s="178">
        <v>691.4</v>
      </c>
      <c r="G63" s="179">
        <f>Tabla19[[#This Row],[Importe]]-Tabla19[[#This Row],[Pagado]]</f>
        <v>0</v>
      </c>
      <c r="H63" s="153" t="s">
        <v>10</v>
      </c>
    </row>
    <row r="64" spans="1:8" x14ac:dyDescent="0.25">
      <c r="A64" s="73">
        <v>44774</v>
      </c>
      <c r="B64" s="74" t="s">
        <v>24700</v>
      </c>
      <c r="C64" s="75" t="s">
        <v>240</v>
      </c>
      <c r="D64" s="176">
        <v>1832</v>
      </c>
      <c r="E64" s="151">
        <v>44774</v>
      </c>
      <c r="F64" s="176">
        <v>1832</v>
      </c>
      <c r="G64" s="177">
        <f>Tabla19[[#This Row],[Importe]]-Tabla19[[#This Row],[Pagado]]</f>
        <v>0</v>
      </c>
      <c r="H64" s="75" t="s">
        <v>10</v>
      </c>
    </row>
    <row r="65" spans="1:8" x14ac:dyDescent="0.25">
      <c r="A65" s="148">
        <v>44774</v>
      </c>
      <c r="B65" s="149" t="s">
        <v>24701</v>
      </c>
      <c r="C65" s="153" t="s">
        <v>67</v>
      </c>
      <c r="D65" s="178">
        <v>2209.8000000000002</v>
      </c>
      <c r="E65" s="155">
        <v>44774</v>
      </c>
      <c r="F65" s="178">
        <v>2209.8000000000002</v>
      </c>
      <c r="G65" s="179">
        <f>Tabla19[[#This Row],[Importe]]-Tabla19[[#This Row],[Pagado]]</f>
        <v>0</v>
      </c>
      <c r="H65" s="153" t="s">
        <v>10</v>
      </c>
    </row>
    <row r="66" spans="1:8" x14ac:dyDescent="0.25">
      <c r="A66" s="73">
        <v>44774</v>
      </c>
      <c r="B66" s="74" t="s">
        <v>24702</v>
      </c>
      <c r="C66" s="75" t="s">
        <v>654</v>
      </c>
      <c r="D66" s="176">
        <v>8719.2000000000007</v>
      </c>
      <c r="E66" s="151">
        <v>44778</v>
      </c>
      <c r="F66" s="176">
        <v>8719.2000000000007</v>
      </c>
      <c r="G66" s="177">
        <f>Tabla19[[#This Row],[Importe]]-Tabla19[[#This Row],[Pagado]]</f>
        <v>0</v>
      </c>
      <c r="H66" s="75" t="s">
        <v>10</v>
      </c>
    </row>
    <row r="67" spans="1:8" x14ac:dyDescent="0.25">
      <c r="A67" s="148">
        <v>44774</v>
      </c>
      <c r="B67" s="149" t="s">
        <v>24703</v>
      </c>
      <c r="C67" s="153" t="s">
        <v>107</v>
      </c>
      <c r="D67" s="178">
        <v>17480.900000000001</v>
      </c>
      <c r="E67" s="155">
        <v>44775</v>
      </c>
      <c r="F67" s="178">
        <v>17480.900000000001</v>
      </c>
      <c r="G67" s="179">
        <f>Tabla19[[#This Row],[Importe]]-Tabla19[[#This Row],[Pagado]]</f>
        <v>0</v>
      </c>
      <c r="H67" s="153" t="s">
        <v>10</v>
      </c>
    </row>
    <row r="68" spans="1:8" x14ac:dyDescent="0.25">
      <c r="A68" s="73">
        <v>44774</v>
      </c>
      <c r="B68" s="74" t="s">
        <v>24704</v>
      </c>
      <c r="C68" s="75" t="s">
        <v>1302</v>
      </c>
      <c r="D68" s="176">
        <v>12362.4</v>
      </c>
      <c r="E68" s="151">
        <v>44775</v>
      </c>
      <c r="F68" s="176">
        <v>12362.4</v>
      </c>
      <c r="G68" s="177">
        <f>Tabla19[[#This Row],[Importe]]-Tabla19[[#This Row],[Pagado]]</f>
        <v>0</v>
      </c>
      <c r="H68" s="75" t="s">
        <v>10</v>
      </c>
    </row>
    <row r="69" spans="1:8" x14ac:dyDescent="0.25">
      <c r="A69" s="148">
        <v>44774</v>
      </c>
      <c r="B69" s="149" t="s">
        <v>24705</v>
      </c>
      <c r="C69" s="153" t="s">
        <v>407</v>
      </c>
      <c r="D69" s="178">
        <v>13081.6</v>
      </c>
      <c r="E69" s="155">
        <v>44783</v>
      </c>
      <c r="F69" s="178">
        <v>13081.6</v>
      </c>
      <c r="G69" s="179">
        <f>Tabla19[[#This Row],[Importe]]-Tabla19[[#This Row],[Pagado]]</f>
        <v>0</v>
      </c>
      <c r="H69" s="153" t="s">
        <v>10</v>
      </c>
    </row>
    <row r="70" spans="1:8" x14ac:dyDescent="0.25">
      <c r="A70" s="73">
        <v>44774</v>
      </c>
      <c r="B70" s="74" t="s">
        <v>24706</v>
      </c>
      <c r="C70" s="75" t="s">
        <v>1362</v>
      </c>
      <c r="D70" s="176">
        <v>5816.8</v>
      </c>
      <c r="E70" s="151">
        <v>44775</v>
      </c>
      <c r="F70" s="176">
        <v>5816.8</v>
      </c>
      <c r="G70" s="177">
        <f>Tabla19[[#This Row],[Importe]]-Tabla19[[#This Row],[Pagado]]</f>
        <v>0</v>
      </c>
      <c r="H70" s="75" t="s">
        <v>10</v>
      </c>
    </row>
    <row r="71" spans="1:8" x14ac:dyDescent="0.25">
      <c r="A71" s="148">
        <v>44774</v>
      </c>
      <c r="B71" s="149" t="s">
        <v>24707</v>
      </c>
      <c r="C71" s="153" t="s">
        <v>16</v>
      </c>
      <c r="D71" s="178">
        <v>141.12</v>
      </c>
      <c r="E71" s="155">
        <v>44774</v>
      </c>
      <c r="F71" s="178">
        <v>141.12</v>
      </c>
      <c r="G71" s="179">
        <f>Tabla19[[#This Row],[Importe]]-Tabla19[[#This Row],[Pagado]]</f>
        <v>0</v>
      </c>
      <c r="H71" s="153" t="s">
        <v>10</v>
      </c>
    </row>
    <row r="72" spans="1:8" x14ac:dyDescent="0.25">
      <c r="A72" s="73">
        <v>44774</v>
      </c>
      <c r="B72" s="74" t="s">
        <v>24708</v>
      </c>
      <c r="C72" s="75" t="s">
        <v>214</v>
      </c>
      <c r="D72" s="176">
        <v>7500</v>
      </c>
      <c r="E72" s="151">
        <v>44775</v>
      </c>
      <c r="F72" s="176">
        <v>7500</v>
      </c>
      <c r="G72" s="177">
        <f>Tabla19[[#This Row],[Importe]]-Tabla19[[#This Row],[Pagado]]</f>
        <v>0</v>
      </c>
      <c r="H72" s="75" t="s">
        <v>10</v>
      </c>
    </row>
    <row r="73" spans="1:8" x14ac:dyDescent="0.25">
      <c r="A73" s="148">
        <v>44774</v>
      </c>
      <c r="B73" s="149" t="s">
        <v>24709</v>
      </c>
      <c r="C73" s="153" t="s">
        <v>56</v>
      </c>
      <c r="D73" s="178">
        <v>6431.7</v>
      </c>
      <c r="E73" s="155">
        <v>44774</v>
      </c>
      <c r="F73" s="178">
        <v>6431.7</v>
      </c>
      <c r="G73" s="179">
        <f>Tabla19[[#This Row],[Importe]]-Tabla19[[#This Row],[Pagado]]</f>
        <v>0</v>
      </c>
      <c r="H73" s="153" t="s">
        <v>10</v>
      </c>
    </row>
    <row r="74" spans="1:8" x14ac:dyDescent="0.25">
      <c r="A74" s="73">
        <v>44774</v>
      </c>
      <c r="B74" s="74" t="s">
        <v>24710</v>
      </c>
      <c r="C74" s="75" t="s">
        <v>7745</v>
      </c>
      <c r="D74" s="176">
        <v>30296</v>
      </c>
      <c r="E74" s="151">
        <v>44774</v>
      </c>
      <c r="F74" s="176">
        <v>30296</v>
      </c>
      <c r="G74" s="177">
        <f>Tabla19[[#This Row],[Importe]]-Tabla19[[#This Row],[Pagado]]</f>
        <v>0</v>
      </c>
      <c r="H74" s="75" t="s">
        <v>10</v>
      </c>
    </row>
    <row r="75" spans="1:8" x14ac:dyDescent="0.25">
      <c r="A75" s="148">
        <v>44774</v>
      </c>
      <c r="B75" s="149" t="s">
        <v>24711</v>
      </c>
      <c r="C75" s="153" t="s">
        <v>664</v>
      </c>
      <c r="D75" s="178">
        <v>6048</v>
      </c>
      <c r="E75" s="155">
        <v>44775</v>
      </c>
      <c r="F75" s="178">
        <v>6048</v>
      </c>
      <c r="G75" s="179">
        <f>Tabla19[[#This Row],[Importe]]-Tabla19[[#This Row],[Pagado]]</f>
        <v>0</v>
      </c>
      <c r="H75" s="153" t="s">
        <v>10</v>
      </c>
    </row>
    <row r="76" spans="1:8" x14ac:dyDescent="0.25">
      <c r="A76" s="73">
        <v>44774</v>
      </c>
      <c r="B76" s="74" t="s">
        <v>24712</v>
      </c>
      <c r="C76" s="75" t="s">
        <v>181</v>
      </c>
      <c r="D76" s="176">
        <v>10340.4</v>
      </c>
      <c r="E76" s="151">
        <v>44774</v>
      </c>
      <c r="F76" s="176">
        <v>10340.4</v>
      </c>
      <c r="G76" s="177">
        <f>Tabla19[[#This Row],[Importe]]-Tabla19[[#This Row],[Pagado]]</f>
        <v>0</v>
      </c>
      <c r="H76" s="75" t="s">
        <v>10</v>
      </c>
    </row>
    <row r="77" spans="1:8" x14ac:dyDescent="0.25">
      <c r="A77" s="148">
        <v>44774</v>
      </c>
      <c r="B77" s="149" t="s">
        <v>24713</v>
      </c>
      <c r="C77" s="153" t="s">
        <v>359</v>
      </c>
      <c r="D77" s="178">
        <v>879.8</v>
      </c>
      <c r="E77" s="155">
        <v>44774</v>
      </c>
      <c r="F77" s="178">
        <v>879.8</v>
      </c>
      <c r="G77" s="179">
        <f>Tabla19[[#This Row],[Importe]]-Tabla19[[#This Row],[Pagado]]</f>
        <v>0</v>
      </c>
      <c r="H77" s="153" t="s">
        <v>10</v>
      </c>
    </row>
    <row r="78" spans="1:8" x14ac:dyDescent="0.25">
      <c r="A78" s="73">
        <v>44774</v>
      </c>
      <c r="B78" s="74" t="s">
        <v>24714</v>
      </c>
      <c r="C78" s="75" t="s">
        <v>58</v>
      </c>
      <c r="D78" s="176">
        <v>3457.2</v>
      </c>
      <c r="E78" s="151">
        <v>44774</v>
      </c>
      <c r="F78" s="176">
        <v>3457.2</v>
      </c>
      <c r="G78" s="177">
        <f>Tabla19[[#This Row],[Importe]]-Tabla19[[#This Row],[Pagado]]</f>
        <v>0</v>
      </c>
      <c r="H78" s="75" t="s">
        <v>10</v>
      </c>
    </row>
    <row r="79" spans="1:8" x14ac:dyDescent="0.25">
      <c r="A79" s="148">
        <v>44774</v>
      </c>
      <c r="B79" s="149" t="s">
        <v>24715</v>
      </c>
      <c r="C79" s="153" t="s">
        <v>31</v>
      </c>
      <c r="D79" s="178">
        <v>11580</v>
      </c>
      <c r="E79" s="155">
        <v>44774</v>
      </c>
      <c r="F79" s="178">
        <v>11580</v>
      </c>
      <c r="G79" s="179">
        <f>Tabla19[[#This Row],[Importe]]-Tabla19[[#This Row],[Pagado]]</f>
        <v>0</v>
      </c>
      <c r="H79" s="153" t="s">
        <v>10</v>
      </c>
    </row>
    <row r="80" spans="1:8" x14ac:dyDescent="0.25">
      <c r="A80" s="73">
        <v>44774</v>
      </c>
      <c r="B80" s="74" t="s">
        <v>24716</v>
      </c>
      <c r="C80" s="75" t="s">
        <v>426</v>
      </c>
      <c r="D80" s="176">
        <v>9116.7999999999993</v>
      </c>
      <c r="E80" s="151">
        <v>44774</v>
      </c>
      <c r="F80" s="176">
        <v>9116.7999999999993</v>
      </c>
      <c r="G80" s="177">
        <f>Tabla19[[#This Row],[Importe]]-Tabla19[[#This Row],[Pagado]]</f>
        <v>0</v>
      </c>
      <c r="H80" s="75" t="s">
        <v>10</v>
      </c>
    </row>
    <row r="81" spans="1:8" x14ac:dyDescent="0.25">
      <c r="A81" s="148">
        <v>44774</v>
      </c>
      <c r="B81" s="149" t="s">
        <v>24717</v>
      </c>
      <c r="C81" s="153" t="s">
        <v>244</v>
      </c>
      <c r="D81" s="178">
        <v>2022.9</v>
      </c>
      <c r="E81" s="155">
        <v>44774</v>
      </c>
      <c r="F81" s="178">
        <v>2022.9</v>
      </c>
      <c r="G81" s="179">
        <f>Tabla19[[#This Row],[Importe]]-Tabla19[[#This Row],[Pagado]]</f>
        <v>0</v>
      </c>
      <c r="H81" s="153" t="s">
        <v>10</v>
      </c>
    </row>
    <row r="82" spans="1:8" x14ac:dyDescent="0.25">
      <c r="A82" s="73">
        <v>44774</v>
      </c>
      <c r="B82" s="74" t="s">
        <v>24718</v>
      </c>
      <c r="C82" s="75" t="s">
        <v>175</v>
      </c>
      <c r="D82" s="176">
        <v>16416</v>
      </c>
      <c r="E82" s="151">
        <v>44774</v>
      </c>
      <c r="F82" s="176">
        <v>16416</v>
      </c>
      <c r="G82" s="177">
        <f>Tabla19[[#This Row],[Importe]]-Tabla19[[#This Row],[Pagado]]</f>
        <v>0</v>
      </c>
      <c r="H82" s="75" t="s">
        <v>10</v>
      </c>
    </row>
    <row r="83" spans="1:8" x14ac:dyDescent="0.25">
      <c r="A83" s="148">
        <v>44774</v>
      </c>
      <c r="B83" s="149" t="s">
        <v>24719</v>
      </c>
      <c r="C83" s="153" t="s">
        <v>291</v>
      </c>
      <c r="D83" s="178">
        <v>3740.95</v>
      </c>
      <c r="E83" s="155">
        <v>44775</v>
      </c>
      <c r="F83" s="178">
        <v>3740.95</v>
      </c>
      <c r="G83" s="179">
        <f>Tabla19[[#This Row],[Importe]]-Tabla19[[#This Row],[Pagado]]</f>
        <v>0</v>
      </c>
      <c r="H83" s="153" t="s">
        <v>10</v>
      </c>
    </row>
    <row r="84" spans="1:8" x14ac:dyDescent="0.25">
      <c r="A84" s="73">
        <v>44774</v>
      </c>
      <c r="B84" s="74" t="s">
        <v>24720</v>
      </c>
      <c r="C84" s="75" t="s">
        <v>419</v>
      </c>
      <c r="D84" s="176">
        <v>6537.9</v>
      </c>
      <c r="E84" s="151">
        <v>44774</v>
      </c>
      <c r="F84" s="176">
        <v>6537.9</v>
      </c>
      <c r="G84" s="177">
        <f>Tabla19[[#This Row],[Importe]]-Tabla19[[#This Row],[Pagado]]</f>
        <v>0</v>
      </c>
      <c r="H84" s="75" t="s">
        <v>10</v>
      </c>
    </row>
    <row r="85" spans="1:8" x14ac:dyDescent="0.25">
      <c r="A85" s="148">
        <v>44774</v>
      </c>
      <c r="B85" s="149" t="s">
        <v>24721</v>
      </c>
      <c r="C85" s="153" t="s">
        <v>24722</v>
      </c>
      <c r="D85" s="178">
        <v>0</v>
      </c>
      <c r="E85" s="158" t="s">
        <v>189</v>
      </c>
      <c r="F85" s="178">
        <v>0</v>
      </c>
      <c r="G85" s="179">
        <f>Tabla19[[#This Row],[Importe]]-Tabla19[[#This Row],[Pagado]]</f>
        <v>0</v>
      </c>
      <c r="H85" s="159" t="s">
        <v>24723</v>
      </c>
    </row>
    <row r="86" spans="1:8" x14ac:dyDescent="0.25">
      <c r="A86" s="73">
        <v>44774</v>
      </c>
      <c r="B86" s="74" t="s">
        <v>24724</v>
      </c>
      <c r="C86" s="75" t="s">
        <v>214</v>
      </c>
      <c r="D86" s="176">
        <v>2775.3</v>
      </c>
      <c r="E86" s="151">
        <v>44774</v>
      </c>
      <c r="F86" s="176">
        <v>2775.3</v>
      </c>
      <c r="G86" s="177">
        <f>Tabla19[[#This Row],[Importe]]-Tabla19[[#This Row],[Pagado]]</f>
        <v>0</v>
      </c>
      <c r="H86" s="75" t="s">
        <v>10</v>
      </c>
    </row>
    <row r="87" spans="1:8" x14ac:dyDescent="0.25">
      <c r="A87" s="148">
        <v>44774</v>
      </c>
      <c r="B87" s="149" t="s">
        <v>24725</v>
      </c>
      <c r="C87" s="153" t="s">
        <v>135</v>
      </c>
      <c r="D87" s="178">
        <v>1460.8</v>
      </c>
      <c r="E87" s="155">
        <v>44774</v>
      </c>
      <c r="F87" s="178">
        <v>1460.8</v>
      </c>
      <c r="G87" s="179">
        <f>Tabla19[[#This Row],[Importe]]-Tabla19[[#This Row],[Pagado]]</f>
        <v>0</v>
      </c>
      <c r="H87" s="153" t="s">
        <v>10</v>
      </c>
    </row>
    <row r="88" spans="1:8" x14ac:dyDescent="0.25">
      <c r="A88" s="73">
        <v>44774</v>
      </c>
      <c r="B88" s="74" t="s">
        <v>24726</v>
      </c>
      <c r="C88" s="75" t="s">
        <v>4136</v>
      </c>
      <c r="D88" s="176">
        <v>954</v>
      </c>
      <c r="E88" s="151">
        <v>44774</v>
      </c>
      <c r="F88" s="176">
        <v>954</v>
      </c>
      <c r="G88" s="177">
        <f>Tabla19[[#This Row],[Importe]]-Tabla19[[#This Row],[Pagado]]</f>
        <v>0</v>
      </c>
      <c r="H88" s="75" t="s">
        <v>10</v>
      </c>
    </row>
    <row r="89" spans="1:8" x14ac:dyDescent="0.25">
      <c r="A89" s="148">
        <v>44774</v>
      </c>
      <c r="B89" s="149" t="s">
        <v>24727</v>
      </c>
      <c r="C89" s="153" t="s">
        <v>9827</v>
      </c>
      <c r="D89" s="178">
        <v>9517.7999999999993</v>
      </c>
      <c r="E89" s="155">
        <v>44774</v>
      </c>
      <c r="F89" s="178">
        <v>9517.7999999999993</v>
      </c>
      <c r="G89" s="179">
        <f>Tabla19[[#This Row],[Importe]]-Tabla19[[#This Row],[Pagado]]</f>
        <v>0</v>
      </c>
      <c r="H89" s="153" t="s">
        <v>10</v>
      </c>
    </row>
    <row r="90" spans="1:8" x14ac:dyDescent="0.25">
      <c r="A90" s="73">
        <v>44774</v>
      </c>
      <c r="B90" s="74" t="s">
        <v>24728</v>
      </c>
      <c r="C90" s="75" t="s">
        <v>698</v>
      </c>
      <c r="D90" s="176">
        <v>8484.1</v>
      </c>
      <c r="E90" s="151">
        <v>44774</v>
      </c>
      <c r="F90" s="176">
        <v>8484.1</v>
      </c>
      <c r="G90" s="177">
        <f>Tabla19[[#This Row],[Importe]]-Tabla19[[#This Row],[Pagado]]</f>
        <v>0</v>
      </c>
      <c r="H90" s="75" t="s">
        <v>10</v>
      </c>
    </row>
    <row r="91" spans="1:8" x14ac:dyDescent="0.25">
      <c r="A91" s="148">
        <v>44774</v>
      </c>
      <c r="B91" s="149" t="s">
        <v>24729</v>
      </c>
      <c r="C91" s="153" t="s">
        <v>698</v>
      </c>
      <c r="D91" s="178">
        <v>294.39999999999998</v>
      </c>
      <c r="E91" s="155">
        <v>44774</v>
      </c>
      <c r="F91" s="178">
        <v>294.39999999999998</v>
      </c>
      <c r="G91" s="179">
        <f>Tabla19[[#This Row],[Importe]]-Tabla19[[#This Row],[Pagado]]</f>
        <v>0</v>
      </c>
      <c r="H91" s="153" t="s">
        <v>10</v>
      </c>
    </row>
    <row r="92" spans="1:8" x14ac:dyDescent="0.25">
      <c r="A92" s="73">
        <v>44774</v>
      </c>
      <c r="B92" s="74" t="s">
        <v>24730</v>
      </c>
      <c r="C92" s="75" t="s">
        <v>459</v>
      </c>
      <c r="D92" s="176">
        <v>78.400000000000006</v>
      </c>
      <c r="E92" s="151">
        <v>44774</v>
      </c>
      <c r="F92" s="176">
        <v>78.400000000000006</v>
      </c>
      <c r="G92" s="177">
        <f>Tabla19[[#This Row],[Importe]]-Tabla19[[#This Row],[Pagado]]</f>
        <v>0</v>
      </c>
      <c r="H92" s="75" t="s">
        <v>10</v>
      </c>
    </row>
    <row r="93" spans="1:8" x14ac:dyDescent="0.25">
      <c r="A93" s="148">
        <v>44774</v>
      </c>
      <c r="B93" s="149" t="s">
        <v>24731</v>
      </c>
      <c r="C93" s="153" t="s">
        <v>10984</v>
      </c>
      <c r="D93" s="178">
        <v>26985</v>
      </c>
      <c r="E93" s="155">
        <v>44774</v>
      </c>
      <c r="F93" s="178">
        <v>26985</v>
      </c>
      <c r="G93" s="179">
        <f>Tabla19[[#This Row],[Importe]]-Tabla19[[#This Row],[Pagado]]</f>
        <v>0</v>
      </c>
      <c r="H93" s="153" t="s">
        <v>10</v>
      </c>
    </row>
    <row r="94" spans="1:8" x14ac:dyDescent="0.25">
      <c r="A94" s="73">
        <v>44774</v>
      </c>
      <c r="B94" s="74" t="s">
        <v>24732</v>
      </c>
      <c r="C94" s="75" t="s">
        <v>282</v>
      </c>
      <c r="D94" s="176">
        <v>2644.8</v>
      </c>
      <c r="E94" s="151">
        <v>44775</v>
      </c>
      <c r="F94" s="176">
        <v>2644.8</v>
      </c>
      <c r="G94" s="177">
        <f>Tabla19[[#This Row],[Importe]]-Tabla19[[#This Row],[Pagado]]</f>
        <v>0</v>
      </c>
      <c r="H94" s="75" t="s">
        <v>10</v>
      </c>
    </row>
    <row r="95" spans="1:8" x14ac:dyDescent="0.25">
      <c r="A95" s="148">
        <v>44774</v>
      </c>
      <c r="B95" s="149" t="s">
        <v>24733</v>
      </c>
      <c r="C95" s="153" t="s">
        <v>280</v>
      </c>
      <c r="D95" s="178">
        <v>1696.5</v>
      </c>
      <c r="E95" s="155">
        <v>44775</v>
      </c>
      <c r="F95" s="178">
        <v>1696.5</v>
      </c>
      <c r="G95" s="179">
        <f>Tabla19[[#This Row],[Importe]]-Tabla19[[#This Row],[Pagado]]</f>
        <v>0</v>
      </c>
      <c r="H95" s="153" t="s">
        <v>10</v>
      </c>
    </row>
    <row r="96" spans="1:8" x14ac:dyDescent="0.25">
      <c r="A96" s="73">
        <v>44774</v>
      </c>
      <c r="B96" s="74" t="s">
        <v>24734</v>
      </c>
      <c r="C96" s="75" t="s">
        <v>10819</v>
      </c>
      <c r="D96" s="176">
        <v>1635.6</v>
      </c>
      <c r="E96" s="151">
        <v>44775</v>
      </c>
      <c r="F96" s="176">
        <v>1635.6</v>
      </c>
      <c r="G96" s="177">
        <f>Tabla19[[#This Row],[Importe]]-Tabla19[[#This Row],[Pagado]]</f>
        <v>0</v>
      </c>
      <c r="H96" s="75" t="s">
        <v>10</v>
      </c>
    </row>
    <row r="97" spans="1:8" x14ac:dyDescent="0.25">
      <c r="A97" s="148">
        <v>44774</v>
      </c>
      <c r="B97" s="149" t="s">
        <v>24735</v>
      </c>
      <c r="C97" s="153" t="s">
        <v>5345</v>
      </c>
      <c r="D97" s="178">
        <v>4195.5</v>
      </c>
      <c r="E97" s="155">
        <v>44775</v>
      </c>
      <c r="F97" s="178">
        <v>4195.5</v>
      </c>
      <c r="G97" s="179">
        <f>Tabla19[[#This Row],[Importe]]-Tabla19[[#This Row],[Pagado]]</f>
        <v>0</v>
      </c>
      <c r="H97" s="153" t="s">
        <v>10</v>
      </c>
    </row>
    <row r="98" spans="1:8" x14ac:dyDescent="0.25">
      <c r="A98" s="73">
        <v>44774</v>
      </c>
      <c r="B98" s="74" t="s">
        <v>24736</v>
      </c>
      <c r="C98" s="75" t="s">
        <v>284</v>
      </c>
      <c r="D98" s="176">
        <v>15747</v>
      </c>
      <c r="E98" s="151">
        <v>44775</v>
      </c>
      <c r="F98" s="176">
        <v>15747</v>
      </c>
      <c r="G98" s="177">
        <f>Tabla19[[#This Row],[Importe]]-Tabla19[[#This Row],[Pagado]]</f>
        <v>0</v>
      </c>
      <c r="H98" s="75" t="s">
        <v>10</v>
      </c>
    </row>
    <row r="99" spans="1:8" x14ac:dyDescent="0.25">
      <c r="A99" s="148">
        <v>44774</v>
      </c>
      <c r="B99" s="149" t="s">
        <v>24737</v>
      </c>
      <c r="C99" s="153" t="s">
        <v>191</v>
      </c>
      <c r="D99" s="178">
        <v>1761.7</v>
      </c>
      <c r="E99" s="155">
        <v>44774</v>
      </c>
      <c r="F99" s="178">
        <v>1761.7</v>
      </c>
      <c r="G99" s="179">
        <f>Tabla19[[#This Row],[Importe]]-Tabla19[[#This Row],[Pagado]]</f>
        <v>0</v>
      </c>
      <c r="H99" s="153" t="s">
        <v>10</v>
      </c>
    </row>
    <row r="100" spans="1:8" x14ac:dyDescent="0.25">
      <c r="A100" s="73">
        <v>44774</v>
      </c>
      <c r="B100" s="74" t="s">
        <v>24738</v>
      </c>
      <c r="C100" s="75" t="s">
        <v>475</v>
      </c>
      <c r="D100" s="176">
        <v>21978</v>
      </c>
      <c r="E100" s="151">
        <v>44776</v>
      </c>
      <c r="F100" s="176">
        <v>21978</v>
      </c>
      <c r="G100" s="177">
        <f>Tabla19[[#This Row],[Importe]]-Tabla19[[#This Row],[Pagado]]</f>
        <v>0</v>
      </c>
      <c r="H100" s="75" t="s">
        <v>10</v>
      </c>
    </row>
    <row r="101" spans="1:8" x14ac:dyDescent="0.25">
      <c r="A101" s="148">
        <v>44774</v>
      </c>
      <c r="B101" s="149" t="s">
        <v>24739</v>
      </c>
      <c r="C101" s="153" t="s">
        <v>647</v>
      </c>
      <c r="D101" s="178">
        <v>850</v>
      </c>
      <c r="E101" s="155">
        <v>44774</v>
      </c>
      <c r="F101" s="178">
        <v>850</v>
      </c>
      <c r="G101" s="179">
        <f>Tabla19[[#This Row],[Importe]]-Tabla19[[#This Row],[Pagado]]</f>
        <v>0</v>
      </c>
      <c r="H101" s="153" t="s">
        <v>10</v>
      </c>
    </row>
    <row r="102" spans="1:8" x14ac:dyDescent="0.25">
      <c r="A102" s="73">
        <v>44774</v>
      </c>
      <c r="B102" s="74" t="s">
        <v>24740</v>
      </c>
      <c r="C102" s="75" t="s">
        <v>484</v>
      </c>
      <c r="D102" s="176">
        <v>5140.2</v>
      </c>
      <c r="E102" s="151">
        <v>44774</v>
      </c>
      <c r="F102" s="176">
        <v>5140.2</v>
      </c>
      <c r="G102" s="177">
        <f>Tabla19[[#This Row],[Importe]]-Tabla19[[#This Row],[Pagado]]</f>
        <v>0</v>
      </c>
      <c r="H102" s="75" t="s">
        <v>10</v>
      </c>
    </row>
    <row r="103" spans="1:8" x14ac:dyDescent="0.25">
      <c r="A103" s="148">
        <v>44774</v>
      </c>
      <c r="B103" s="149" t="s">
        <v>24741</v>
      </c>
      <c r="C103" s="153" t="s">
        <v>4273</v>
      </c>
      <c r="D103" s="178">
        <v>18400</v>
      </c>
      <c r="E103" s="155">
        <v>44774</v>
      </c>
      <c r="F103" s="178">
        <v>18400</v>
      </c>
      <c r="G103" s="179">
        <f>Tabla19[[#This Row],[Importe]]-Tabla19[[#This Row],[Pagado]]</f>
        <v>0</v>
      </c>
      <c r="H103" s="153" t="s">
        <v>10</v>
      </c>
    </row>
    <row r="104" spans="1:8" x14ac:dyDescent="0.25">
      <c r="A104" s="73">
        <v>44774</v>
      </c>
      <c r="B104" s="74" t="s">
        <v>24742</v>
      </c>
      <c r="C104" s="75" t="s">
        <v>24</v>
      </c>
      <c r="D104" s="176">
        <v>1440</v>
      </c>
      <c r="E104" s="151">
        <v>44774</v>
      </c>
      <c r="F104" s="176">
        <v>1440</v>
      </c>
      <c r="G104" s="177">
        <f>Tabla19[[#This Row],[Importe]]-Tabla19[[#This Row],[Pagado]]</f>
        <v>0</v>
      </c>
      <c r="H104" s="75" t="s">
        <v>10</v>
      </c>
    </row>
    <row r="105" spans="1:8" x14ac:dyDescent="0.25">
      <c r="A105" s="148">
        <v>44774</v>
      </c>
      <c r="B105" s="149" t="s">
        <v>24743</v>
      </c>
      <c r="C105" s="153" t="s">
        <v>426</v>
      </c>
      <c r="D105" s="178">
        <v>2889.2</v>
      </c>
      <c r="E105" s="155">
        <v>44774</v>
      </c>
      <c r="F105" s="178">
        <v>2889.2</v>
      </c>
      <c r="G105" s="179">
        <f>Tabla19[[#This Row],[Importe]]-Tabla19[[#This Row],[Pagado]]</f>
        <v>0</v>
      </c>
      <c r="H105" s="153" t="s">
        <v>10</v>
      </c>
    </row>
    <row r="106" spans="1:8" x14ac:dyDescent="0.25">
      <c r="A106" s="73">
        <v>44774</v>
      </c>
      <c r="B106" s="74" t="s">
        <v>24744</v>
      </c>
      <c r="C106" s="75" t="s">
        <v>10678</v>
      </c>
      <c r="D106" s="176">
        <v>812</v>
      </c>
      <c r="E106" s="151">
        <v>44774</v>
      </c>
      <c r="F106" s="176">
        <v>812</v>
      </c>
      <c r="G106" s="177">
        <f>Tabla19[[#This Row],[Importe]]-Tabla19[[#This Row],[Pagado]]</f>
        <v>0</v>
      </c>
      <c r="H106" s="75" t="s">
        <v>10</v>
      </c>
    </row>
    <row r="107" spans="1:8" x14ac:dyDescent="0.25">
      <c r="A107" s="148">
        <v>44774</v>
      </c>
      <c r="B107" s="149" t="s">
        <v>24745</v>
      </c>
      <c r="C107" s="153" t="s">
        <v>31</v>
      </c>
      <c r="D107" s="178">
        <v>260</v>
      </c>
      <c r="E107" s="155">
        <v>44774</v>
      </c>
      <c r="F107" s="178">
        <v>260</v>
      </c>
      <c r="G107" s="179">
        <f>Tabla19[[#This Row],[Importe]]-Tabla19[[#This Row],[Pagado]]</f>
        <v>0</v>
      </c>
      <c r="H107" s="153" t="s">
        <v>10</v>
      </c>
    </row>
    <row r="108" spans="1:8" ht="31.5" x14ac:dyDescent="0.25">
      <c r="A108" s="73">
        <v>44774</v>
      </c>
      <c r="B108" s="74" t="s">
        <v>24746</v>
      </c>
      <c r="C108" s="75" t="s">
        <v>10840</v>
      </c>
      <c r="D108" s="176">
        <v>44608.6</v>
      </c>
      <c r="E108" s="147" t="s">
        <v>24747</v>
      </c>
      <c r="F108" s="176">
        <f>42000+2608.6</f>
        <v>44608.6</v>
      </c>
      <c r="G108" s="177">
        <f>Tabla19[[#This Row],[Importe]]-Tabla19[[#This Row],[Pagado]]</f>
        <v>0</v>
      </c>
      <c r="H108" s="75" t="s">
        <v>10</v>
      </c>
    </row>
    <row r="109" spans="1:8" x14ac:dyDescent="0.25">
      <c r="A109" s="148">
        <v>44774</v>
      </c>
      <c r="B109" s="149" t="s">
        <v>24748</v>
      </c>
      <c r="C109" s="153" t="s">
        <v>69</v>
      </c>
      <c r="D109" s="178">
        <v>1760</v>
      </c>
      <c r="E109" s="155">
        <v>44774</v>
      </c>
      <c r="F109" s="178">
        <v>1760</v>
      </c>
      <c r="G109" s="179">
        <f>Tabla19[[#This Row],[Importe]]-Tabla19[[#This Row],[Pagado]]</f>
        <v>0</v>
      </c>
      <c r="H109" s="153" t="s">
        <v>10</v>
      </c>
    </row>
    <row r="110" spans="1:8" x14ac:dyDescent="0.25">
      <c r="A110" s="73">
        <v>44774</v>
      </c>
      <c r="B110" s="74" t="s">
        <v>24749</v>
      </c>
      <c r="C110" s="75" t="s">
        <v>31</v>
      </c>
      <c r="D110" s="176">
        <v>324.8</v>
      </c>
      <c r="E110" s="151">
        <v>44775</v>
      </c>
      <c r="F110" s="176">
        <v>324.8</v>
      </c>
      <c r="G110" s="177">
        <f>Tabla19[[#This Row],[Importe]]-Tabla19[[#This Row],[Pagado]]</f>
        <v>0</v>
      </c>
      <c r="H110" s="75" t="s">
        <v>10</v>
      </c>
    </row>
    <row r="111" spans="1:8" x14ac:dyDescent="0.25">
      <c r="A111" s="148">
        <v>44775</v>
      </c>
      <c r="B111" s="149" t="s">
        <v>24750</v>
      </c>
      <c r="C111" s="153" t="s">
        <v>887</v>
      </c>
      <c r="D111" s="178">
        <v>17358</v>
      </c>
      <c r="E111" s="155">
        <v>44775</v>
      </c>
      <c r="F111" s="178">
        <v>17358</v>
      </c>
      <c r="G111" s="179">
        <f>Tabla19[[#This Row],[Importe]]-Tabla19[[#This Row],[Pagado]]</f>
        <v>0</v>
      </c>
      <c r="H111" s="153" t="s">
        <v>10</v>
      </c>
    </row>
    <row r="112" spans="1:8" x14ac:dyDescent="0.25">
      <c r="A112" s="73">
        <v>44775</v>
      </c>
      <c r="B112" s="74" t="s">
        <v>24751</v>
      </c>
      <c r="C112" s="75" t="s">
        <v>75</v>
      </c>
      <c r="D112" s="176">
        <v>10022.4</v>
      </c>
      <c r="E112" s="151">
        <v>44775</v>
      </c>
      <c r="F112" s="176">
        <v>10022.4</v>
      </c>
      <c r="G112" s="177">
        <f>Tabla19[[#This Row],[Importe]]-Tabla19[[#This Row],[Pagado]]</f>
        <v>0</v>
      </c>
      <c r="H112" s="75" t="s">
        <v>10</v>
      </c>
    </row>
    <row r="113" spans="1:8" x14ac:dyDescent="0.25">
      <c r="A113" s="148">
        <v>44775</v>
      </c>
      <c r="B113" s="149" t="s">
        <v>24752</v>
      </c>
      <c r="C113" s="153" t="s">
        <v>473</v>
      </c>
      <c r="D113" s="178">
        <v>5508</v>
      </c>
      <c r="E113" s="155">
        <v>44775</v>
      </c>
      <c r="F113" s="178">
        <v>5508</v>
      </c>
      <c r="G113" s="179">
        <f>Tabla19[[#This Row],[Importe]]-Tabla19[[#This Row],[Pagado]]</f>
        <v>0</v>
      </c>
      <c r="H113" s="153" t="s">
        <v>10</v>
      </c>
    </row>
    <row r="114" spans="1:8" x14ac:dyDescent="0.25">
      <c r="A114" s="73">
        <v>44775</v>
      </c>
      <c r="B114" s="74" t="s">
        <v>24753</v>
      </c>
      <c r="C114" s="75" t="s">
        <v>111</v>
      </c>
      <c r="D114" s="176">
        <v>5216</v>
      </c>
      <c r="E114" s="151">
        <v>44777</v>
      </c>
      <c r="F114" s="176">
        <v>5216</v>
      </c>
      <c r="G114" s="177">
        <f>Tabla19[[#This Row],[Importe]]-Tabla19[[#This Row],[Pagado]]</f>
        <v>0</v>
      </c>
      <c r="H114" s="75" t="s">
        <v>10</v>
      </c>
    </row>
    <row r="115" spans="1:8" ht="31.5" x14ac:dyDescent="0.25">
      <c r="A115" s="148">
        <v>44775</v>
      </c>
      <c r="B115" s="149" t="s">
        <v>24754</v>
      </c>
      <c r="C115" s="153" t="s">
        <v>93</v>
      </c>
      <c r="D115" s="178">
        <v>6880</v>
      </c>
      <c r="E115" s="150" t="s">
        <v>24636</v>
      </c>
      <c r="F115" s="178">
        <f>2000+4880</f>
        <v>6880</v>
      </c>
      <c r="G115" s="179">
        <f>Tabla19[[#This Row],[Importe]]-Tabla19[[#This Row],[Pagado]]</f>
        <v>0</v>
      </c>
      <c r="H115" s="153" t="s">
        <v>10</v>
      </c>
    </row>
    <row r="116" spans="1:8" x14ac:dyDescent="0.25">
      <c r="A116" s="73">
        <v>44775</v>
      </c>
      <c r="B116" s="74" t="s">
        <v>24755</v>
      </c>
      <c r="C116" s="75" t="s">
        <v>64</v>
      </c>
      <c r="D116" s="176">
        <v>5511</v>
      </c>
      <c r="E116" s="151">
        <v>44776</v>
      </c>
      <c r="F116" s="176">
        <v>5511</v>
      </c>
      <c r="G116" s="177">
        <f>Tabla19[[#This Row],[Importe]]-Tabla19[[#This Row],[Pagado]]</f>
        <v>0</v>
      </c>
      <c r="H116" s="75" t="s">
        <v>10</v>
      </c>
    </row>
    <row r="117" spans="1:8" x14ac:dyDescent="0.25">
      <c r="A117" s="148">
        <v>44775</v>
      </c>
      <c r="B117" s="149" t="s">
        <v>24756</v>
      </c>
      <c r="C117" s="153" t="s">
        <v>97</v>
      </c>
      <c r="D117" s="178">
        <v>4832</v>
      </c>
      <c r="E117" s="155">
        <v>44776</v>
      </c>
      <c r="F117" s="178">
        <v>4832</v>
      </c>
      <c r="G117" s="179">
        <f>Tabla19[[#This Row],[Importe]]-Tabla19[[#This Row],[Pagado]]</f>
        <v>0</v>
      </c>
      <c r="H117" s="153" t="s">
        <v>10</v>
      </c>
    </row>
    <row r="118" spans="1:8" x14ac:dyDescent="0.25">
      <c r="A118" s="73">
        <v>44775</v>
      </c>
      <c r="B118" s="74" t="s">
        <v>24757</v>
      </c>
      <c r="C118" s="75" t="s">
        <v>2563</v>
      </c>
      <c r="D118" s="176">
        <v>5247</v>
      </c>
      <c r="E118" s="151">
        <v>44776</v>
      </c>
      <c r="F118" s="176">
        <v>5247</v>
      </c>
      <c r="G118" s="177">
        <f>Tabla19[[#This Row],[Importe]]-Tabla19[[#This Row],[Pagado]]</f>
        <v>0</v>
      </c>
      <c r="H118" s="75" t="s">
        <v>10</v>
      </c>
    </row>
    <row r="119" spans="1:8" x14ac:dyDescent="0.25">
      <c r="A119" s="148">
        <v>44775</v>
      </c>
      <c r="B119" s="149" t="s">
        <v>24758</v>
      </c>
      <c r="C119" s="153" t="s">
        <v>109</v>
      </c>
      <c r="D119" s="178">
        <v>4819.2</v>
      </c>
      <c r="E119" s="155">
        <v>44776</v>
      </c>
      <c r="F119" s="178">
        <v>4819.2</v>
      </c>
      <c r="G119" s="179">
        <f>Tabla19[[#This Row],[Importe]]-Tabla19[[#This Row],[Pagado]]</f>
        <v>0</v>
      </c>
      <c r="H119" s="153" t="s">
        <v>10</v>
      </c>
    </row>
    <row r="120" spans="1:8" x14ac:dyDescent="0.25">
      <c r="A120" s="73">
        <v>44775</v>
      </c>
      <c r="B120" s="74" t="s">
        <v>24759</v>
      </c>
      <c r="C120" s="75" t="s">
        <v>114</v>
      </c>
      <c r="D120" s="176">
        <v>5766.4</v>
      </c>
      <c r="E120" s="151">
        <v>44776</v>
      </c>
      <c r="F120" s="176">
        <v>5766.4</v>
      </c>
      <c r="G120" s="177">
        <f>Tabla19[[#This Row],[Importe]]-Tabla19[[#This Row],[Pagado]]</f>
        <v>0</v>
      </c>
      <c r="H120" s="75" t="s">
        <v>10</v>
      </c>
    </row>
    <row r="121" spans="1:8" x14ac:dyDescent="0.25">
      <c r="A121" s="148">
        <v>44775</v>
      </c>
      <c r="B121" s="149" t="s">
        <v>24760</v>
      </c>
      <c r="C121" s="153" t="s">
        <v>618</v>
      </c>
      <c r="D121" s="178">
        <v>5534</v>
      </c>
      <c r="E121" s="155">
        <v>44775</v>
      </c>
      <c r="F121" s="178">
        <v>5534</v>
      </c>
      <c r="G121" s="179">
        <f>Tabla19[[#This Row],[Importe]]-Tabla19[[#This Row],[Pagado]]</f>
        <v>0</v>
      </c>
      <c r="H121" s="153" t="s">
        <v>10</v>
      </c>
    </row>
    <row r="122" spans="1:8" x14ac:dyDescent="0.25">
      <c r="A122" s="73">
        <v>44775</v>
      </c>
      <c r="B122" s="74" t="s">
        <v>24761</v>
      </c>
      <c r="C122" s="75" t="s">
        <v>89</v>
      </c>
      <c r="D122" s="176">
        <v>8636.2999999999993</v>
      </c>
      <c r="E122" s="151">
        <v>44776</v>
      </c>
      <c r="F122" s="176">
        <v>8636.2999999999993</v>
      </c>
      <c r="G122" s="177">
        <f>Tabla19[[#This Row],[Importe]]-Tabla19[[#This Row],[Pagado]]</f>
        <v>0</v>
      </c>
      <c r="H122" s="75" t="s">
        <v>10</v>
      </c>
    </row>
    <row r="123" spans="1:8" x14ac:dyDescent="0.25">
      <c r="A123" s="148">
        <v>44775</v>
      </c>
      <c r="B123" s="149" t="s">
        <v>24762</v>
      </c>
      <c r="C123" s="153" t="s">
        <v>2151</v>
      </c>
      <c r="D123" s="178">
        <v>20195.2</v>
      </c>
      <c r="E123" s="155">
        <v>44775</v>
      </c>
      <c r="F123" s="178">
        <v>20195.2</v>
      </c>
      <c r="G123" s="179">
        <f>Tabla19[[#This Row],[Importe]]-Tabla19[[#This Row],[Pagado]]</f>
        <v>0</v>
      </c>
      <c r="H123" s="153" t="s">
        <v>10</v>
      </c>
    </row>
    <row r="124" spans="1:8" x14ac:dyDescent="0.25">
      <c r="A124" s="73">
        <v>44775</v>
      </c>
      <c r="B124" s="74" t="s">
        <v>24763</v>
      </c>
      <c r="C124" s="75" t="s">
        <v>105</v>
      </c>
      <c r="D124" s="176">
        <v>7472.7</v>
      </c>
      <c r="E124" s="151">
        <v>44776</v>
      </c>
      <c r="F124" s="176">
        <v>7472.7</v>
      </c>
      <c r="G124" s="177">
        <f>Tabla19[[#This Row],[Importe]]-Tabla19[[#This Row],[Pagado]]</f>
        <v>0</v>
      </c>
      <c r="H124" s="75" t="s">
        <v>10</v>
      </c>
    </row>
    <row r="125" spans="1:8" x14ac:dyDescent="0.25">
      <c r="A125" s="148">
        <v>44775</v>
      </c>
      <c r="B125" s="149" t="s">
        <v>24764</v>
      </c>
      <c r="C125" s="153" t="s">
        <v>348</v>
      </c>
      <c r="D125" s="178">
        <v>1762.1</v>
      </c>
      <c r="E125" s="155">
        <v>44775</v>
      </c>
      <c r="F125" s="178">
        <v>1762.1</v>
      </c>
      <c r="G125" s="179">
        <f>Tabla19[[#This Row],[Importe]]-Tabla19[[#This Row],[Pagado]]</f>
        <v>0</v>
      </c>
      <c r="H125" s="153" t="s">
        <v>10</v>
      </c>
    </row>
    <row r="126" spans="1:8" x14ac:dyDescent="0.25">
      <c r="A126" s="73">
        <v>44775</v>
      </c>
      <c r="B126" s="74" t="s">
        <v>24765</v>
      </c>
      <c r="C126" s="75" t="s">
        <v>481</v>
      </c>
      <c r="D126" s="176">
        <v>730.4</v>
      </c>
      <c r="E126" s="151">
        <v>44775</v>
      </c>
      <c r="F126" s="176">
        <v>730.4</v>
      </c>
      <c r="G126" s="177">
        <f>Tabla19[[#This Row],[Importe]]-Tabla19[[#This Row],[Pagado]]</f>
        <v>0</v>
      </c>
      <c r="H126" s="75" t="s">
        <v>10</v>
      </c>
    </row>
    <row r="127" spans="1:8" x14ac:dyDescent="0.25">
      <c r="A127" s="148">
        <v>44775</v>
      </c>
      <c r="B127" s="149" t="s">
        <v>24766</v>
      </c>
      <c r="C127" s="153" t="s">
        <v>481</v>
      </c>
      <c r="D127" s="178">
        <v>193.2</v>
      </c>
      <c r="E127" s="155">
        <v>44775</v>
      </c>
      <c r="F127" s="178">
        <v>193.2</v>
      </c>
      <c r="G127" s="179">
        <f>Tabla19[[#This Row],[Importe]]-Tabla19[[#This Row],[Pagado]]</f>
        <v>0</v>
      </c>
      <c r="H127" s="153" t="s">
        <v>10</v>
      </c>
    </row>
    <row r="128" spans="1:8" x14ac:dyDescent="0.25">
      <c r="A128" s="73">
        <v>44775</v>
      </c>
      <c r="B128" s="74" t="s">
        <v>24767</v>
      </c>
      <c r="C128" s="75" t="s">
        <v>24768</v>
      </c>
      <c r="D128" s="176">
        <v>4683.3</v>
      </c>
      <c r="E128" s="151">
        <v>44775</v>
      </c>
      <c r="F128" s="176">
        <v>4683.3</v>
      </c>
      <c r="G128" s="177">
        <f>Tabla19[[#This Row],[Importe]]-Tabla19[[#This Row],[Pagado]]</f>
        <v>0</v>
      </c>
      <c r="H128" s="75" t="s">
        <v>10</v>
      </c>
    </row>
    <row r="129" spans="1:8" x14ac:dyDescent="0.25">
      <c r="A129" s="148">
        <v>44775</v>
      </c>
      <c r="B129" s="149" t="s">
        <v>24769</v>
      </c>
      <c r="C129" s="153" t="s">
        <v>79</v>
      </c>
      <c r="D129" s="178">
        <v>27267.599999999999</v>
      </c>
      <c r="E129" s="155">
        <v>44775</v>
      </c>
      <c r="F129" s="178">
        <v>27267.599999999999</v>
      </c>
      <c r="G129" s="179">
        <f>Tabla19[[#This Row],[Importe]]-Tabla19[[#This Row],[Pagado]]</f>
        <v>0</v>
      </c>
      <c r="H129" s="153" t="s">
        <v>10</v>
      </c>
    </row>
    <row r="130" spans="1:8" x14ac:dyDescent="0.25">
      <c r="A130" s="73">
        <v>44775</v>
      </c>
      <c r="B130" s="74" t="s">
        <v>24770</v>
      </c>
      <c r="C130" s="75" t="s">
        <v>357</v>
      </c>
      <c r="D130" s="176">
        <v>1619.2</v>
      </c>
      <c r="E130" s="151">
        <v>44775</v>
      </c>
      <c r="F130" s="176">
        <v>1619.2</v>
      </c>
      <c r="G130" s="177">
        <f>Tabla19[[#This Row],[Importe]]-Tabla19[[#This Row],[Pagado]]</f>
        <v>0</v>
      </c>
      <c r="H130" s="75" t="s">
        <v>10</v>
      </c>
    </row>
    <row r="131" spans="1:8" x14ac:dyDescent="0.25">
      <c r="A131" s="148">
        <v>44775</v>
      </c>
      <c r="B131" s="149" t="s">
        <v>24771</v>
      </c>
      <c r="C131" s="153" t="s">
        <v>9</v>
      </c>
      <c r="D131" s="178">
        <v>8837.6</v>
      </c>
      <c r="E131" s="155">
        <v>44775</v>
      </c>
      <c r="F131" s="178">
        <v>8837.6</v>
      </c>
      <c r="G131" s="179">
        <f>Tabla19[[#This Row],[Importe]]-Tabla19[[#This Row],[Pagado]]</f>
        <v>0</v>
      </c>
      <c r="H131" s="153" t="s">
        <v>10</v>
      </c>
    </row>
    <row r="132" spans="1:8" x14ac:dyDescent="0.25">
      <c r="A132" s="73">
        <v>44775</v>
      </c>
      <c r="B132" s="74" t="s">
        <v>24772</v>
      </c>
      <c r="C132" s="75" t="s">
        <v>140</v>
      </c>
      <c r="D132" s="176">
        <v>1460.8</v>
      </c>
      <c r="E132" s="151">
        <v>44775</v>
      </c>
      <c r="F132" s="176">
        <v>1460.8</v>
      </c>
      <c r="G132" s="177">
        <f>Tabla19[[#This Row],[Importe]]-Tabla19[[#This Row],[Pagado]]</f>
        <v>0</v>
      </c>
      <c r="H132" s="75" t="s">
        <v>10</v>
      </c>
    </row>
    <row r="133" spans="1:8" x14ac:dyDescent="0.25">
      <c r="A133" s="148">
        <v>44775</v>
      </c>
      <c r="B133" s="149" t="s">
        <v>24773</v>
      </c>
      <c r="C133" s="153" t="s">
        <v>129</v>
      </c>
      <c r="D133" s="178">
        <v>2060.8000000000002</v>
      </c>
      <c r="E133" s="155">
        <v>44775</v>
      </c>
      <c r="F133" s="178">
        <v>2060.8000000000002</v>
      </c>
      <c r="G133" s="179">
        <f>Tabla19[[#This Row],[Importe]]-Tabla19[[#This Row],[Pagado]]</f>
        <v>0</v>
      </c>
      <c r="H133" s="153" t="s">
        <v>10</v>
      </c>
    </row>
    <row r="134" spans="1:8" x14ac:dyDescent="0.25">
      <c r="A134" s="73">
        <v>44775</v>
      </c>
      <c r="B134" s="74" t="s">
        <v>24774</v>
      </c>
      <c r="C134" s="75" t="s">
        <v>127</v>
      </c>
      <c r="D134" s="176">
        <v>1487.2</v>
      </c>
      <c r="E134" s="151">
        <v>44775</v>
      </c>
      <c r="F134" s="176">
        <v>1487.2</v>
      </c>
      <c r="G134" s="177">
        <f>Tabla19[[#This Row],[Importe]]-Tabla19[[#This Row],[Pagado]]</f>
        <v>0</v>
      </c>
      <c r="H134" s="75" t="s">
        <v>10</v>
      </c>
    </row>
    <row r="135" spans="1:8" x14ac:dyDescent="0.25">
      <c r="A135" s="148">
        <v>44775</v>
      </c>
      <c r="B135" s="149" t="s">
        <v>24775</v>
      </c>
      <c r="C135" s="153" t="s">
        <v>314</v>
      </c>
      <c r="D135" s="178">
        <v>4117.3</v>
      </c>
      <c r="E135" s="155">
        <v>44775</v>
      </c>
      <c r="F135" s="178">
        <v>4117.3</v>
      </c>
      <c r="G135" s="179">
        <f>Tabla19[[#This Row],[Importe]]-Tabla19[[#This Row],[Pagado]]</f>
        <v>0</v>
      </c>
      <c r="H135" s="153" t="s">
        <v>10</v>
      </c>
    </row>
    <row r="136" spans="1:8" x14ac:dyDescent="0.25">
      <c r="A136" s="73">
        <v>44775</v>
      </c>
      <c r="B136" s="74" t="s">
        <v>24776</v>
      </c>
      <c r="C136" s="75" t="s">
        <v>466</v>
      </c>
      <c r="D136" s="176">
        <v>26240</v>
      </c>
      <c r="E136" s="151">
        <v>44775</v>
      </c>
      <c r="F136" s="176">
        <v>26240</v>
      </c>
      <c r="G136" s="177">
        <f>Tabla19[[#This Row],[Importe]]-Tabla19[[#This Row],[Pagado]]</f>
        <v>0</v>
      </c>
      <c r="H136" s="75" t="s">
        <v>10</v>
      </c>
    </row>
    <row r="137" spans="1:8" x14ac:dyDescent="0.25">
      <c r="A137" s="148">
        <v>44775</v>
      </c>
      <c r="B137" s="149" t="s">
        <v>24777</v>
      </c>
      <c r="C137" s="153" t="s">
        <v>83</v>
      </c>
      <c r="D137" s="178">
        <v>12742.6</v>
      </c>
      <c r="E137" s="155">
        <v>44775</v>
      </c>
      <c r="F137" s="178">
        <v>12742.6</v>
      </c>
      <c r="G137" s="179">
        <f>Tabla19[[#This Row],[Importe]]-Tabla19[[#This Row],[Pagado]]</f>
        <v>0</v>
      </c>
      <c r="H137" s="153" t="s">
        <v>10</v>
      </c>
    </row>
    <row r="138" spans="1:8" ht="31.5" x14ac:dyDescent="0.25">
      <c r="A138" s="73">
        <v>44775</v>
      </c>
      <c r="B138" s="74" t="s">
        <v>24778</v>
      </c>
      <c r="C138" s="75" t="s">
        <v>22</v>
      </c>
      <c r="D138" s="176">
        <v>51494.5</v>
      </c>
      <c r="E138" s="147" t="s">
        <v>24636</v>
      </c>
      <c r="F138" s="176">
        <f>33000+18494.5</f>
        <v>51494.5</v>
      </c>
      <c r="G138" s="177">
        <f>Tabla19[[#This Row],[Importe]]-Tabla19[[#This Row],[Pagado]]</f>
        <v>0</v>
      </c>
      <c r="H138" s="75" t="s">
        <v>10</v>
      </c>
    </row>
    <row r="139" spans="1:8" x14ac:dyDescent="0.25">
      <c r="A139" s="148">
        <v>44775</v>
      </c>
      <c r="B139" s="149" t="s">
        <v>24779</v>
      </c>
      <c r="C139" s="153" t="s">
        <v>49</v>
      </c>
      <c r="D139" s="178">
        <v>4188.8</v>
      </c>
      <c r="E139" s="155">
        <v>44775</v>
      </c>
      <c r="F139" s="178">
        <v>4188.8</v>
      </c>
      <c r="G139" s="179">
        <f>Tabla19[[#This Row],[Importe]]-Tabla19[[#This Row],[Pagado]]</f>
        <v>0</v>
      </c>
      <c r="H139" s="153" t="s">
        <v>10</v>
      </c>
    </row>
    <row r="140" spans="1:8" x14ac:dyDescent="0.25">
      <c r="A140" s="73">
        <v>44775</v>
      </c>
      <c r="B140" s="74" t="s">
        <v>24780</v>
      </c>
      <c r="C140" s="75" t="s">
        <v>16</v>
      </c>
      <c r="D140" s="176">
        <v>5798.6</v>
      </c>
      <c r="E140" s="151">
        <v>44775</v>
      </c>
      <c r="F140" s="176">
        <v>5798.6</v>
      </c>
      <c r="G140" s="177">
        <f>Tabla19[[#This Row],[Importe]]-Tabla19[[#This Row],[Pagado]]</f>
        <v>0</v>
      </c>
      <c r="H140" s="75" t="s">
        <v>10</v>
      </c>
    </row>
    <row r="141" spans="1:8" x14ac:dyDescent="0.25">
      <c r="A141" s="148">
        <v>44775</v>
      </c>
      <c r="B141" s="149" t="s">
        <v>24781</v>
      </c>
      <c r="C141" s="153" t="s">
        <v>45</v>
      </c>
      <c r="D141" s="178">
        <v>13503.4</v>
      </c>
      <c r="E141" s="155">
        <v>44775</v>
      </c>
      <c r="F141" s="178">
        <v>13503.4</v>
      </c>
      <c r="G141" s="179">
        <f>Tabla19[[#This Row],[Importe]]-Tabla19[[#This Row],[Pagado]]</f>
        <v>0</v>
      </c>
      <c r="H141" s="153" t="s">
        <v>10</v>
      </c>
    </row>
    <row r="142" spans="1:8" x14ac:dyDescent="0.25">
      <c r="A142" s="73">
        <v>44775</v>
      </c>
      <c r="B142" s="74" t="s">
        <v>24782</v>
      </c>
      <c r="C142" s="75" t="s">
        <v>142</v>
      </c>
      <c r="D142" s="176">
        <v>33703.32</v>
      </c>
      <c r="E142" s="151">
        <v>44837</v>
      </c>
      <c r="F142" s="176">
        <v>33703.32</v>
      </c>
      <c r="G142" s="177">
        <f>Tabla19[[#This Row],[Importe]]-Tabla19[[#This Row],[Pagado]]</f>
        <v>0</v>
      </c>
      <c r="H142" s="75" t="s">
        <v>10</v>
      </c>
    </row>
    <row r="143" spans="1:8" x14ac:dyDescent="0.25">
      <c r="A143" s="148">
        <v>44775</v>
      </c>
      <c r="B143" s="149" t="s">
        <v>24783</v>
      </c>
      <c r="C143" s="153" t="s">
        <v>11033</v>
      </c>
      <c r="D143" s="178">
        <v>1975</v>
      </c>
      <c r="E143" s="155">
        <v>44775</v>
      </c>
      <c r="F143" s="178">
        <v>1975</v>
      </c>
      <c r="G143" s="179">
        <f>Tabla19[[#This Row],[Importe]]-Tabla19[[#This Row],[Pagado]]</f>
        <v>0</v>
      </c>
      <c r="H143" s="153" t="s">
        <v>10</v>
      </c>
    </row>
    <row r="144" spans="1:8" x14ac:dyDescent="0.25">
      <c r="A144" s="73">
        <v>44775</v>
      </c>
      <c r="B144" s="74" t="s">
        <v>24784</v>
      </c>
      <c r="C144" s="75" t="s">
        <v>56</v>
      </c>
      <c r="D144" s="176">
        <v>8642.4</v>
      </c>
      <c r="E144" s="151">
        <v>44775</v>
      </c>
      <c r="F144" s="176">
        <v>8642.4</v>
      </c>
      <c r="G144" s="177">
        <f>Tabla19[[#This Row],[Importe]]-Tabla19[[#This Row],[Pagado]]</f>
        <v>0</v>
      </c>
      <c r="H144" s="75" t="s">
        <v>10</v>
      </c>
    </row>
    <row r="145" spans="1:8" x14ac:dyDescent="0.25">
      <c r="A145" s="148">
        <v>44775</v>
      </c>
      <c r="B145" s="149" t="s">
        <v>24785</v>
      </c>
      <c r="C145" s="153" t="s">
        <v>37</v>
      </c>
      <c r="D145" s="178">
        <v>3220.8</v>
      </c>
      <c r="E145" s="155">
        <v>44775</v>
      </c>
      <c r="F145" s="178">
        <v>3220.8</v>
      </c>
      <c r="G145" s="179">
        <f>Tabla19[[#This Row],[Importe]]-Tabla19[[#This Row],[Pagado]]</f>
        <v>0</v>
      </c>
      <c r="H145" s="153" t="s">
        <v>10</v>
      </c>
    </row>
    <row r="146" spans="1:8" x14ac:dyDescent="0.25">
      <c r="A146" s="73">
        <v>44775</v>
      </c>
      <c r="B146" s="74" t="s">
        <v>24786</v>
      </c>
      <c r="C146" s="75" t="s">
        <v>37</v>
      </c>
      <c r="D146" s="176">
        <v>320</v>
      </c>
      <c r="E146" s="151">
        <v>44775</v>
      </c>
      <c r="F146" s="176">
        <v>320</v>
      </c>
      <c r="G146" s="177">
        <f>Tabla19[[#This Row],[Importe]]-Tabla19[[#This Row],[Pagado]]</f>
        <v>0</v>
      </c>
      <c r="H146" s="75" t="s">
        <v>10</v>
      </c>
    </row>
    <row r="147" spans="1:8" x14ac:dyDescent="0.25">
      <c r="A147" s="148">
        <v>44775</v>
      </c>
      <c r="B147" s="149" t="s">
        <v>24787</v>
      </c>
      <c r="C147" s="153" t="s">
        <v>224</v>
      </c>
      <c r="D147" s="178">
        <v>658</v>
      </c>
      <c r="E147" s="155">
        <v>44775</v>
      </c>
      <c r="F147" s="178">
        <v>658</v>
      </c>
      <c r="G147" s="179">
        <f>Tabla19[[#This Row],[Importe]]-Tabla19[[#This Row],[Pagado]]</f>
        <v>0</v>
      </c>
      <c r="H147" s="153" t="s">
        <v>10</v>
      </c>
    </row>
    <row r="148" spans="1:8" x14ac:dyDescent="0.25">
      <c r="A148" s="73">
        <v>44775</v>
      </c>
      <c r="B148" s="74" t="s">
        <v>24788</v>
      </c>
      <c r="C148" s="75" t="s">
        <v>179</v>
      </c>
      <c r="D148" s="176">
        <v>2383.8000000000002</v>
      </c>
      <c r="E148" s="151">
        <v>44775</v>
      </c>
      <c r="F148" s="176">
        <v>2383.8000000000002</v>
      </c>
      <c r="G148" s="177">
        <f>Tabla19[[#This Row],[Importe]]-Tabla19[[#This Row],[Pagado]]</f>
        <v>0</v>
      </c>
      <c r="H148" s="75" t="s">
        <v>10</v>
      </c>
    </row>
    <row r="149" spans="1:8" x14ac:dyDescent="0.25">
      <c r="A149" s="148">
        <v>44775</v>
      </c>
      <c r="B149" s="149" t="s">
        <v>24789</v>
      </c>
      <c r="C149" s="153" t="s">
        <v>275</v>
      </c>
      <c r="D149" s="178">
        <v>167278.57999999999</v>
      </c>
      <c r="E149" s="155">
        <v>44792</v>
      </c>
      <c r="F149" s="178">
        <v>167278.57999999999</v>
      </c>
      <c r="G149" s="179">
        <f>Tabla19[[#This Row],[Importe]]-Tabla19[[#This Row],[Pagado]]</f>
        <v>0</v>
      </c>
      <c r="H149" s="153" t="s">
        <v>10</v>
      </c>
    </row>
    <row r="150" spans="1:8" x14ac:dyDescent="0.25">
      <c r="A150" s="73">
        <v>44775</v>
      </c>
      <c r="B150" s="74" t="s">
        <v>24790</v>
      </c>
      <c r="C150" s="75" t="s">
        <v>382</v>
      </c>
      <c r="D150" s="176">
        <v>4019.4</v>
      </c>
      <c r="E150" s="151">
        <v>44775</v>
      </c>
      <c r="F150" s="176">
        <v>4019.4</v>
      </c>
      <c r="G150" s="177">
        <f>Tabla19[[#This Row],[Importe]]-Tabla19[[#This Row],[Pagado]]</f>
        <v>0</v>
      </c>
      <c r="H150" s="75" t="s">
        <v>10</v>
      </c>
    </row>
    <row r="151" spans="1:8" x14ac:dyDescent="0.25">
      <c r="A151" s="148">
        <v>44775</v>
      </c>
      <c r="B151" s="149" t="s">
        <v>24791</v>
      </c>
      <c r="C151" s="153" t="s">
        <v>17989</v>
      </c>
      <c r="D151" s="178">
        <v>0</v>
      </c>
      <c r="E151" s="158" t="s">
        <v>189</v>
      </c>
      <c r="F151" s="178">
        <v>0</v>
      </c>
      <c r="G151" s="179">
        <f>Tabla19[[#This Row],[Importe]]-Tabla19[[#This Row],[Pagado]]</f>
        <v>0</v>
      </c>
      <c r="H151" s="153" t="s">
        <v>189</v>
      </c>
    </row>
    <row r="152" spans="1:8" x14ac:dyDescent="0.25">
      <c r="A152" s="73">
        <v>44775</v>
      </c>
      <c r="B152" s="74" t="s">
        <v>24792</v>
      </c>
      <c r="C152" s="75" t="s">
        <v>275</v>
      </c>
      <c r="D152" s="176">
        <v>246</v>
      </c>
      <c r="E152" s="151">
        <v>44792</v>
      </c>
      <c r="F152" s="176">
        <v>246</v>
      </c>
      <c r="G152" s="177">
        <f>Tabla19[[#This Row],[Importe]]-Tabla19[[#This Row],[Pagado]]</f>
        <v>0</v>
      </c>
      <c r="H152" s="75" t="s">
        <v>10</v>
      </c>
    </row>
    <row r="153" spans="1:8" x14ac:dyDescent="0.25">
      <c r="A153" s="148">
        <v>44775</v>
      </c>
      <c r="B153" s="149" t="s">
        <v>24793</v>
      </c>
      <c r="C153" s="153" t="s">
        <v>151</v>
      </c>
      <c r="D153" s="178">
        <v>18303.3</v>
      </c>
      <c r="E153" s="155">
        <v>44775</v>
      </c>
      <c r="F153" s="178">
        <v>18303.3</v>
      </c>
      <c r="G153" s="179">
        <f>Tabla19[[#This Row],[Importe]]-Tabla19[[#This Row],[Pagado]]</f>
        <v>0</v>
      </c>
      <c r="H153" s="153" t="s">
        <v>10</v>
      </c>
    </row>
    <row r="154" spans="1:8" x14ac:dyDescent="0.25">
      <c r="A154" s="73">
        <v>44775</v>
      </c>
      <c r="B154" s="74" t="s">
        <v>24794</v>
      </c>
      <c r="C154" s="75" t="s">
        <v>934</v>
      </c>
      <c r="D154" s="176">
        <v>1934.04</v>
      </c>
      <c r="E154" s="151">
        <v>44775</v>
      </c>
      <c r="F154" s="176">
        <v>1934.04</v>
      </c>
      <c r="G154" s="177">
        <f>Tabla19[[#This Row],[Importe]]-Tabla19[[#This Row],[Pagado]]</f>
        <v>0</v>
      </c>
      <c r="H154" s="75" t="s">
        <v>10</v>
      </c>
    </row>
    <row r="155" spans="1:8" x14ac:dyDescent="0.25">
      <c r="A155" s="148">
        <v>44775</v>
      </c>
      <c r="B155" s="149" t="s">
        <v>24795</v>
      </c>
      <c r="C155" s="153" t="s">
        <v>319</v>
      </c>
      <c r="D155" s="178">
        <v>10400.6</v>
      </c>
      <c r="E155" s="155">
        <v>44775</v>
      </c>
      <c r="F155" s="178">
        <v>10400.6</v>
      </c>
      <c r="G155" s="179">
        <f>Tabla19[[#This Row],[Importe]]-Tabla19[[#This Row],[Pagado]]</f>
        <v>0</v>
      </c>
      <c r="H155" s="153" t="s">
        <v>10</v>
      </c>
    </row>
    <row r="156" spans="1:8" x14ac:dyDescent="0.25">
      <c r="A156" s="73">
        <v>44775</v>
      </c>
      <c r="B156" s="74" t="s">
        <v>24796</v>
      </c>
      <c r="C156" s="75" t="s">
        <v>157</v>
      </c>
      <c r="D156" s="176">
        <v>5688.1</v>
      </c>
      <c r="E156" s="151">
        <v>44775</v>
      </c>
      <c r="F156" s="176">
        <v>5688.1</v>
      </c>
      <c r="G156" s="177">
        <f>Tabla19[[#This Row],[Importe]]-Tabla19[[#This Row],[Pagado]]</f>
        <v>0</v>
      </c>
      <c r="H156" s="75" t="s">
        <v>10</v>
      </c>
    </row>
    <row r="157" spans="1:8" x14ac:dyDescent="0.25">
      <c r="A157" s="148">
        <v>44775</v>
      </c>
      <c r="B157" s="149" t="s">
        <v>24797</v>
      </c>
      <c r="C157" s="153" t="s">
        <v>24</v>
      </c>
      <c r="D157" s="178">
        <v>2419.1999999999998</v>
      </c>
      <c r="E157" s="155">
        <v>44775</v>
      </c>
      <c r="F157" s="178">
        <v>2419.1999999999998</v>
      </c>
      <c r="G157" s="179">
        <f>Tabla19[[#This Row],[Importe]]-Tabla19[[#This Row],[Pagado]]</f>
        <v>0</v>
      </c>
      <c r="H157" s="153" t="s">
        <v>10</v>
      </c>
    </row>
    <row r="158" spans="1:8" x14ac:dyDescent="0.25">
      <c r="A158" s="73">
        <v>44775</v>
      </c>
      <c r="B158" s="74" t="s">
        <v>24798</v>
      </c>
      <c r="C158" s="75" t="s">
        <v>518</v>
      </c>
      <c r="D158" s="176">
        <v>1719.1</v>
      </c>
      <c r="E158" s="151">
        <v>44775</v>
      </c>
      <c r="F158" s="176">
        <v>1719.1</v>
      </c>
      <c r="G158" s="177">
        <f>Tabla19[[#This Row],[Importe]]-Tabla19[[#This Row],[Pagado]]</f>
        <v>0</v>
      </c>
      <c r="H158" s="75" t="s">
        <v>10</v>
      </c>
    </row>
    <row r="159" spans="1:8" x14ac:dyDescent="0.25">
      <c r="A159" s="148">
        <v>44775</v>
      </c>
      <c r="B159" s="149" t="s">
        <v>24799</v>
      </c>
      <c r="C159" s="153" t="s">
        <v>525</v>
      </c>
      <c r="D159" s="178">
        <v>2860</v>
      </c>
      <c r="E159" s="155">
        <v>44775</v>
      </c>
      <c r="F159" s="178">
        <v>2860</v>
      </c>
      <c r="G159" s="179">
        <f>Tabla19[[#This Row],[Importe]]-Tabla19[[#This Row],[Pagado]]</f>
        <v>0</v>
      </c>
      <c r="H159" s="153" t="s">
        <v>10</v>
      </c>
    </row>
    <row r="160" spans="1:8" x14ac:dyDescent="0.25">
      <c r="A160" s="73">
        <v>44775</v>
      </c>
      <c r="B160" s="74" t="s">
        <v>24800</v>
      </c>
      <c r="C160" s="75" t="s">
        <v>9415</v>
      </c>
      <c r="D160" s="176">
        <v>14987</v>
      </c>
      <c r="E160" s="151">
        <v>44797</v>
      </c>
      <c r="F160" s="176">
        <v>14987</v>
      </c>
      <c r="G160" s="177">
        <f>Tabla19[[#This Row],[Importe]]-Tabla19[[#This Row],[Pagado]]</f>
        <v>0</v>
      </c>
      <c r="H160" s="75" t="s">
        <v>10</v>
      </c>
    </row>
    <row r="161" spans="1:8" x14ac:dyDescent="0.25">
      <c r="A161" s="148">
        <v>44775</v>
      </c>
      <c r="B161" s="149" t="s">
        <v>24801</v>
      </c>
      <c r="C161" s="153" t="s">
        <v>67</v>
      </c>
      <c r="D161" s="178">
        <v>3061.1</v>
      </c>
      <c r="E161" s="155">
        <v>44775</v>
      </c>
      <c r="F161" s="178">
        <v>3061.1</v>
      </c>
      <c r="G161" s="179">
        <f>Tabla19[[#This Row],[Importe]]-Tabla19[[#This Row],[Pagado]]</f>
        <v>0</v>
      </c>
      <c r="H161" s="153" t="s">
        <v>10</v>
      </c>
    </row>
    <row r="162" spans="1:8" x14ac:dyDescent="0.25">
      <c r="A162" s="73">
        <v>44775</v>
      </c>
      <c r="B162" s="74" t="s">
        <v>24802</v>
      </c>
      <c r="C162" s="75" t="s">
        <v>419</v>
      </c>
      <c r="D162" s="176">
        <v>6296.2</v>
      </c>
      <c r="E162" s="151">
        <v>44775</v>
      </c>
      <c r="F162" s="176">
        <v>6296.2</v>
      </c>
      <c r="G162" s="177">
        <f>Tabla19[[#This Row],[Importe]]-Tabla19[[#This Row],[Pagado]]</f>
        <v>0</v>
      </c>
      <c r="H162" s="75" t="s">
        <v>10</v>
      </c>
    </row>
    <row r="163" spans="1:8" x14ac:dyDescent="0.25">
      <c r="A163" s="148">
        <v>44775</v>
      </c>
      <c r="B163" s="149" t="s">
        <v>24803</v>
      </c>
      <c r="C163" s="153" t="s">
        <v>289</v>
      </c>
      <c r="D163" s="178">
        <v>14337.6</v>
      </c>
      <c r="E163" s="155">
        <v>44775</v>
      </c>
      <c r="F163" s="178">
        <v>14337.6</v>
      </c>
      <c r="G163" s="179">
        <f>Tabla19[[#This Row],[Importe]]-Tabla19[[#This Row],[Pagado]]</f>
        <v>0</v>
      </c>
      <c r="H163" s="153" t="s">
        <v>10</v>
      </c>
    </row>
    <row r="164" spans="1:8" x14ac:dyDescent="0.25">
      <c r="A164" s="73">
        <v>44775</v>
      </c>
      <c r="B164" s="74" t="s">
        <v>24804</v>
      </c>
      <c r="C164" s="75" t="s">
        <v>31</v>
      </c>
      <c r="D164" s="176">
        <v>5920.4</v>
      </c>
      <c r="E164" s="151">
        <v>44775</v>
      </c>
      <c r="F164" s="176">
        <v>5920.4</v>
      </c>
      <c r="G164" s="177">
        <f>Tabla19[[#This Row],[Importe]]-Tabla19[[#This Row],[Pagado]]</f>
        <v>0</v>
      </c>
      <c r="H164" s="75" t="s">
        <v>10</v>
      </c>
    </row>
    <row r="165" spans="1:8" x14ac:dyDescent="0.25">
      <c r="A165" s="148">
        <v>44775</v>
      </c>
      <c r="B165" s="149" t="s">
        <v>24805</v>
      </c>
      <c r="C165" s="153" t="s">
        <v>9415</v>
      </c>
      <c r="D165" s="178">
        <v>1568</v>
      </c>
      <c r="E165" s="155">
        <v>44797</v>
      </c>
      <c r="F165" s="178">
        <v>1568</v>
      </c>
      <c r="G165" s="179">
        <f>Tabla19[[#This Row],[Importe]]-Tabla19[[#This Row],[Pagado]]</f>
        <v>0</v>
      </c>
      <c r="H165" s="153" t="s">
        <v>10</v>
      </c>
    </row>
    <row r="166" spans="1:8" x14ac:dyDescent="0.25">
      <c r="A166" s="73">
        <v>44775</v>
      </c>
      <c r="B166" s="74" t="s">
        <v>24806</v>
      </c>
      <c r="C166" s="75" t="s">
        <v>698</v>
      </c>
      <c r="D166" s="176">
        <v>8905.5</v>
      </c>
      <c r="E166" s="151">
        <v>44775</v>
      </c>
      <c r="F166" s="176">
        <v>8905.5</v>
      </c>
      <c r="G166" s="177">
        <f>Tabla19[[#This Row],[Importe]]-Tabla19[[#This Row],[Pagado]]</f>
        <v>0</v>
      </c>
      <c r="H166" s="75" t="s">
        <v>10</v>
      </c>
    </row>
    <row r="167" spans="1:8" x14ac:dyDescent="0.25">
      <c r="A167" s="148">
        <v>44775</v>
      </c>
      <c r="B167" s="149" t="s">
        <v>24807</v>
      </c>
      <c r="C167" s="153" t="s">
        <v>440</v>
      </c>
      <c r="D167" s="178">
        <v>11351.36</v>
      </c>
      <c r="E167" s="155">
        <v>44791</v>
      </c>
      <c r="F167" s="178">
        <v>11351.36</v>
      </c>
      <c r="G167" s="179">
        <f>Tabla19[[#This Row],[Importe]]-Tabla19[[#This Row],[Pagado]]</f>
        <v>0</v>
      </c>
      <c r="H167" s="153" t="s">
        <v>10</v>
      </c>
    </row>
    <row r="168" spans="1:8" x14ac:dyDescent="0.25">
      <c r="A168" s="73">
        <v>44775</v>
      </c>
      <c r="B168" s="74" t="s">
        <v>24808</v>
      </c>
      <c r="C168" s="75" t="s">
        <v>233</v>
      </c>
      <c r="D168" s="176">
        <v>6612</v>
      </c>
      <c r="E168" s="151">
        <v>44775</v>
      </c>
      <c r="F168" s="176">
        <v>6612</v>
      </c>
      <c r="G168" s="177">
        <f>Tabla19[[#This Row],[Importe]]-Tabla19[[#This Row],[Pagado]]</f>
        <v>0</v>
      </c>
      <c r="H168" s="75" t="s">
        <v>10</v>
      </c>
    </row>
    <row r="169" spans="1:8" x14ac:dyDescent="0.25">
      <c r="A169" s="148">
        <v>44775</v>
      </c>
      <c r="B169" s="149" t="s">
        <v>24809</v>
      </c>
      <c r="C169" s="153" t="s">
        <v>204</v>
      </c>
      <c r="D169" s="178">
        <v>3055.5</v>
      </c>
      <c r="E169" s="155">
        <v>44775</v>
      </c>
      <c r="F169" s="178">
        <v>3055.5</v>
      </c>
      <c r="G169" s="179">
        <f>Tabla19[[#This Row],[Importe]]-Tabla19[[#This Row],[Pagado]]</f>
        <v>0</v>
      </c>
      <c r="H169" s="153" t="s">
        <v>10</v>
      </c>
    </row>
    <row r="170" spans="1:8" x14ac:dyDescent="0.25">
      <c r="A170" s="73">
        <v>44775</v>
      </c>
      <c r="B170" s="74" t="s">
        <v>24810</v>
      </c>
      <c r="C170" s="75" t="s">
        <v>3747</v>
      </c>
      <c r="D170" s="176">
        <v>6320</v>
      </c>
      <c r="E170" s="151">
        <v>44775</v>
      </c>
      <c r="F170" s="176">
        <v>6320</v>
      </c>
      <c r="G170" s="177">
        <f>Tabla19[[#This Row],[Importe]]-Tabla19[[#This Row],[Pagado]]</f>
        <v>0</v>
      </c>
      <c r="H170" s="75" t="s">
        <v>10</v>
      </c>
    </row>
    <row r="171" spans="1:8" x14ac:dyDescent="0.25">
      <c r="A171" s="148">
        <v>44775</v>
      </c>
      <c r="B171" s="149" t="s">
        <v>24811</v>
      </c>
      <c r="C171" s="153" t="s">
        <v>1239</v>
      </c>
      <c r="D171" s="178">
        <v>42196</v>
      </c>
      <c r="E171" s="155">
        <v>44775</v>
      </c>
      <c r="F171" s="178">
        <v>42196</v>
      </c>
      <c r="G171" s="179">
        <f>Tabla19[[#This Row],[Importe]]-Tabla19[[#This Row],[Pagado]]</f>
        <v>0</v>
      </c>
      <c r="H171" s="153" t="s">
        <v>10</v>
      </c>
    </row>
    <row r="172" spans="1:8" x14ac:dyDescent="0.25">
      <c r="A172" s="73">
        <v>44775</v>
      </c>
      <c r="B172" s="74" t="s">
        <v>24812</v>
      </c>
      <c r="C172" s="75" t="s">
        <v>4136</v>
      </c>
      <c r="D172" s="176">
        <v>2020.1</v>
      </c>
      <c r="E172" s="151">
        <v>44775</v>
      </c>
      <c r="F172" s="176">
        <v>2020.1</v>
      </c>
      <c r="G172" s="177">
        <f>Tabla19[[#This Row],[Importe]]-Tabla19[[#This Row],[Pagado]]</f>
        <v>0</v>
      </c>
      <c r="H172" s="75" t="s">
        <v>10</v>
      </c>
    </row>
    <row r="173" spans="1:8" x14ac:dyDescent="0.25">
      <c r="A173" s="148">
        <v>44775</v>
      </c>
      <c r="B173" s="149" t="s">
        <v>24813</v>
      </c>
      <c r="C173" s="153" t="s">
        <v>24284</v>
      </c>
      <c r="D173" s="178">
        <v>1583.4</v>
      </c>
      <c r="E173" s="155">
        <v>44775</v>
      </c>
      <c r="F173" s="178">
        <v>1583.4</v>
      </c>
      <c r="G173" s="179">
        <f>Tabla19[[#This Row],[Importe]]-Tabla19[[#This Row],[Pagado]]</f>
        <v>0</v>
      </c>
      <c r="H173" s="153" t="s">
        <v>10</v>
      </c>
    </row>
    <row r="174" spans="1:8" x14ac:dyDescent="0.25">
      <c r="A174" s="73">
        <v>44775</v>
      </c>
      <c r="B174" s="74" t="s">
        <v>24814</v>
      </c>
      <c r="C174" s="75" t="s">
        <v>107</v>
      </c>
      <c r="D174" s="176">
        <v>16262.4</v>
      </c>
      <c r="E174" s="151">
        <v>44775</v>
      </c>
      <c r="F174" s="176">
        <v>16262.4</v>
      </c>
      <c r="G174" s="177">
        <f>Tabla19[[#This Row],[Importe]]-Tabla19[[#This Row],[Pagado]]</f>
        <v>0</v>
      </c>
      <c r="H174" s="75" t="s">
        <v>10</v>
      </c>
    </row>
    <row r="175" spans="1:8" x14ac:dyDescent="0.25">
      <c r="A175" s="148">
        <v>44775</v>
      </c>
      <c r="B175" s="149" t="s">
        <v>24815</v>
      </c>
      <c r="C175" s="153" t="s">
        <v>1265</v>
      </c>
      <c r="D175" s="178">
        <v>623.70000000000005</v>
      </c>
      <c r="E175" s="155">
        <v>44775</v>
      </c>
      <c r="F175" s="178">
        <v>623.70000000000005</v>
      </c>
      <c r="G175" s="179">
        <f>Tabla19[[#This Row],[Importe]]-Tabla19[[#This Row],[Pagado]]</f>
        <v>0</v>
      </c>
      <c r="H175" s="153" t="s">
        <v>10</v>
      </c>
    </row>
    <row r="176" spans="1:8" x14ac:dyDescent="0.25">
      <c r="A176" s="73">
        <v>44775</v>
      </c>
      <c r="B176" s="74" t="s">
        <v>24816</v>
      </c>
      <c r="C176" s="75" t="s">
        <v>1362</v>
      </c>
      <c r="D176" s="176">
        <v>5385.6</v>
      </c>
      <c r="E176" s="151">
        <v>44775</v>
      </c>
      <c r="F176" s="176">
        <v>5385.6</v>
      </c>
      <c r="G176" s="177">
        <f>Tabla19[[#This Row],[Importe]]-Tabla19[[#This Row],[Pagado]]</f>
        <v>0</v>
      </c>
      <c r="H176" s="75" t="s">
        <v>10</v>
      </c>
    </row>
    <row r="177" spans="1:8" x14ac:dyDescent="0.25">
      <c r="A177" s="148">
        <v>44775</v>
      </c>
      <c r="B177" s="149" t="s">
        <v>24817</v>
      </c>
      <c r="C177" s="153" t="s">
        <v>146</v>
      </c>
      <c r="D177" s="178">
        <v>4062.9</v>
      </c>
      <c r="E177" s="155">
        <v>44775</v>
      </c>
      <c r="F177" s="178">
        <v>4062.9</v>
      </c>
      <c r="G177" s="179">
        <f>Tabla19[[#This Row],[Importe]]-Tabla19[[#This Row],[Pagado]]</f>
        <v>0</v>
      </c>
      <c r="H177" s="153" t="s">
        <v>10</v>
      </c>
    </row>
    <row r="178" spans="1:8" x14ac:dyDescent="0.25">
      <c r="A178" s="73">
        <v>44775</v>
      </c>
      <c r="B178" s="74" t="s">
        <v>24818</v>
      </c>
      <c r="C178" s="75" t="s">
        <v>191</v>
      </c>
      <c r="D178" s="176">
        <v>1603.7</v>
      </c>
      <c r="E178" s="151">
        <v>44775</v>
      </c>
      <c r="F178" s="176">
        <v>1603.7</v>
      </c>
      <c r="G178" s="177">
        <f>Tabla19[[#This Row],[Importe]]-Tabla19[[#This Row],[Pagado]]</f>
        <v>0</v>
      </c>
      <c r="H178" s="75" t="s">
        <v>10</v>
      </c>
    </row>
    <row r="179" spans="1:8" x14ac:dyDescent="0.25">
      <c r="A179" s="148">
        <v>44775</v>
      </c>
      <c r="B179" s="149" t="s">
        <v>24819</v>
      </c>
      <c r="C179" s="153" t="s">
        <v>200</v>
      </c>
      <c r="D179" s="178">
        <v>1374.6</v>
      </c>
      <c r="E179" s="155">
        <v>44776</v>
      </c>
      <c r="F179" s="178">
        <v>1374.6</v>
      </c>
      <c r="G179" s="179">
        <f>Tabla19[[#This Row],[Importe]]-Tabla19[[#This Row],[Pagado]]</f>
        <v>0</v>
      </c>
      <c r="H179" s="153" t="s">
        <v>10</v>
      </c>
    </row>
    <row r="180" spans="1:8" x14ac:dyDescent="0.25">
      <c r="A180" s="73">
        <v>44775</v>
      </c>
      <c r="B180" s="74" t="s">
        <v>24820</v>
      </c>
      <c r="C180" s="75" t="s">
        <v>359</v>
      </c>
      <c r="D180" s="176">
        <v>799.8</v>
      </c>
      <c r="E180" s="151">
        <v>44776</v>
      </c>
      <c r="F180" s="176">
        <v>799.8</v>
      </c>
      <c r="G180" s="177">
        <f>Tabla19[[#This Row],[Importe]]-Tabla19[[#This Row],[Pagado]]</f>
        <v>0</v>
      </c>
      <c r="H180" s="75" t="s">
        <v>10</v>
      </c>
    </row>
    <row r="181" spans="1:8" x14ac:dyDescent="0.25">
      <c r="A181" s="148">
        <v>44775</v>
      </c>
      <c r="B181" s="149" t="s">
        <v>24821</v>
      </c>
      <c r="C181" s="153" t="s">
        <v>280</v>
      </c>
      <c r="D181" s="178">
        <v>1409.4</v>
      </c>
      <c r="E181" s="155">
        <v>44776</v>
      </c>
      <c r="F181" s="178">
        <v>1409.4</v>
      </c>
      <c r="G181" s="179">
        <f>Tabla19[[#This Row],[Importe]]-Tabla19[[#This Row],[Pagado]]</f>
        <v>0</v>
      </c>
      <c r="H181" s="153" t="s">
        <v>10</v>
      </c>
    </row>
    <row r="182" spans="1:8" x14ac:dyDescent="0.25">
      <c r="A182" s="73">
        <v>44775</v>
      </c>
      <c r="B182" s="74" t="s">
        <v>24822</v>
      </c>
      <c r="C182" s="75" t="s">
        <v>5345</v>
      </c>
      <c r="D182" s="176">
        <v>3784.5</v>
      </c>
      <c r="E182" s="151">
        <v>44776</v>
      </c>
      <c r="F182" s="176">
        <v>3784.5</v>
      </c>
      <c r="G182" s="177">
        <f>Tabla19[[#This Row],[Importe]]-Tabla19[[#This Row],[Pagado]]</f>
        <v>0</v>
      </c>
      <c r="H182" s="75" t="s">
        <v>10</v>
      </c>
    </row>
    <row r="183" spans="1:8" x14ac:dyDescent="0.25">
      <c r="A183" s="148">
        <v>44775</v>
      </c>
      <c r="B183" s="149" t="s">
        <v>24823</v>
      </c>
      <c r="C183" s="153" t="s">
        <v>31</v>
      </c>
      <c r="D183" s="178">
        <v>1390.4</v>
      </c>
      <c r="E183" s="155">
        <v>44775</v>
      </c>
      <c r="F183" s="178">
        <v>1390.4</v>
      </c>
      <c r="G183" s="179">
        <f>Tabla19[[#This Row],[Importe]]-Tabla19[[#This Row],[Pagado]]</f>
        <v>0</v>
      </c>
      <c r="H183" s="153" t="s">
        <v>10</v>
      </c>
    </row>
    <row r="184" spans="1:8" x14ac:dyDescent="0.25">
      <c r="A184" s="73">
        <v>44775</v>
      </c>
      <c r="B184" s="74" t="s">
        <v>24824</v>
      </c>
      <c r="C184" s="75" t="s">
        <v>296</v>
      </c>
      <c r="D184" s="176">
        <v>4907.1000000000004</v>
      </c>
      <c r="E184" s="151">
        <v>44775</v>
      </c>
      <c r="F184" s="176">
        <v>4907.1000000000004</v>
      </c>
      <c r="G184" s="177">
        <f>Tabla19[[#This Row],[Importe]]-Tabla19[[#This Row],[Pagado]]</f>
        <v>0</v>
      </c>
      <c r="H184" s="75" t="s">
        <v>10</v>
      </c>
    </row>
    <row r="185" spans="1:8" x14ac:dyDescent="0.25">
      <c r="A185" s="148">
        <v>44775</v>
      </c>
      <c r="B185" s="149" t="s">
        <v>24825</v>
      </c>
      <c r="C185" s="153" t="s">
        <v>414</v>
      </c>
      <c r="D185" s="178">
        <v>26274</v>
      </c>
      <c r="E185" s="155">
        <v>44786</v>
      </c>
      <c r="F185" s="178">
        <v>26274</v>
      </c>
      <c r="G185" s="179">
        <f>Tabla19[[#This Row],[Importe]]-Tabla19[[#This Row],[Pagado]]</f>
        <v>0</v>
      </c>
      <c r="H185" s="153" t="s">
        <v>10</v>
      </c>
    </row>
    <row r="186" spans="1:8" x14ac:dyDescent="0.25">
      <c r="A186" s="73">
        <v>44775</v>
      </c>
      <c r="B186" s="74" t="s">
        <v>24826</v>
      </c>
      <c r="C186" s="75" t="s">
        <v>421</v>
      </c>
      <c r="D186" s="176">
        <v>5694.4</v>
      </c>
      <c r="E186" s="151">
        <v>44775</v>
      </c>
      <c r="F186" s="176">
        <v>5694.4</v>
      </c>
      <c r="G186" s="177">
        <f>Tabla19[[#This Row],[Importe]]-Tabla19[[#This Row],[Pagado]]</f>
        <v>0</v>
      </c>
      <c r="H186" s="75" t="s">
        <v>10</v>
      </c>
    </row>
    <row r="187" spans="1:8" x14ac:dyDescent="0.25">
      <c r="A187" s="148">
        <v>44775</v>
      </c>
      <c r="B187" s="149" t="s">
        <v>24827</v>
      </c>
      <c r="C187" s="153" t="s">
        <v>246</v>
      </c>
      <c r="D187" s="178">
        <v>21651.599999999999</v>
      </c>
      <c r="E187" s="155">
        <v>44775</v>
      </c>
      <c r="F187" s="178">
        <v>21651.599999999999</v>
      </c>
      <c r="G187" s="179">
        <f>Tabla19[[#This Row],[Importe]]-Tabla19[[#This Row],[Pagado]]</f>
        <v>0</v>
      </c>
      <c r="H187" s="153" t="s">
        <v>10</v>
      </c>
    </row>
    <row r="188" spans="1:8" x14ac:dyDescent="0.25">
      <c r="A188" s="73">
        <v>44775</v>
      </c>
      <c r="B188" s="74" t="s">
        <v>24828</v>
      </c>
      <c r="C188" s="75" t="s">
        <v>433</v>
      </c>
      <c r="D188" s="176">
        <v>30450</v>
      </c>
      <c r="E188" s="151">
        <v>44775</v>
      </c>
      <c r="F188" s="176">
        <v>30450</v>
      </c>
      <c r="G188" s="177">
        <f>Tabla19[[#This Row],[Importe]]-Tabla19[[#This Row],[Pagado]]</f>
        <v>0</v>
      </c>
      <c r="H188" s="75" t="s">
        <v>10</v>
      </c>
    </row>
    <row r="189" spans="1:8" x14ac:dyDescent="0.25">
      <c r="A189" s="148">
        <v>44775</v>
      </c>
      <c r="B189" s="149" t="s">
        <v>24829</v>
      </c>
      <c r="C189" s="153" t="s">
        <v>214</v>
      </c>
      <c r="D189" s="178">
        <v>11571.5</v>
      </c>
      <c r="E189" s="155">
        <v>44776</v>
      </c>
      <c r="F189" s="178">
        <v>11571.5</v>
      </c>
      <c r="G189" s="179">
        <f>Tabla19[[#This Row],[Importe]]-Tabla19[[#This Row],[Pagado]]</f>
        <v>0</v>
      </c>
      <c r="H189" s="153" t="s">
        <v>10</v>
      </c>
    </row>
    <row r="190" spans="1:8" x14ac:dyDescent="0.25">
      <c r="A190" s="73">
        <v>44775</v>
      </c>
      <c r="B190" s="74" t="s">
        <v>24830</v>
      </c>
      <c r="C190" s="75" t="s">
        <v>284</v>
      </c>
      <c r="D190" s="176">
        <v>9117.6</v>
      </c>
      <c r="E190" s="151">
        <v>44776</v>
      </c>
      <c r="F190" s="176">
        <v>9117.6</v>
      </c>
      <c r="G190" s="177">
        <f>Tabla19[[#This Row],[Importe]]-Tabla19[[#This Row],[Pagado]]</f>
        <v>0</v>
      </c>
      <c r="H190" s="75" t="s">
        <v>10</v>
      </c>
    </row>
    <row r="191" spans="1:8" x14ac:dyDescent="0.25">
      <c r="A191" s="148">
        <v>44775</v>
      </c>
      <c r="B191" s="149" t="s">
        <v>24831</v>
      </c>
      <c r="C191" s="153" t="s">
        <v>282</v>
      </c>
      <c r="D191" s="178">
        <v>2470.8000000000002</v>
      </c>
      <c r="E191" s="155">
        <v>44776</v>
      </c>
      <c r="F191" s="178">
        <v>2470.8000000000002</v>
      </c>
      <c r="G191" s="179">
        <f>Tabla19[[#This Row],[Importe]]-Tabla19[[#This Row],[Pagado]]</f>
        <v>0</v>
      </c>
      <c r="H191" s="153" t="s">
        <v>10</v>
      </c>
    </row>
    <row r="192" spans="1:8" x14ac:dyDescent="0.25">
      <c r="A192" s="73">
        <v>44775</v>
      </c>
      <c r="B192" s="74" t="s">
        <v>24832</v>
      </c>
      <c r="C192" s="75" t="s">
        <v>2139</v>
      </c>
      <c r="D192" s="176">
        <v>5163.6000000000004</v>
      </c>
      <c r="E192" s="151">
        <v>44775</v>
      </c>
      <c r="F192" s="176">
        <v>5163.6000000000004</v>
      </c>
      <c r="G192" s="177">
        <f>Tabla19[[#This Row],[Importe]]-Tabla19[[#This Row],[Pagado]]</f>
        <v>0</v>
      </c>
      <c r="H192" s="75" t="s">
        <v>10</v>
      </c>
    </row>
    <row r="193" spans="1:8" x14ac:dyDescent="0.25">
      <c r="A193" s="148">
        <v>44775</v>
      </c>
      <c r="B193" s="149" t="s">
        <v>24833</v>
      </c>
      <c r="C193" s="153" t="s">
        <v>43</v>
      </c>
      <c r="D193" s="178">
        <v>14688.9</v>
      </c>
      <c r="E193" s="155">
        <v>44793</v>
      </c>
      <c r="F193" s="178">
        <v>14688.9</v>
      </c>
      <c r="G193" s="179">
        <f>Tabla19[[#This Row],[Importe]]-Tabla19[[#This Row],[Pagado]]</f>
        <v>0</v>
      </c>
      <c r="H193" s="153" t="s">
        <v>10</v>
      </c>
    </row>
    <row r="194" spans="1:8" x14ac:dyDescent="0.25">
      <c r="A194" s="73">
        <v>44775</v>
      </c>
      <c r="B194" s="74" t="s">
        <v>24834</v>
      </c>
      <c r="C194" s="75" t="s">
        <v>10678</v>
      </c>
      <c r="D194" s="176">
        <v>2695</v>
      </c>
      <c r="E194" s="151">
        <v>44775</v>
      </c>
      <c r="F194" s="176">
        <v>2695</v>
      </c>
      <c r="G194" s="177">
        <f>Tabla19[[#This Row],[Importe]]-Tabla19[[#This Row],[Pagado]]</f>
        <v>0</v>
      </c>
      <c r="H194" s="75" t="s">
        <v>10</v>
      </c>
    </row>
    <row r="195" spans="1:8" x14ac:dyDescent="0.25">
      <c r="A195" s="148">
        <v>44775</v>
      </c>
      <c r="B195" s="149" t="s">
        <v>24835</v>
      </c>
      <c r="C195" s="153" t="s">
        <v>31</v>
      </c>
      <c r="D195" s="178">
        <v>135</v>
      </c>
      <c r="E195" s="155">
        <v>44775</v>
      </c>
      <c r="F195" s="178">
        <v>135</v>
      </c>
      <c r="G195" s="179">
        <f>Tabla19[[#This Row],[Importe]]-Tabla19[[#This Row],[Pagado]]</f>
        <v>0</v>
      </c>
      <c r="H195" s="153" t="s">
        <v>10</v>
      </c>
    </row>
    <row r="196" spans="1:8" x14ac:dyDescent="0.25">
      <c r="A196" s="73">
        <v>44775</v>
      </c>
      <c r="B196" s="74" t="s">
        <v>24836</v>
      </c>
      <c r="C196" s="75" t="s">
        <v>1008</v>
      </c>
      <c r="D196" s="176">
        <v>3447.6</v>
      </c>
      <c r="E196" s="151">
        <v>44775</v>
      </c>
      <c r="F196" s="176">
        <v>3447.6</v>
      </c>
      <c r="G196" s="177">
        <f>Tabla19[[#This Row],[Importe]]-Tabla19[[#This Row],[Pagado]]</f>
        <v>0</v>
      </c>
      <c r="H196" s="75" t="s">
        <v>10</v>
      </c>
    </row>
    <row r="197" spans="1:8" x14ac:dyDescent="0.25">
      <c r="A197" s="148">
        <v>44775</v>
      </c>
      <c r="B197" s="149" t="s">
        <v>24837</v>
      </c>
      <c r="C197" s="153" t="s">
        <v>53</v>
      </c>
      <c r="D197" s="178">
        <v>765.6</v>
      </c>
      <c r="E197" s="155">
        <v>44775</v>
      </c>
      <c r="F197" s="178">
        <v>765.6</v>
      </c>
      <c r="G197" s="179">
        <f>Tabla19[[#This Row],[Importe]]-Tabla19[[#This Row],[Pagado]]</f>
        <v>0</v>
      </c>
      <c r="H197" s="153" t="s">
        <v>10</v>
      </c>
    </row>
    <row r="198" spans="1:8" x14ac:dyDescent="0.25">
      <c r="A198" s="73">
        <v>44775</v>
      </c>
      <c r="B198" s="74" t="s">
        <v>24838</v>
      </c>
      <c r="C198" s="75" t="s">
        <v>179</v>
      </c>
      <c r="D198" s="176">
        <v>2296.8000000000002</v>
      </c>
      <c r="E198" s="151">
        <v>44776</v>
      </c>
      <c r="F198" s="176">
        <v>2296.8000000000002</v>
      </c>
      <c r="G198" s="177">
        <f>Tabla19[[#This Row],[Importe]]-Tabla19[[#This Row],[Pagado]]</f>
        <v>0</v>
      </c>
      <c r="H198" s="75" t="s">
        <v>10</v>
      </c>
    </row>
    <row r="199" spans="1:8" x14ac:dyDescent="0.25">
      <c r="A199" s="148">
        <v>44775</v>
      </c>
      <c r="B199" s="149" t="s">
        <v>24839</v>
      </c>
      <c r="C199" s="153" t="s">
        <v>291</v>
      </c>
      <c r="D199" s="178">
        <v>3174</v>
      </c>
      <c r="E199" s="155">
        <v>44776</v>
      </c>
      <c r="F199" s="178">
        <v>3174</v>
      </c>
      <c r="G199" s="179">
        <f>Tabla19[[#This Row],[Importe]]-Tabla19[[#This Row],[Pagado]]</f>
        <v>0</v>
      </c>
      <c r="H199" s="153" t="s">
        <v>10</v>
      </c>
    </row>
    <row r="200" spans="1:8" x14ac:dyDescent="0.25">
      <c r="A200" s="73">
        <v>44775</v>
      </c>
      <c r="B200" s="74" t="s">
        <v>24840</v>
      </c>
      <c r="C200" s="75" t="s">
        <v>196</v>
      </c>
      <c r="D200" s="176">
        <v>11743.2</v>
      </c>
      <c r="E200" s="151">
        <v>44778</v>
      </c>
      <c r="F200" s="176">
        <v>11743.2</v>
      </c>
      <c r="G200" s="177">
        <f>Tabla19[[#This Row],[Importe]]-Tabla19[[#This Row],[Pagado]]</f>
        <v>0</v>
      </c>
      <c r="H200" s="75" t="s">
        <v>10</v>
      </c>
    </row>
    <row r="201" spans="1:8" x14ac:dyDescent="0.25">
      <c r="A201" s="148">
        <v>44775</v>
      </c>
      <c r="B201" s="149" t="s">
        <v>24841</v>
      </c>
      <c r="C201" s="153" t="s">
        <v>31</v>
      </c>
      <c r="D201" s="178">
        <v>88</v>
      </c>
      <c r="E201" s="155">
        <v>44776</v>
      </c>
      <c r="F201" s="178">
        <v>88</v>
      </c>
      <c r="G201" s="179">
        <f>Tabla19[[#This Row],[Importe]]-Tabla19[[#This Row],[Pagado]]</f>
        <v>0</v>
      </c>
      <c r="H201" s="153" t="s">
        <v>10</v>
      </c>
    </row>
    <row r="202" spans="1:8" x14ac:dyDescent="0.25">
      <c r="A202" s="73">
        <v>44775</v>
      </c>
      <c r="B202" s="74" t="s">
        <v>24842</v>
      </c>
      <c r="C202" s="75" t="s">
        <v>10324</v>
      </c>
      <c r="D202" s="176">
        <v>3897.6</v>
      </c>
      <c r="E202" s="151">
        <v>44775</v>
      </c>
      <c r="F202" s="176">
        <v>3897.6</v>
      </c>
      <c r="G202" s="177">
        <f>Tabla19[[#This Row],[Importe]]-Tabla19[[#This Row],[Pagado]]</f>
        <v>0</v>
      </c>
      <c r="H202" s="75" t="s">
        <v>10</v>
      </c>
    </row>
    <row r="203" spans="1:8" x14ac:dyDescent="0.25">
      <c r="A203" s="148">
        <v>44775</v>
      </c>
      <c r="B203" s="149" t="s">
        <v>24843</v>
      </c>
      <c r="C203" s="153" t="s">
        <v>6170</v>
      </c>
      <c r="D203" s="178">
        <v>0</v>
      </c>
      <c r="E203" s="158" t="s">
        <v>189</v>
      </c>
      <c r="F203" s="178">
        <v>0</v>
      </c>
      <c r="G203" s="179">
        <f>Tabla19[[#This Row],[Importe]]-Tabla19[[#This Row],[Pagado]]</f>
        <v>0</v>
      </c>
      <c r="H203" s="153" t="s">
        <v>189</v>
      </c>
    </row>
    <row r="204" spans="1:8" x14ac:dyDescent="0.25">
      <c r="A204" s="73">
        <v>44775</v>
      </c>
      <c r="B204" s="74" t="s">
        <v>24844</v>
      </c>
      <c r="C204" s="75" t="s">
        <v>12</v>
      </c>
      <c r="D204" s="176">
        <v>770</v>
      </c>
      <c r="E204" s="151">
        <v>44775</v>
      </c>
      <c r="F204" s="176">
        <v>770</v>
      </c>
      <c r="G204" s="177">
        <f>Tabla19[[#This Row],[Importe]]-Tabla19[[#This Row],[Pagado]]</f>
        <v>0</v>
      </c>
      <c r="H204" s="75" t="s">
        <v>10</v>
      </c>
    </row>
    <row r="205" spans="1:8" x14ac:dyDescent="0.25">
      <c r="A205" s="148">
        <v>44775</v>
      </c>
      <c r="B205" s="149" t="s">
        <v>24845</v>
      </c>
      <c r="C205" s="153" t="s">
        <v>1706</v>
      </c>
      <c r="D205" s="178">
        <v>13067.6</v>
      </c>
      <c r="E205" s="155">
        <v>44775</v>
      </c>
      <c r="F205" s="178">
        <v>13067.6</v>
      </c>
      <c r="G205" s="179">
        <f>Tabla19[[#This Row],[Importe]]-Tabla19[[#This Row],[Pagado]]</f>
        <v>0</v>
      </c>
      <c r="H205" s="153" t="s">
        <v>10</v>
      </c>
    </row>
    <row r="206" spans="1:8" x14ac:dyDescent="0.25">
      <c r="A206" s="73">
        <v>44775</v>
      </c>
      <c r="B206" s="74" t="s">
        <v>24846</v>
      </c>
      <c r="C206" s="75" t="s">
        <v>24847</v>
      </c>
      <c r="D206" s="176">
        <v>0</v>
      </c>
      <c r="E206" s="157" t="s">
        <v>189</v>
      </c>
      <c r="F206" s="176">
        <v>0</v>
      </c>
      <c r="G206" s="177">
        <f>Tabla19[[#This Row],[Importe]]-Tabla19[[#This Row],[Pagado]]</f>
        <v>0</v>
      </c>
      <c r="H206" s="75" t="s">
        <v>189</v>
      </c>
    </row>
    <row r="207" spans="1:8" x14ac:dyDescent="0.25">
      <c r="A207" s="148">
        <v>44775</v>
      </c>
      <c r="B207" s="149" t="s">
        <v>24848</v>
      </c>
      <c r="C207" s="153" t="s">
        <v>31</v>
      </c>
      <c r="D207" s="178">
        <v>1661.4</v>
      </c>
      <c r="E207" s="155">
        <v>44776</v>
      </c>
      <c r="F207" s="178">
        <v>1661.4</v>
      </c>
      <c r="G207" s="179">
        <f>Tabla19[[#This Row],[Importe]]-Tabla19[[#This Row],[Pagado]]</f>
        <v>0</v>
      </c>
      <c r="H207" s="153" t="s">
        <v>10</v>
      </c>
    </row>
    <row r="208" spans="1:8" x14ac:dyDescent="0.25">
      <c r="A208" s="73">
        <v>44776</v>
      </c>
      <c r="B208" s="74" t="s">
        <v>24849</v>
      </c>
      <c r="C208" s="75" t="s">
        <v>887</v>
      </c>
      <c r="D208" s="176">
        <v>15760.8</v>
      </c>
      <c r="E208" s="151">
        <v>44776</v>
      </c>
      <c r="F208" s="176">
        <v>15760.8</v>
      </c>
      <c r="G208" s="177">
        <f>Tabla19[[#This Row],[Importe]]-Tabla19[[#This Row],[Pagado]]</f>
        <v>0</v>
      </c>
      <c r="H208" s="75" t="s">
        <v>10</v>
      </c>
    </row>
    <row r="209" spans="1:8" x14ac:dyDescent="0.25">
      <c r="A209" s="148">
        <v>44776</v>
      </c>
      <c r="B209" s="149" t="s">
        <v>24850</v>
      </c>
      <c r="C209" s="153" t="s">
        <v>87</v>
      </c>
      <c r="D209" s="178">
        <v>3758.3</v>
      </c>
      <c r="E209" s="155">
        <v>44776</v>
      </c>
      <c r="F209" s="178">
        <v>3758.3</v>
      </c>
      <c r="G209" s="179">
        <f>Tabla19[[#This Row],[Importe]]-Tabla19[[#This Row],[Pagado]]</f>
        <v>0</v>
      </c>
      <c r="H209" s="153" t="s">
        <v>10</v>
      </c>
    </row>
    <row r="210" spans="1:8" x14ac:dyDescent="0.25">
      <c r="A210" s="73">
        <v>44776</v>
      </c>
      <c r="B210" s="74" t="s">
        <v>24851</v>
      </c>
      <c r="C210" s="75" t="s">
        <v>475</v>
      </c>
      <c r="D210" s="176">
        <v>79411.600000000006</v>
      </c>
      <c r="E210" s="151">
        <v>44777</v>
      </c>
      <c r="F210" s="176">
        <v>79411.600000000006</v>
      </c>
      <c r="G210" s="177">
        <f>Tabla19[[#This Row],[Importe]]-Tabla19[[#This Row],[Pagado]]</f>
        <v>0</v>
      </c>
      <c r="H210" s="75" t="s">
        <v>10</v>
      </c>
    </row>
    <row r="211" spans="1:8" x14ac:dyDescent="0.25">
      <c r="A211" s="148">
        <v>44776</v>
      </c>
      <c r="B211" s="149" t="s">
        <v>24852</v>
      </c>
      <c r="C211" s="153" t="s">
        <v>83</v>
      </c>
      <c r="D211" s="178">
        <v>6107.6</v>
      </c>
      <c r="E211" s="155">
        <v>44776</v>
      </c>
      <c r="F211" s="178">
        <v>6107.6</v>
      </c>
      <c r="G211" s="179">
        <f>Tabla19[[#This Row],[Importe]]-Tabla19[[#This Row],[Pagado]]</f>
        <v>0</v>
      </c>
      <c r="H211" s="153" t="s">
        <v>10</v>
      </c>
    </row>
    <row r="212" spans="1:8" x14ac:dyDescent="0.25">
      <c r="A212" s="73">
        <v>44776</v>
      </c>
      <c r="B212" s="74" t="s">
        <v>24853</v>
      </c>
      <c r="C212" s="75" t="s">
        <v>275</v>
      </c>
      <c r="D212" s="176">
        <v>6165.3</v>
      </c>
      <c r="E212" s="151">
        <v>44792</v>
      </c>
      <c r="F212" s="176">
        <v>6165.3</v>
      </c>
      <c r="G212" s="177">
        <f>Tabla19[[#This Row],[Importe]]-Tabla19[[#This Row],[Pagado]]</f>
        <v>0</v>
      </c>
      <c r="H212" s="75" t="s">
        <v>10</v>
      </c>
    </row>
    <row r="213" spans="1:8" x14ac:dyDescent="0.25">
      <c r="A213" s="148">
        <v>44776</v>
      </c>
      <c r="B213" s="149" t="s">
        <v>24854</v>
      </c>
      <c r="C213" s="153" t="s">
        <v>333</v>
      </c>
      <c r="D213" s="178">
        <v>1117</v>
      </c>
      <c r="E213" s="155">
        <v>44776</v>
      </c>
      <c r="F213" s="178">
        <v>1117</v>
      </c>
      <c r="G213" s="179">
        <f>Tabla19[[#This Row],[Importe]]-Tabla19[[#This Row],[Pagado]]</f>
        <v>0</v>
      </c>
      <c r="H213" s="153" t="s">
        <v>10</v>
      </c>
    </row>
    <row r="214" spans="1:8" x14ac:dyDescent="0.25">
      <c r="A214" s="73">
        <v>44776</v>
      </c>
      <c r="B214" s="74" t="s">
        <v>24855</v>
      </c>
      <c r="C214" s="75" t="s">
        <v>60</v>
      </c>
      <c r="D214" s="176">
        <v>5134.8</v>
      </c>
      <c r="E214" s="151">
        <v>44783</v>
      </c>
      <c r="F214" s="176">
        <v>5134.8</v>
      </c>
      <c r="G214" s="177">
        <f>Tabla19[[#This Row],[Importe]]-Tabla19[[#This Row],[Pagado]]</f>
        <v>0</v>
      </c>
      <c r="H214" s="75" t="s">
        <v>10</v>
      </c>
    </row>
    <row r="215" spans="1:8" x14ac:dyDescent="0.25">
      <c r="A215" s="148">
        <v>44776</v>
      </c>
      <c r="B215" s="149" t="s">
        <v>24856</v>
      </c>
      <c r="C215" s="153" t="s">
        <v>111</v>
      </c>
      <c r="D215" s="178">
        <v>5062.3999999999996</v>
      </c>
      <c r="E215" s="155">
        <v>44777</v>
      </c>
      <c r="F215" s="178">
        <v>5062.3999999999996</v>
      </c>
      <c r="G215" s="179">
        <f>Tabla19[[#This Row],[Importe]]-Tabla19[[#This Row],[Pagado]]</f>
        <v>0</v>
      </c>
      <c r="H215" s="153" t="s">
        <v>10</v>
      </c>
    </row>
    <row r="216" spans="1:8" x14ac:dyDescent="0.25">
      <c r="A216" s="73">
        <v>44776</v>
      </c>
      <c r="B216" s="74" t="s">
        <v>24857</v>
      </c>
      <c r="C216" s="75" t="s">
        <v>146</v>
      </c>
      <c r="D216" s="176">
        <v>4819.8</v>
      </c>
      <c r="E216" s="151">
        <v>44776</v>
      </c>
      <c r="F216" s="176">
        <v>4819.8</v>
      </c>
      <c r="G216" s="177">
        <f>Tabla19[[#This Row],[Importe]]-Tabla19[[#This Row],[Pagado]]</f>
        <v>0</v>
      </c>
      <c r="H216" s="75" t="s">
        <v>10</v>
      </c>
    </row>
    <row r="217" spans="1:8" x14ac:dyDescent="0.25">
      <c r="A217" s="148">
        <v>44776</v>
      </c>
      <c r="B217" s="149" t="s">
        <v>24858</v>
      </c>
      <c r="C217" s="153" t="s">
        <v>114</v>
      </c>
      <c r="D217" s="178">
        <v>11468.8</v>
      </c>
      <c r="E217" s="155">
        <v>44779</v>
      </c>
      <c r="F217" s="178">
        <v>11468.8</v>
      </c>
      <c r="G217" s="179">
        <f>Tabla19[[#This Row],[Importe]]-Tabla19[[#This Row],[Pagado]]</f>
        <v>0</v>
      </c>
      <c r="H217" s="153" t="s">
        <v>10</v>
      </c>
    </row>
    <row r="218" spans="1:8" x14ac:dyDescent="0.25">
      <c r="A218" s="73">
        <v>44776</v>
      </c>
      <c r="B218" s="74" t="s">
        <v>24859</v>
      </c>
      <c r="C218" s="75" t="s">
        <v>64</v>
      </c>
      <c r="D218" s="176">
        <v>4705.8</v>
      </c>
      <c r="E218" s="151">
        <v>44778</v>
      </c>
      <c r="F218" s="176">
        <v>4705.8</v>
      </c>
      <c r="G218" s="177">
        <f>Tabla19[[#This Row],[Importe]]-Tabla19[[#This Row],[Pagado]]</f>
        <v>0</v>
      </c>
      <c r="H218" s="75" t="s">
        <v>10</v>
      </c>
    </row>
    <row r="219" spans="1:8" x14ac:dyDescent="0.25">
      <c r="A219" s="148">
        <v>44776</v>
      </c>
      <c r="B219" s="149" t="s">
        <v>24860</v>
      </c>
      <c r="C219" s="153" t="s">
        <v>97</v>
      </c>
      <c r="D219" s="178">
        <v>4950</v>
      </c>
      <c r="E219" s="155">
        <v>44777</v>
      </c>
      <c r="F219" s="178">
        <v>4950</v>
      </c>
      <c r="G219" s="179">
        <f>Tabla19[[#This Row],[Importe]]-Tabla19[[#This Row],[Pagado]]</f>
        <v>0</v>
      </c>
      <c r="H219" s="153" t="s">
        <v>10</v>
      </c>
    </row>
    <row r="220" spans="1:8" x14ac:dyDescent="0.25">
      <c r="A220" s="73">
        <v>44776</v>
      </c>
      <c r="B220" s="74" t="s">
        <v>24861</v>
      </c>
      <c r="C220" s="75" t="s">
        <v>326</v>
      </c>
      <c r="D220" s="176">
        <v>4890.6000000000004</v>
      </c>
      <c r="E220" s="151">
        <v>44778</v>
      </c>
      <c r="F220" s="176">
        <v>4890.6000000000004</v>
      </c>
      <c r="G220" s="177">
        <f>Tabla19[[#This Row],[Importe]]-Tabla19[[#This Row],[Pagado]]</f>
        <v>0</v>
      </c>
      <c r="H220" s="75" t="s">
        <v>10</v>
      </c>
    </row>
    <row r="221" spans="1:8" x14ac:dyDescent="0.25">
      <c r="A221" s="148">
        <v>44776</v>
      </c>
      <c r="B221" s="149" t="s">
        <v>24862</v>
      </c>
      <c r="C221" s="153" t="s">
        <v>93</v>
      </c>
      <c r="D221" s="178">
        <v>5132.8</v>
      </c>
      <c r="E221" s="155">
        <v>44778</v>
      </c>
      <c r="F221" s="178">
        <v>5132.8</v>
      </c>
      <c r="G221" s="179">
        <f>Tabla19[[#This Row],[Importe]]-Tabla19[[#This Row],[Pagado]]</f>
        <v>0</v>
      </c>
      <c r="H221" s="153" t="s">
        <v>10</v>
      </c>
    </row>
    <row r="222" spans="1:8" x14ac:dyDescent="0.25">
      <c r="A222" s="73">
        <v>44776</v>
      </c>
      <c r="B222" s="74" t="s">
        <v>24863</v>
      </c>
      <c r="C222" s="75" t="s">
        <v>89</v>
      </c>
      <c r="D222" s="176">
        <v>10311.299999999999</v>
      </c>
      <c r="E222" s="151">
        <v>44777</v>
      </c>
      <c r="F222" s="176">
        <v>10311.299999999999</v>
      </c>
      <c r="G222" s="177">
        <f>Tabla19[[#This Row],[Importe]]-Tabla19[[#This Row],[Pagado]]</f>
        <v>0</v>
      </c>
      <c r="H222" s="75" t="s">
        <v>10</v>
      </c>
    </row>
    <row r="223" spans="1:8" x14ac:dyDescent="0.25">
      <c r="A223" s="148">
        <v>44776</v>
      </c>
      <c r="B223" s="149" t="s">
        <v>24864</v>
      </c>
      <c r="C223" s="153" t="s">
        <v>348</v>
      </c>
      <c r="D223" s="178">
        <v>4279.3</v>
      </c>
      <c r="E223" s="155">
        <v>44776</v>
      </c>
      <c r="F223" s="178">
        <v>4279.3</v>
      </c>
      <c r="G223" s="179">
        <f>Tabla19[[#This Row],[Importe]]-Tabla19[[#This Row],[Pagado]]</f>
        <v>0</v>
      </c>
      <c r="H223" s="153" t="s">
        <v>10</v>
      </c>
    </row>
    <row r="224" spans="1:8" x14ac:dyDescent="0.25">
      <c r="A224" s="73">
        <v>44776</v>
      </c>
      <c r="B224" s="74" t="s">
        <v>24865</v>
      </c>
      <c r="C224" s="75" t="s">
        <v>345</v>
      </c>
      <c r="D224" s="176">
        <v>1635.6</v>
      </c>
      <c r="E224" s="151">
        <v>44776</v>
      </c>
      <c r="F224" s="176">
        <v>1635.6</v>
      </c>
      <c r="G224" s="177">
        <f>Tabla19[[#This Row],[Importe]]-Tabla19[[#This Row],[Pagado]]</f>
        <v>0</v>
      </c>
      <c r="H224" s="75" t="s">
        <v>10</v>
      </c>
    </row>
    <row r="225" spans="1:8" x14ac:dyDescent="0.25">
      <c r="A225" s="148">
        <v>44776</v>
      </c>
      <c r="B225" s="149" t="s">
        <v>24866</v>
      </c>
      <c r="C225" s="153" t="s">
        <v>2151</v>
      </c>
      <c r="D225" s="178">
        <v>21547</v>
      </c>
      <c r="E225" s="155">
        <v>44776</v>
      </c>
      <c r="F225" s="178">
        <v>21547</v>
      </c>
      <c r="G225" s="179">
        <f>Tabla19[[#This Row],[Importe]]-Tabla19[[#This Row],[Pagado]]</f>
        <v>0</v>
      </c>
      <c r="H225" s="153" t="s">
        <v>10</v>
      </c>
    </row>
    <row r="226" spans="1:8" ht="31.5" x14ac:dyDescent="0.25">
      <c r="A226" s="73">
        <v>44776</v>
      </c>
      <c r="B226" s="74" t="s">
        <v>24867</v>
      </c>
      <c r="C226" s="75" t="s">
        <v>99</v>
      </c>
      <c r="D226" s="176">
        <v>5273.6</v>
      </c>
      <c r="E226" s="147" t="s">
        <v>24868</v>
      </c>
      <c r="F226" s="176">
        <f>2500+2773.6</f>
        <v>5273.6</v>
      </c>
      <c r="G226" s="177">
        <f>Tabla19[[#This Row],[Importe]]-Tabla19[[#This Row],[Pagado]]</f>
        <v>0</v>
      </c>
      <c r="H226" s="75" t="s">
        <v>10</v>
      </c>
    </row>
    <row r="227" spans="1:8" x14ac:dyDescent="0.25">
      <c r="A227" s="148">
        <v>44776</v>
      </c>
      <c r="B227" s="149" t="s">
        <v>24869</v>
      </c>
      <c r="C227" s="153" t="s">
        <v>212</v>
      </c>
      <c r="D227" s="178">
        <v>14568.4</v>
      </c>
      <c r="E227" s="155">
        <v>44777</v>
      </c>
      <c r="F227" s="178">
        <v>14568.4</v>
      </c>
      <c r="G227" s="179">
        <f>Tabla19[[#This Row],[Importe]]-Tabla19[[#This Row],[Pagado]]</f>
        <v>0</v>
      </c>
      <c r="H227" s="153" t="s">
        <v>10</v>
      </c>
    </row>
    <row r="228" spans="1:8" x14ac:dyDescent="0.25">
      <c r="A228" s="73">
        <v>44776</v>
      </c>
      <c r="B228" s="74" t="s">
        <v>24870</v>
      </c>
      <c r="C228" s="75" t="s">
        <v>218</v>
      </c>
      <c r="D228" s="176">
        <v>18106.2</v>
      </c>
      <c r="E228" s="151">
        <v>44779</v>
      </c>
      <c r="F228" s="176">
        <v>18106.2</v>
      </c>
      <c r="G228" s="177">
        <f>Tabla19[[#This Row],[Importe]]-Tabla19[[#This Row],[Pagado]]</f>
        <v>0</v>
      </c>
      <c r="H228" s="75" t="s">
        <v>10</v>
      </c>
    </row>
    <row r="229" spans="1:8" x14ac:dyDescent="0.25">
      <c r="A229" s="148">
        <v>44776</v>
      </c>
      <c r="B229" s="149" t="s">
        <v>24871</v>
      </c>
      <c r="C229" s="153" t="s">
        <v>129</v>
      </c>
      <c r="D229" s="178">
        <v>5221.3999999999996</v>
      </c>
      <c r="E229" s="155">
        <v>44776</v>
      </c>
      <c r="F229" s="178">
        <v>5221.3999999999996</v>
      </c>
      <c r="G229" s="179">
        <f>Tabla19[[#This Row],[Importe]]-Tabla19[[#This Row],[Pagado]]</f>
        <v>0</v>
      </c>
      <c r="H229" s="153" t="s">
        <v>10</v>
      </c>
    </row>
    <row r="230" spans="1:8" x14ac:dyDescent="0.25">
      <c r="A230" s="73">
        <v>44776</v>
      </c>
      <c r="B230" s="74" t="s">
        <v>24872</v>
      </c>
      <c r="C230" s="75" t="s">
        <v>140</v>
      </c>
      <c r="D230" s="176">
        <v>4243.2</v>
      </c>
      <c r="E230" s="151">
        <v>44776</v>
      </c>
      <c r="F230" s="176">
        <v>4243.2</v>
      </c>
      <c r="G230" s="177">
        <f>Tabla19[[#This Row],[Importe]]-Tabla19[[#This Row],[Pagado]]</f>
        <v>0</v>
      </c>
      <c r="H230" s="75" t="s">
        <v>10</v>
      </c>
    </row>
    <row r="231" spans="1:8" x14ac:dyDescent="0.25">
      <c r="A231" s="148">
        <v>44776</v>
      </c>
      <c r="B231" s="149" t="s">
        <v>24873</v>
      </c>
      <c r="C231" s="153" t="s">
        <v>127</v>
      </c>
      <c r="D231" s="178">
        <v>4752.8</v>
      </c>
      <c r="E231" s="155">
        <v>44776</v>
      </c>
      <c r="F231" s="178">
        <v>4752.8</v>
      </c>
      <c r="G231" s="179">
        <f>Tabla19[[#This Row],[Importe]]-Tabla19[[#This Row],[Pagado]]</f>
        <v>0</v>
      </c>
      <c r="H231" s="153" t="s">
        <v>10</v>
      </c>
    </row>
    <row r="232" spans="1:8" x14ac:dyDescent="0.25">
      <c r="A232" s="73">
        <v>44776</v>
      </c>
      <c r="B232" s="74" t="s">
        <v>24874</v>
      </c>
      <c r="C232" s="75" t="s">
        <v>105</v>
      </c>
      <c r="D232" s="176">
        <v>12682.6</v>
      </c>
      <c r="E232" s="151">
        <v>44777</v>
      </c>
      <c r="F232" s="176">
        <v>12682.6</v>
      </c>
      <c r="G232" s="177">
        <f>Tabla19[[#This Row],[Importe]]-Tabla19[[#This Row],[Pagado]]</f>
        <v>0</v>
      </c>
      <c r="H232" s="75" t="s">
        <v>10</v>
      </c>
    </row>
    <row r="233" spans="1:8" x14ac:dyDescent="0.25">
      <c r="A233" s="148">
        <v>44776</v>
      </c>
      <c r="B233" s="149" t="s">
        <v>24875</v>
      </c>
      <c r="C233" s="153" t="s">
        <v>206</v>
      </c>
      <c r="D233" s="178">
        <v>29394.5</v>
      </c>
      <c r="E233" s="155">
        <v>44779</v>
      </c>
      <c r="F233" s="178">
        <v>29394.5</v>
      </c>
      <c r="G233" s="179">
        <f>Tabla19[[#This Row],[Importe]]-Tabla19[[#This Row],[Pagado]]</f>
        <v>0</v>
      </c>
      <c r="H233" s="153" t="s">
        <v>10</v>
      </c>
    </row>
    <row r="234" spans="1:8" x14ac:dyDescent="0.25">
      <c r="A234" s="73">
        <v>44776</v>
      </c>
      <c r="B234" s="74" t="s">
        <v>24876</v>
      </c>
      <c r="C234" s="75" t="s">
        <v>9</v>
      </c>
      <c r="D234" s="176">
        <v>9198.5</v>
      </c>
      <c r="E234" s="151">
        <v>44776</v>
      </c>
      <c r="F234" s="176">
        <v>9198.5</v>
      </c>
      <c r="G234" s="177">
        <f>Tabla19[[#This Row],[Importe]]-Tabla19[[#This Row],[Pagado]]</f>
        <v>0</v>
      </c>
      <c r="H234" s="75" t="s">
        <v>10</v>
      </c>
    </row>
    <row r="235" spans="1:8" x14ac:dyDescent="0.25">
      <c r="A235" s="148">
        <v>44776</v>
      </c>
      <c r="B235" s="149" t="s">
        <v>24877</v>
      </c>
      <c r="C235" s="153" t="s">
        <v>127</v>
      </c>
      <c r="D235" s="178">
        <v>818.4</v>
      </c>
      <c r="E235" s="155">
        <v>44776</v>
      </c>
      <c r="F235" s="178">
        <v>818.4</v>
      </c>
      <c r="G235" s="179">
        <f>Tabla19[[#This Row],[Importe]]-Tabla19[[#This Row],[Pagado]]</f>
        <v>0</v>
      </c>
      <c r="H235" s="153" t="s">
        <v>10</v>
      </c>
    </row>
    <row r="236" spans="1:8" x14ac:dyDescent="0.25">
      <c r="A236" s="73">
        <v>44776</v>
      </c>
      <c r="B236" s="74" t="s">
        <v>24878</v>
      </c>
      <c r="C236" s="75" t="s">
        <v>75</v>
      </c>
      <c r="D236" s="176">
        <v>4599.8</v>
      </c>
      <c r="E236" s="151">
        <v>44776</v>
      </c>
      <c r="F236" s="176">
        <v>4599.8</v>
      </c>
      <c r="G236" s="177">
        <f>Tabla19[[#This Row],[Importe]]-Tabla19[[#This Row],[Pagado]]</f>
        <v>0</v>
      </c>
      <c r="H236" s="75" t="s">
        <v>10</v>
      </c>
    </row>
    <row r="237" spans="1:8" x14ac:dyDescent="0.25">
      <c r="A237" s="148">
        <v>44776</v>
      </c>
      <c r="B237" s="149" t="s">
        <v>24879</v>
      </c>
      <c r="C237" s="153" t="s">
        <v>154</v>
      </c>
      <c r="D237" s="178">
        <v>40457.599999999999</v>
      </c>
      <c r="E237" s="155">
        <v>44779</v>
      </c>
      <c r="F237" s="178">
        <v>40457.599999999999</v>
      </c>
      <c r="G237" s="179">
        <f>Tabla19[[#This Row],[Importe]]-Tabla19[[#This Row],[Pagado]]</f>
        <v>0</v>
      </c>
      <c r="H237" s="153" t="s">
        <v>10</v>
      </c>
    </row>
    <row r="238" spans="1:8" x14ac:dyDescent="0.25">
      <c r="A238" s="73">
        <v>44776</v>
      </c>
      <c r="B238" s="74" t="s">
        <v>24880</v>
      </c>
      <c r="C238" s="75" t="s">
        <v>181</v>
      </c>
      <c r="D238" s="176">
        <v>14647.4</v>
      </c>
      <c r="E238" s="151">
        <v>44776</v>
      </c>
      <c r="F238" s="176">
        <v>14647.4</v>
      </c>
      <c r="G238" s="177">
        <f>Tabla19[[#This Row],[Importe]]-Tabla19[[#This Row],[Pagado]]</f>
        <v>0</v>
      </c>
      <c r="H238" s="75" t="s">
        <v>10</v>
      </c>
    </row>
    <row r="239" spans="1:8" x14ac:dyDescent="0.25">
      <c r="A239" s="148">
        <v>44776</v>
      </c>
      <c r="B239" s="149" t="s">
        <v>24881</v>
      </c>
      <c r="C239" s="153" t="s">
        <v>541</v>
      </c>
      <c r="D239" s="178">
        <v>9697.6</v>
      </c>
      <c r="E239" s="155">
        <v>44776</v>
      </c>
      <c r="F239" s="178">
        <v>9697.6</v>
      </c>
      <c r="G239" s="179">
        <f>Tabla19[[#This Row],[Importe]]-Tabla19[[#This Row],[Pagado]]</f>
        <v>0</v>
      </c>
      <c r="H239" s="153" t="s">
        <v>10</v>
      </c>
    </row>
    <row r="240" spans="1:8" x14ac:dyDescent="0.25">
      <c r="A240" s="73">
        <v>44776</v>
      </c>
      <c r="B240" s="74" t="s">
        <v>24882</v>
      </c>
      <c r="C240" s="75" t="s">
        <v>1187</v>
      </c>
      <c r="D240" s="176">
        <v>2559.4</v>
      </c>
      <c r="E240" s="151">
        <v>44776</v>
      </c>
      <c r="F240" s="176">
        <v>2559.4</v>
      </c>
      <c r="G240" s="177">
        <f>Tabla19[[#This Row],[Importe]]-Tabla19[[#This Row],[Pagado]]</f>
        <v>0</v>
      </c>
      <c r="H240" s="75" t="s">
        <v>10</v>
      </c>
    </row>
    <row r="241" spans="1:8" x14ac:dyDescent="0.25">
      <c r="A241" s="148">
        <v>44776</v>
      </c>
      <c r="B241" s="149" t="s">
        <v>24883</v>
      </c>
      <c r="C241" s="153" t="s">
        <v>196</v>
      </c>
      <c r="D241" s="178">
        <v>106066.52</v>
      </c>
      <c r="E241" s="155">
        <v>44778</v>
      </c>
      <c r="F241" s="178">
        <v>106066.52</v>
      </c>
      <c r="G241" s="179">
        <f>Tabla19[[#This Row],[Importe]]-Tabla19[[#This Row],[Pagado]]</f>
        <v>0</v>
      </c>
      <c r="H241" s="153" t="s">
        <v>10</v>
      </c>
    </row>
    <row r="242" spans="1:8" x14ac:dyDescent="0.25">
      <c r="A242" s="73">
        <v>44776</v>
      </c>
      <c r="B242" s="74" t="s">
        <v>24884</v>
      </c>
      <c r="C242" s="75" t="s">
        <v>109</v>
      </c>
      <c r="D242" s="176">
        <v>8285.7999999999993</v>
      </c>
      <c r="E242" s="151">
        <v>44776</v>
      </c>
      <c r="F242" s="176">
        <v>8285.7999999999993</v>
      </c>
      <c r="G242" s="177">
        <f>Tabla19[[#This Row],[Importe]]-Tabla19[[#This Row],[Pagado]]</f>
        <v>0</v>
      </c>
      <c r="H242" s="75" t="s">
        <v>10</v>
      </c>
    </row>
    <row r="243" spans="1:8" x14ac:dyDescent="0.25">
      <c r="A243" s="148">
        <v>44776</v>
      </c>
      <c r="B243" s="149" t="s">
        <v>24885</v>
      </c>
      <c r="C243" s="153" t="s">
        <v>16</v>
      </c>
      <c r="D243" s="178">
        <v>6406.8</v>
      </c>
      <c r="E243" s="155">
        <v>44776</v>
      </c>
      <c r="F243" s="178">
        <v>6406.8</v>
      </c>
      <c r="G243" s="179">
        <f>Tabla19[[#This Row],[Importe]]-Tabla19[[#This Row],[Pagado]]</f>
        <v>0</v>
      </c>
      <c r="H243" s="153" t="s">
        <v>10</v>
      </c>
    </row>
    <row r="244" spans="1:8" x14ac:dyDescent="0.25">
      <c r="A244" s="73">
        <v>44776</v>
      </c>
      <c r="B244" s="74" t="s">
        <v>24886</v>
      </c>
      <c r="C244" s="75" t="s">
        <v>11033</v>
      </c>
      <c r="D244" s="176">
        <v>1580</v>
      </c>
      <c r="E244" s="151">
        <v>44776</v>
      </c>
      <c r="F244" s="176">
        <v>1580</v>
      </c>
      <c r="G244" s="177">
        <f>Tabla19[[#This Row],[Importe]]-Tabla19[[#This Row],[Pagado]]</f>
        <v>0</v>
      </c>
      <c r="H244" s="75" t="s">
        <v>10</v>
      </c>
    </row>
    <row r="245" spans="1:8" ht="31.5" x14ac:dyDescent="0.25">
      <c r="A245" s="148">
        <v>44776</v>
      </c>
      <c r="B245" s="149" t="s">
        <v>24887</v>
      </c>
      <c r="C245" s="153" t="s">
        <v>22</v>
      </c>
      <c r="D245" s="178">
        <v>34423.699999999997</v>
      </c>
      <c r="E245" s="150" t="s">
        <v>24868</v>
      </c>
      <c r="F245" s="178">
        <f>17000+17423.7</f>
        <v>34423.699999999997</v>
      </c>
      <c r="G245" s="179">
        <f>Tabla19[[#This Row],[Importe]]-Tabla19[[#This Row],[Pagado]]</f>
        <v>0</v>
      </c>
      <c r="H245" s="153" t="s">
        <v>10</v>
      </c>
    </row>
    <row r="246" spans="1:8" x14ac:dyDescent="0.25">
      <c r="A246" s="73">
        <v>44776</v>
      </c>
      <c r="B246" s="74" t="s">
        <v>24888</v>
      </c>
      <c r="C246" s="75" t="s">
        <v>173</v>
      </c>
      <c r="D246" s="176">
        <v>16917.599999999999</v>
      </c>
      <c r="E246" s="151">
        <v>44776</v>
      </c>
      <c r="F246" s="176">
        <v>16917.599999999999</v>
      </c>
      <c r="G246" s="177">
        <f>Tabla19[[#This Row],[Importe]]-Tabla19[[#This Row],[Pagado]]</f>
        <v>0</v>
      </c>
      <c r="H246" s="75" t="s">
        <v>10</v>
      </c>
    </row>
    <row r="247" spans="1:8" x14ac:dyDescent="0.25">
      <c r="A247" s="148">
        <v>44776</v>
      </c>
      <c r="B247" s="149" t="s">
        <v>24889</v>
      </c>
      <c r="C247" s="153" t="s">
        <v>27</v>
      </c>
      <c r="D247" s="178">
        <v>2102.1</v>
      </c>
      <c r="E247" s="155">
        <v>44776</v>
      </c>
      <c r="F247" s="178">
        <v>2102.1</v>
      </c>
      <c r="G247" s="179">
        <f>Tabla19[[#This Row],[Importe]]-Tabla19[[#This Row],[Pagado]]</f>
        <v>0</v>
      </c>
      <c r="H247" s="153" t="s">
        <v>10</v>
      </c>
    </row>
    <row r="248" spans="1:8" x14ac:dyDescent="0.25">
      <c r="A248" s="73">
        <v>44776</v>
      </c>
      <c r="B248" s="74" t="s">
        <v>24890</v>
      </c>
      <c r="C248" s="75" t="s">
        <v>56</v>
      </c>
      <c r="D248" s="176">
        <v>9995.1</v>
      </c>
      <c r="E248" s="151">
        <v>44776</v>
      </c>
      <c r="F248" s="176">
        <v>9995.1</v>
      </c>
      <c r="G248" s="177">
        <f>Tabla19[[#This Row],[Importe]]-Tabla19[[#This Row],[Pagado]]</f>
        <v>0</v>
      </c>
      <c r="H248" s="75" t="s">
        <v>10</v>
      </c>
    </row>
    <row r="249" spans="1:8" x14ac:dyDescent="0.25">
      <c r="A249" s="148">
        <v>44776</v>
      </c>
      <c r="B249" s="149" t="s">
        <v>24891</v>
      </c>
      <c r="C249" s="153" t="s">
        <v>275</v>
      </c>
      <c r="D249" s="178">
        <v>109519.3</v>
      </c>
      <c r="E249" s="155">
        <v>44792</v>
      </c>
      <c r="F249" s="178">
        <v>109519.3</v>
      </c>
      <c r="G249" s="179">
        <f>Tabla19[[#This Row],[Importe]]-Tabla19[[#This Row],[Pagado]]</f>
        <v>0</v>
      </c>
      <c r="H249" s="153" t="s">
        <v>10</v>
      </c>
    </row>
    <row r="250" spans="1:8" x14ac:dyDescent="0.25">
      <c r="A250" s="73">
        <v>44776</v>
      </c>
      <c r="B250" s="74" t="s">
        <v>24892</v>
      </c>
      <c r="C250" s="75" t="s">
        <v>481</v>
      </c>
      <c r="D250" s="176">
        <v>193.2</v>
      </c>
      <c r="E250" s="151">
        <v>44776</v>
      </c>
      <c r="F250" s="176">
        <v>193.2</v>
      </c>
      <c r="G250" s="177">
        <f>Tabla19[[#This Row],[Importe]]-Tabla19[[#This Row],[Pagado]]</f>
        <v>0</v>
      </c>
      <c r="H250" s="75" t="s">
        <v>10</v>
      </c>
    </row>
    <row r="251" spans="1:8" x14ac:dyDescent="0.25">
      <c r="A251" s="148">
        <v>44776</v>
      </c>
      <c r="B251" s="149" t="s">
        <v>24893</v>
      </c>
      <c r="C251" s="153" t="s">
        <v>452</v>
      </c>
      <c r="D251" s="178">
        <v>2560</v>
      </c>
      <c r="E251" s="155">
        <v>44776</v>
      </c>
      <c r="F251" s="178">
        <v>2560</v>
      </c>
      <c r="G251" s="179">
        <f>Tabla19[[#This Row],[Importe]]-Tabla19[[#This Row],[Pagado]]</f>
        <v>0</v>
      </c>
      <c r="H251" s="153" t="s">
        <v>10</v>
      </c>
    </row>
    <row r="252" spans="1:8" x14ac:dyDescent="0.25">
      <c r="A252" s="73">
        <v>44776</v>
      </c>
      <c r="B252" s="74" t="s">
        <v>24894</v>
      </c>
      <c r="C252" s="75" t="s">
        <v>45</v>
      </c>
      <c r="D252" s="176">
        <v>14185.4</v>
      </c>
      <c r="E252" s="151">
        <v>44776</v>
      </c>
      <c r="F252" s="176">
        <v>14185.4</v>
      </c>
      <c r="G252" s="177">
        <f>Tabla19[[#This Row],[Importe]]-Tabla19[[#This Row],[Pagado]]</f>
        <v>0</v>
      </c>
      <c r="H252" s="75" t="s">
        <v>10</v>
      </c>
    </row>
    <row r="253" spans="1:8" x14ac:dyDescent="0.25">
      <c r="A253" s="148">
        <v>44776</v>
      </c>
      <c r="B253" s="149" t="s">
        <v>24895</v>
      </c>
      <c r="C253" s="153" t="s">
        <v>49</v>
      </c>
      <c r="D253" s="178">
        <v>4896</v>
      </c>
      <c r="E253" s="155">
        <v>44776</v>
      </c>
      <c r="F253" s="178">
        <v>4896</v>
      </c>
      <c r="G253" s="179">
        <f>Tabla19[[#This Row],[Importe]]-Tabla19[[#This Row],[Pagado]]</f>
        <v>0</v>
      </c>
      <c r="H253" s="153" t="s">
        <v>10</v>
      </c>
    </row>
    <row r="254" spans="1:8" x14ac:dyDescent="0.25">
      <c r="A254" s="73">
        <v>44776</v>
      </c>
      <c r="B254" s="74" t="s">
        <v>24896</v>
      </c>
      <c r="C254" s="75" t="s">
        <v>9577</v>
      </c>
      <c r="D254" s="176">
        <v>27496.6</v>
      </c>
      <c r="E254" s="151">
        <v>44776</v>
      </c>
      <c r="F254" s="176">
        <v>27496.6</v>
      </c>
      <c r="G254" s="177">
        <f>Tabla19[[#This Row],[Importe]]-Tabla19[[#This Row],[Pagado]]</f>
        <v>0</v>
      </c>
      <c r="H254" s="75" t="s">
        <v>10</v>
      </c>
    </row>
    <row r="255" spans="1:8" x14ac:dyDescent="0.25">
      <c r="A255" s="148">
        <v>44776</v>
      </c>
      <c r="B255" s="149" t="s">
        <v>24897</v>
      </c>
      <c r="C255" s="153" t="s">
        <v>31</v>
      </c>
      <c r="D255" s="178">
        <v>5220</v>
      </c>
      <c r="E255" s="155">
        <v>44776</v>
      </c>
      <c r="F255" s="178">
        <v>5220</v>
      </c>
      <c r="G255" s="179">
        <f>Tabla19[[#This Row],[Importe]]-Tabla19[[#This Row],[Pagado]]</f>
        <v>0</v>
      </c>
      <c r="H255" s="153" t="s">
        <v>10</v>
      </c>
    </row>
    <row r="256" spans="1:8" x14ac:dyDescent="0.25">
      <c r="A256" s="73">
        <v>44776</v>
      </c>
      <c r="B256" s="74" t="s">
        <v>24898</v>
      </c>
      <c r="C256" s="75" t="s">
        <v>191</v>
      </c>
      <c r="D256" s="176">
        <v>1659</v>
      </c>
      <c r="E256" s="151">
        <v>44776</v>
      </c>
      <c r="F256" s="176">
        <v>1659</v>
      </c>
      <c r="G256" s="177">
        <f>Tabla19[[#This Row],[Importe]]-Tabla19[[#This Row],[Pagado]]</f>
        <v>0</v>
      </c>
      <c r="H256" s="75" t="s">
        <v>10</v>
      </c>
    </row>
    <row r="257" spans="1:8" x14ac:dyDescent="0.25">
      <c r="A257" s="148">
        <v>44776</v>
      </c>
      <c r="B257" s="149" t="s">
        <v>24899</v>
      </c>
      <c r="C257" s="153" t="s">
        <v>191</v>
      </c>
      <c r="D257" s="178">
        <v>18360</v>
      </c>
      <c r="E257" s="155">
        <v>44776</v>
      </c>
      <c r="F257" s="178">
        <v>18360</v>
      </c>
      <c r="G257" s="179">
        <f>Tabla19[[#This Row],[Importe]]-Tabla19[[#This Row],[Pagado]]</f>
        <v>0</v>
      </c>
      <c r="H257" s="153" t="s">
        <v>10</v>
      </c>
    </row>
    <row r="258" spans="1:8" x14ac:dyDescent="0.25">
      <c r="A258" s="73">
        <v>44776</v>
      </c>
      <c r="B258" s="74" t="s">
        <v>24900</v>
      </c>
      <c r="C258" s="75" t="s">
        <v>273</v>
      </c>
      <c r="D258" s="176">
        <v>1934.04</v>
      </c>
      <c r="E258" s="151">
        <v>44776</v>
      </c>
      <c r="F258" s="176">
        <v>1934.04</v>
      </c>
      <c r="G258" s="177">
        <f>Tabla19[[#This Row],[Importe]]-Tabla19[[#This Row],[Pagado]]</f>
        <v>0</v>
      </c>
      <c r="H258" s="75" t="s">
        <v>10</v>
      </c>
    </row>
    <row r="259" spans="1:8" x14ac:dyDescent="0.25">
      <c r="A259" s="148">
        <v>44776</v>
      </c>
      <c r="B259" s="149" t="s">
        <v>24901</v>
      </c>
      <c r="C259" s="153" t="s">
        <v>555</v>
      </c>
      <c r="D259" s="178">
        <v>18761.28</v>
      </c>
      <c r="E259" s="155">
        <v>44776</v>
      </c>
      <c r="F259" s="178">
        <v>18761.28</v>
      </c>
      <c r="G259" s="179">
        <f>Tabla19[[#This Row],[Importe]]-Tabla19[[#This Row],[Pagado]]</f>
        <v>0</v>
      </c>
      <c r="H259" s="153" t="s">
        <v>10</v>
      </c>
    </row>
    <row r="260" spans="1:8" x14ac:dyDescent="0.25">
      <c r="A260" s="73">
        <v>44776</v>
      </c>
      <c r="B260" s="74" t="s">
        <v>24902</v>
      </c>
      <c r="C260" s="75" t="s">
        <v>587</v>
      </c>
      <c r="D260" s="176">
        <v>5883.84</v>
      </c>
      <c r="E260" s="151">
        <v>44776</v>
      </c>
      <c r="F260" s="176">
        <v>5883.84</v>
      </c>
      <c r="G260" s="177">
        <f>Tabla19[[#This Row],[Importe]]-Tabla19[[#This Row],[Pagado]]</f>
        <v>0</v>
      </c>
      <c r="H260" s="75" t="s">
        <v>10</v>
      </c>
    </row>
    <row r="261" spans="1:8" x14ac:dyDescent="0.25">
      <c r="A261" s="148">
        <v>44776</v>
      </c>
      <c r="B261" s="149" t="s">
        <v>24903</v>
      </c>
      <c r="C261" s="153" t="s">
        <v>135</v>
      </c>
      <c r="D261" s="178">
        <v>1232</v>
      </c>
      <c r="E261" s="155">
        <v>44776</v>
      </c>
      <c r="F261" s="178">
        <v>1232</v>
      </c>
      <c r="G261" s="179">
        <f>Tabla19[[#This Row],[Importe]]-Tabla19[[#This Row],[Pagado]]</f>
        <v>0</v>
      </c>
      <c r="H261" s="153" t="s">
        <v>10</v>
      </c>
    </row>
    <row r="262" spans="1:8" x14ac:dyDescent="0.25">
      <c r="A262" s="73">
        <v>44776</v>
      </c>
      <c r="B262" s="74" t="s">
        <v>24904</v>
      </c>
      <c r="C262" s="75" t="s">
        <v>53</v>
      </c>
      <c r="D262" s="176">
        <v>589.6</v>
      </c>
      <c r="E262" s="151">
        <v>44776</v>
      </c>
      <c r="F262" s="176">
        <v>589.6</v>
      </c>
      <c r="G262" s="177">
        <f>Tabla19[[#This Row],[Importe]]-Tabla19[[#This Row],[Pagado]]</f>
        <v>0</v>
      </c>
      <c r="H262" s="75" t="s">
        <v>10</v>
      </c>
    </row>
    <row r="263" spans="1:8" x14ac:dyDescent="0.25">
      <c r="A263" s="148">
        <v>44776</v>
      </c>
      <c r="B263" s="149" t="s">
        <v>24905</v>
      </c>
      <c r="C263" s="153" t="s">
        <v>31</v>
      </c>
      <c r="D263" s="178">
        <v>1487.7</v>
      </c>
      <c r="E263" s="155">
        <v>44776</v>
      </c>
      <c r="F263" s="178">
        <v>1487.7</v>
      </c>
      <c r="G263" s="179">
        <f>Tabla19[[#This Row],[Importe]]-Tabla19[[#This Row],[Pagado]]</f>
        <v>0</v>
      </c>
      <c r="H263" s="153" t="s">
        <v>10</v>
      </c>
    </row>
    <row r="264" spans="1:8" x14ac:dyDescent="0.25">
      <c r="A264" s="73">
        <v>44776</v>
      </c>
      <c r="B264" s="74" t="s">
        <v>24906</v>
      </c>
      <c r="C264" s="75" t="s">
        <v>69</v>
      </c>
      <c r="D264" s="176">
        <v>2200</v>
      </c>
      <c r="E264" s="151">
        <v>44776</v>
      </c>
      <c r="F264" s="176">
        <v>2200</v>
      </c>
      <c r="G264" s="177">
        <f>Tabla19[[#This Row],[Importe]]-Tabla19[[#This Row],[Pagado]]</f>
        <v>0</v>
      </c>
      <c r="H264" s="75" t="s">
        <v>10</v>
      </c>
    </row>
    <row r="265" spans="1:8" x14ac:dyDescent="0.25">
      <c r="A265" s="148">
        <v>44776</v>
      </c>
      <c r="B265" s="149" t="s">
        <v>24907</v>
      </c>
      <c r="C265" s="153" t="s">
        <v>296</v>
      </c>
      <c r="D265" s="178">
        <v>3989.5</v>
      </c>
      <c r="E265" s="155">
        <v>44776</v>
      </c>
      <c r="F265" s="178">
        <v>3989.5</v>
      </c>
      <c r="G265" s="179">
        <f>Tabla19[[#This Row],[Importe]]-Tabla19[[#This Row],[Pagado]]</f>
        <v>0</v>
      </c>
      <c r="H265" s="153" t="s">
        <v>10</v>
      </c>
    </row>
    <row r="266" spans="1:8" x14ac:dyDescent="0.25">
      <c r="A266" s="73">
        <v>44776</v>
      </c>
      <c r="B266" s="74" t="s">
        <v>24908</v>
      </c>
      <c r="C266" s="75" t="s">
        <v>31</v>
      </c>
      <c r="D266" s="176">
        <v>1496.4</v>
      </c>
      <c r="E266" s="151">
        <v>44776</v>
      </c>
      <c r="F266" s="176">
        <v>1496.4</v>
      </c>
      <c r="G266" s="177">
        <f>Tabla19[[#This Row],[Importe]]-Tabla19[[#This Row],[Pagado]]</f>
        <v>0</v>
      </c>
      <c r="H266" s="75" t="s">
        <v>10</v>
      </c>
    </row>
    <row r="267" spans="1:8" x14ac:dyDescent="0.25">
      <c r="A267" s="148">
        <v>44776</v>
      </c>
      <c r="B267" s="149" t="s">
        <v>24909</v>
      </c>
      <c r="C267" s="153" t="s">
        <v>214</v>
      </c>
      <c r="D267" s="178">
        <v>43.5</v>
      </c>
      <c r="E267" s="155">
        <v>44776</v>
      </c>
      <c r="F267" s="178">
        <v>43.5</v>
      </c>
      <c r="G267" s="179">
        <f>Tabla19[[#This Row],[Importe]]-Tabla19[[#This Row],[Pagado]]</f>
        <v>0</v>
      </c>
      <c r="H267" s="153" t="s">
        <v>10</v>
      </c>
    </row>
    <row r="268" spans="1:8" x14ac:dyDescent="0.25">
      <c r="A268" s="73">
        <v>44776</v>
      </c>
      <c r="B268" s="74" t="s">
        <v>24910</v>
      </c>
      <c r="C268" s="75" t="s">
        <v>9827</v>
      </c>
      <c r="D268" s="176">
        <v>835.2</v>
      </c>
      <c r="E268" s="151">
        <v>44776</v>
      </c>
      <c r="F268" s="176">
        <v>835.2</v>
      </c>
      <c r="G268" s="177">
        <f>Tabla19[[#This Row],[Importe]]-Tabla19[[#This Row],[Pagado]]</f>
        <v>0</v>
      </c>
      <c r="H268" s="75" t="s">
        <v>10</v>
      </c>
    </row>
    <row r="269" spans="1:8" x14ac:dyDescent="0.25">
      <c r="A269" s="148">
        <v>44776</v>
      </c>
      <c r="B269" s="149" t="s">
        <v>24911</v>
      </c>
      <c r="C269" s="153" t="s">
        <v>179</v>
      </c>
      <c r="D269" s="178">
        <v>2409.9</v>
      </c>
      <c r="E269" s="155">
        <v>44776</v>
      </c>
      <c r="F269" s="178">
        <v>2409.9</v>
      </c>
      <c r="G269" s="179">
        <f>Tabla19[[#This Row],[Importe]]-Tabla19[[#This Row],[Pagado]]</f>
        <v>0</v>
      </c>
      <c r="H269" s="153" t="s">
        <v>10</v>
      </c>
    </row>
    <row r="270" spans="1:8" x14ac:dyDescent="0.25">
      <c r="A270" s="73">
        <v>44776</v>
      </c>
      <c r="B270" s="74" t="s">
        <v>24912</v>
      </c>
      <c r="C270" s="75" t="s">
        <v>698</v>
      </c>
      <c r="D270" s="176">
        <v>8916.7999999999993</v>
      </c>
      <c r="E270" s="151">
        <v>44776</v>
      </c>
      <c r="F270" s="176">
        <v>8916.7999999999993</v>
      </c>
      <c r="G270" s="177">
        <f>Tabla19[[#This Row],[Importe]]-Tabla19[[#This Row],[Pagado]]</f>
        <v>0</v>
      </c>
      <c r="H270" s="75" t="s">
        <v>10</v>
      </c>
    </row>
    <row r="271" spans="1:8" x14ac:dyDescent="0.25">
      <c r="A271" s="148">
        <v>44776</v>
      </c>
      <c r="B271" s="149" t="s">
        <v>24913</v>
      </c>
      <c r="C271" s="153" t="s">
        <v>58</v>
      </c>
      <c r="D271" s="178">
        <v>4478</v>
      </c>
      <c r="E271" s="155">
        <v>44776</v>
      </c>
      <c r="F271" s="178">
        <v>4478</v>
      </c>
      <c r="G271" s="179">
        <f>Tabla19[[#This Row],[Importe]]-Tabla19[[#This Row],[Pagado]]</f>
        <v>0</v>
      </c>
      <c r="H271" s="153" t="s">
        <v>10</v>
      </c>
    </row>
    <row r="272" spans="1:8" x14ac:dyDescent="0.25">
      <c r="A272" s="73">
        <v>44776</v>
      </c>
      <c r="B272" s="74" t="s">
        <v>24914</v>
      </c>
      <c r="C272" s="75" t="s">
        <v>426</v>
      </c>
      <c r="D272" s="176">
        <v>8888.4</v>
      </c>
      <c r="E272" s="151">
        <v>44776</v>
      </c>
      <c r="F272" s="176">
        <v>8888.4</v>
      </c>
      <c r="G272" s="177">
        <f>Tabla19[[#This Row],[Importe]]-Tabla19[[#This Row],[Pagado]]</f>
        <v>0</v>
      </c>
      <c r="H272" s="75" t="s">
        <v>10</v>
      </c>
    </row>
    <row r="273" spans="1:8" x14ac:dyDescent="0.25">
      <c r="A273" s="148">
        <v>44776</v>
      </c>
      <c r="B273" s="149" t="s">
        <v>24915</v>
      </c>
      <c r="C273" s="153" t="s">
        <v>24916</v>
      </c>
      <c r="D273" s="178">
        <v>0</v>
      </c>
      <c r="E273" s="158" t="s">
        <v>189</v>
      </c>
      <c r="F273" s="178">
        <v>0</v>
      </c>
      <c r="G273" s="179">
        <f>Tabla19[[#This Row],[Importe]]-Tabla19[[#This Row],[Pagado]]</f>
        <v>0</v>
      </c>
      <c r="H273" s="159" t="s">
        <v>24917</v>
      </c>
    </row>
    <row r="274" spans="1:8" x14ac:dyDescent="0.25">
      <c r="A274" s="73">
        <v>44776</v>
      </c>
      <c r="B274" s="74" t="s">
        <v>24918</v>
      </c>
      <c r="C274" s="75" t="s">
        <v>107</v>
      </c>
      <c r="D274" s="176">
        <v>11998.4</v>
      </c>
      <c r="E274" s="151">
        <v>44776</v>
      </c>
      <c r="F274" s="176">
        <v>11998.4</v>
      </c>
      <c r="G274" s="177">
        <f>Tabla19[[#This Row],[Importe]]-Tabla19[[#This Row],[Pagado]]</f>
        <v>0</v>
      </c>
      <c r="H274" s="75" t="s">
        <v>10</v>
      </c>
    </row>
    <row r="275" spans="1:8" x14ac:dyDescent="0.25">
      <c r="A275" s="148">
        <v>44776</v>
      </c>
      <c r="B275" s="149" t="s">
        <v>24919</v>
      </c>
      <c r="C275" s="153" t="s">
        <v>191</v>
      </c>
      <c r="D275" s="178">
        <v>769.5</v>
      </c>
      <c r="E275" s="155">
        <v>44776</v>
      </c>
      <c r="F275" s="178">
        <v>769.5</v>
      </c>
      <c r="G275" s="179">
        <f>Tabla19[[#This Row],[Importe]]-Tabla19[[#This Row],[Pagado]]</f>
        <v>0</v>
      </c>
      <c r="H275" s="153" t="s">
        <v>10</v>
      </c>
    </row>
    <row r="276" spans="1:8" x14ac:dyDescent="0.25">
      <c r="A276" s="73">
        <v>44776</v>
      </c>
      <c r="B276" s="74" t="s">
        <v>24920</v>
      </c>
      <c r="C276" s="75" t="s">
        <v>681</v>
      </c>
      <c r="D276" s="176">
        <v>16.84</v>
      </c>
      <c r="E276" s="151">
        <v>44786</v>
      </c>
      <c r="F276" s="176">
        <v>16.84</v>
      </c>
      <c r="G276" s="177">
        <f>Tabla19[[#This Row],[Importe]]-Tabla19[[#This Row],[Pagado]]</f>
        <v>0</v>
      </c>
      <c r="H276" s="75" t="s">
        <v>10</v>
      </c>
    </row>
    <row r="277" spans="1:8" x14ac:dyDescent="0.25">
      <c r="A277" s="148">
        <v>44776</v>
      </c>
      <c r="B277" s="149" t="s">
        <v>24921</v>
      </c>
      <c r="C277" s="153" t="s">
        <v>409</v>
      </c>
      <c r="D277" s="178">
        <v>6831</v>
      </c>
      <c r="E277" s="155">
        <v>44778</v>
      </c>
      <c r="F277" s="178">
        <v>6831</v>
      </c>
      <c r="G277" s="179">
        <f>Tabla19[[#This Row],[Importe]]-Tabla19[[#This Row],[Pagado]]</f>
        <v>0</v>
      </c>
      <c r="H277" s="153" t="s">
        <v>10</v>
      </c>
    </row>
    <row r="278" spans="1:8" x14ac:dyDescent="0.25">
      <c r="A278" s="73">
        <v>44776</v>
      </c>
      <c r="B278" s="74" t="s">
        <v>24922</v>
      </c>
      <c r="C278" s="75" t="s">
        <v>2377</v>
      </c>
      <c r="D278" s="176">
        <v>4053.6</v>
      </c>
      <c r="E278" s="151">
        <v>44776</v>
      </c>
      <c r="F278" s="176">
        <v>4053.6</v>
      </c>
      <c r="G278" s="177">
        <f>Tabla19[[#This Row],[Importe]]-Tabla19[[#This Row],[Pagado]]</f>
        <v>0</v>
      </c>
      <c r="H278" s="75" t="s">
        <v>10</v>
      </c>
    </row>
    <row r="279" spans="1:8" x14ac:dyDescent="0.25">
      <c r="A279" s="148">
        <v>44776</v>
      </c>
      <c r="B279" s="149" t="s">
        <v>24923</v>
      </c>
      <c r="C279" s="153" t="s">
        <v>24924</v>
      </c>
      <c r="D279" s="178">
        <v>0</v>
      </c>
      <c r="E279" s="158" t="s">
        <v>189</v>
      </c>
      <c r="F279" s="178">
        <v>0</v>
      </c>
      <c r="G279" s="179">
        <f>Tabla19[[#This Row],[Importe]]-Tabla19[[#This Row],[Pagado]]</f>
        <v>0</v>
      </c>
      <c r="H279" s="159" t="s">
        <v>24925</v>
      </c>
    </row>
    <row r="280" spans="1:8" x14ac:dyDescent="0.25">
      <c r="A280" s="73">
        <v>44776</v>
      </c>
      <c r="B280" s="74" t="s">
        <v>24926</v>
      </c>
      <c r="C280" s="75" t="s">
        <v>1174</v>
      </c>
      <c r="D280" s="176">
        <v>18040.400000000001</v>
      </c>
      <c r="E280" s="151">
        <v>44776</v>
      </c>
      <c r="F280" s="176">
        <v>18040.400000000001</v>
      </c>
      <c r="G280" s="177">
        <f>Tabla19[[#This Row],[Importe]]-Tabla19[[#This Row],[Pagado]]</f>
        <v>0</v>
      </c>
      <c r="H280" s="75" t="s">
        <v>10</v>
      </c>
    </row>
    <row r="281" spans="1:8" x14ac:dyDescent="0.25">
      <c r="A281" s="148">
        <v>44776</v>
      </c>
      <c r="B281" s="149" t="s">
        <v>24927</v>
      </c>
      <c r="C281" s="153" t="s">
        <v>296</v>
      </c>
      <c r="D281" s="178">
        <v>1504.8</v>
      </c>
      <c r="E281" s="155">
        <v>44776</v>
      </c>
      <c r="F281" s="178">
        <v>1504.8</v>
      </c>
      <c r="G281" s="179">
        <f>Tabla19[[#This Row],[Importe]]-Tabla19[[#This Row],[Pagado]]</f>
        <v>0</v>
      </c>
      <c r="H281" s="153" t="s">
        <v>10</v>
      </c>
    </row>
    <row r="282" spans="1:8" x14ac:dyDescent="0.25">
      <c r="A282" s="73">
        <v>44776</v>
      </c>
      <c r="B282" s="74" t="s">
        <v>24928</v>
      </c>
      <c r="C282" s="75" t="s">
        <v>1421</v>
      </c>
      <c r="D282" s="176">
        <v>40952.800000000003</v>
      </c>
      <c r="E282" s="151">
        <v>44776</v>
      </c>
      <c r="F282" s="176">
        <v>40952.800000000003</v>
      </c>
      <c r="G282" s="177">
        <f>Tabla19[[#This Row],[Importe]]-Tabla19[[#This Row],[Pagado]]</f>
        <v>0</v>
      </c>
      <c r="H282" s="75" t="s">
        <v>10</v>
      </c>
    </row>
    <row r="283" spans="1:8" x14ac:dyDescent="0.25">
      <c r="A283" s="148">
        <v>44776</v>
      </c>
      <c r="B283" s="149" t="s">
        <v>24929</v>
      </c>
      <c r="C283" s="153" t="s">
        <v>10819</v>
      </c>
      <c r="D283" s="178">
        <v>1545.1</v>
      </c>
      <c r="E283" s="155">
        <v>44777</v>
      </c>
      <c r="F283" s="178">
        <v>1545.1</v>
      </c>
      <c r="G283" s="179">
        <f>Tabla19[[#This Row],[Importe]]-Tabla19[[#This Row],[Pagado]]</f>
        <v>0</v>
      </c>
      <c r="H283" s="153" t="s">
        <v>10</v>
      </c>
    </row>
    <row r="284" spans="1:8" x14ac:dyDescent="0.25">
      <c r="A284" s="73">
        <v>44776</v>
      </c>
      <c r="B284" s="74" t="s">
        <v>24930</v>
      </c>
      <c r="C284" s="75" t="s">
        <v>280</v>
      </c>
      <c r="D284" s="176">
        <v>861.3</v>
      </c>
      <c r="E284" s="151">
        <v>44777</v>
      </c>
      <c r="F284" s="176">
        <v>861.3</v>
      </c>
      <c r="G284" s="177">
        <f>Tabla19[[#This Row],[Importe]]-Tabla19[[#This Row],[Pagado]]</f>
        <v>0</v>
      </c>
      <c r="H284" s="75" t="s">
        <v>10</v>
      </c>
    </row>
    <row r="285" spans="1:8" x14ac:dyDescent="0.25">
      <c r="A285" s="148">
        <v>44776</v>
      </c>
      <c r="B285" s="149" t="s">
        <v>24931</v>
      </c>
      <c r="C285" s="153" t="s">
        <v>5345</v>
      </c>
      <c r="D285" s="178">
        <v>3697.5</v>
      </c>
      <c r="E285" s="155">
        <v>44777</v>
      </c>
      <c r="F285" s="178">
        <v>3697.5</v>
      </c>
      <c r="G285" s="179">
        <f>Tabla19[[#This Row],[Importe]]-Tabla19[[#This Row],[Pagado]]</f>
        <v>0</v>
      </c>
      <c r="H285" s="153" t="s">
        <v>10</v>
      </c>
    </row>
    <row r="286" spans="1:8" x14ac:dyDescent="0.25">
      <c r="A286" s="73">
        <v>44776</v>
      </c>
      <c r="B286" s="74" t="s">
        <v>24932</v>
      </c>
      <c r="C286" s="75" t="s">
        <v>282</v>
      </c>
      <c r="D286" s="176">
        <v>3671.4</v>
      </c>
      <c r="E286" s="151">
        <v>44777</v>
      </c>
      <c r="F286" s="176">
        <v>3671.4</v>
      </c>
      <c r="G286" s="177">
        <f>Tabla19[[#This Row],[Importe]]-Tabla19[[#This Row],[Pagado]]</f>
        <v>0</v>
      </c>
      <c r="H286" s="75" t="s">
        <v>10</v>
      </c>
    </row>
    <row r="287" spans="1:8" x14ac:dyDescent="0.25">
      <c r="A287" s="148">
        <v>44776</v>
      </c>
      <c r="B287" s="149" t="s">
        <v>24933</v>
      </c>
      <c r="C287" s="153" t="s">
        <v>284</v>
      </c>
      <c r="D287" s="178">
        <v>8726.1</v>
      </c>
      <c r="E287" s="155">
        <v>44777</v>
      </c>
      <c r="F287" s="178">
        <v>8726.1</v>
      </c>
      <c r="G287" s="179">
        <f>Tabla19[[#This Row],[Importe]]-Tabla19[[#This Row],[Pagado]]</f>
        <v>0</v>
      </c>
      <c r="H287" s="153" t="s">
        <v>10</v>
      </c>
    </row>
    <row r="288" spans="1:8" x14ac:dyDescent="0.25">
      <c r="A288" s="73">
        <v>44776</v>
      </c>
      <c r="B288" s="74" t="s">
        <v>24934</v>
      </c>
      <c r="C288" s="75" t="s">
        <v>200</v>
      </c>
      <c r="D288" s="176">
        <v>1218</v>
      </c>
      <c r="E288" s="151">
        <v>44776</v>
      </c>
      <c r="F288" s="176">
        <v>1218</v>
      </c>
      <c r="G288" s="177">
        <f>Tabla19[[#This Row],[Importe]]-Tabla19[[#This Row],[Pagado]]</f>
        <v>0</v>
      </c>
      <c r="H288" s="75" t="s">
        <v>10</v>
      </c>
    </row>
    <row r="289" spans="1:8" x14ac:dyDescent="0.25">
      <c r="A289" s="148">
        <v>44776</v>
      </c>
      <c r="B289" s="149" t="s">
        <v>24935</v>
      </c>
      <c r="C289" s="153" t="s">
        <v>419</v>
      </c>
      <c r="D289" s="178">
        <v>9909.2000000000007</v>
      </c>
      <c r="E289" s="155">
        <v>44776</v>
      </c>
      <c r="F289" s="178">
        <v>9909.2000000000007</v>
      </c>
      <c r="G289" s="179">
        <f>Tabla19[[#This Row],[Importe]]-Tabla19[[#This Row],[Pagado]]</f>
        <v>0</v>
      </c>
      <c r="H289" s="153" t="s">
        <v>10</v>
      </c>
    </row>
    <row r="290" spans="1:8" x14ac:dyDescent="0.25">
      <c r="A290" s="73">
        <v>44776</v>
      </c>
      <c r="B290" s="74" t="s">
        <v>24936</v>
      </c>
      <c r="C290" s="75" t="s">
        <v>484</v>
      </c>
      <c r="D290" s="176">
        <v>4633.2</v>
      </c>
      <c r="E290" s="151">
        <v>44776</v>
      </c>
      <c r="F290" s="176">
        <v>4633.2</v>
      </c>
      <c r="G290" s="177">
        <f>Tabla19[[#This Row],[Importe]]-Tabla19[[#This Row],[Pagado]]</f>
        <v>0</v>
      </c>
      <c r="H290" s="75" t="s">
        <v>10</v>
      </c>
    </row>
    <row r="291" spans="1:8" x14ac:dyDescent="0.25">
      <c r="A291" s="148">
        <v>44776</v>
      </c>
      <c r="B291" s="149" t="s">
        <v>24937</v>
      </c>
      <c r="C291" s="153" t="s">
        <v>857</v>
      </c>
      <c r="D291" s="178">
        <v>460</v>
      </c>
      <c r="E291" s="155">
        <v>44776</v>
      </c>
      <c r="F291" s="178">
        <v>460</v>
      </c>
      <c r="G291" s="179">
        <f>Tabla19[[#This Row],[Importe]]-Tabla19[[#This Row],[Pagado]]</f>
        <v>0</v>
      </c>
      <c r="H291" s="153" t="s">
        <v>10</v>
      </c>
    </row>
    <row r="292" spans="1:8" x14ac:dyDescent="0.25">
      <c r="A292" s="73">
        <v>44776</v>
      </c>
      <c r="B292" s="74" t="s">
        <v>24938</v>
      </c>
      <c r="C292" s="75" t="s">
        <v>31</v>
      </c>
      <c r="D292" s="176">
        <v>481</v>
      </c>
      <c r="E292" s="151">
        <v>44776</v>
      </c>
      <c r="F292" s="176">
        <v>481</v>
      </c>
      <c r="G292" s="177">
        <f>Tabla19[[#This Row],[Importe]]-Tabla19[[#This Row],[Pagado]]</f>
        <v>0</v>
      </c>
      <c r="H292" s="75" t="s">
        <v>10</v>
      </c>
    </row>
    <row r="293" spans="1:8" x14ac:dyDescent="0.25">
      <c r="A293" s="148">
        <v>44776</v>
      </c>
      <c r="B293" s="149" t="s">
        <v>24939</v>
      </c>
      <c r="C293" s="153" t="s">
        <v>196</v>
      </c>
      <c r="D293" s="178">
        <v>22321.599999999999</v>
      </c>
      <c r="E293" s="155">
        <v>44778</v>
      </c>
      <c r="F293" s="178">
        <v>22321.599999999999</v>
      </c>
      <c r="G293" s="179">
        <f>Tabla19[[#This Row],[Importe]]-Tabla19[[#This Row],[Pagado]]</f>
        <v>0</v>
      </c>
      <c r="H293" s="153" t="s">
        <v>10</v>
      </c>
    </row>
    <row r="294" spans="1:8" x14ac:dyDescent="0.25">
      <c r="A294" s="73">
        <v>44776</v>
      </c>
      <c r="B294" s="74" t="s">
        <v>24940</v>
      </c>
      <c r="C294" s="75" t="s">
        <v>31</v>
      </c>
      <c r="D294" s="176">
        <v>1806</v>
      </c>
      <c r="E294" s="151">
        <v>44776</v>
      </c>
      <c r="F294" s="176">
        <v>1806</v>
      </c>
      <c r="G294" s="177">
        <f>Tabla19[[#This Row],[Importe]]-Tabla19[[#This Row],[Pagado]]</f>
        <v>0</v>
      </c>
      <c r="H294" s="75" t="s">
        <v>10</v>
      </c>
    </row>
    <row r="295" spans="1:8" x14ac:dyDescent="0.25">
      <c r="A295" s="148">
        <v>44776</v>
      </c>
      <c r="B295" s="149" t="s">
        <v>24941</v>
      </c>
      <c r="C295" s="153" t="s">
        <v>610</v>
      </c>
      <c r="D295" s="178">
        <v>23088.799999999999</v>
      </c>
      <c r="E295" s="155">
        <v>44776</v>
      </c>
      <c r="F295" s="178">
        <v>23088.799999999999</v>
      </c>
      <c r="G295" s="179">
        <f>Tabla19[[#This Row],[Importe]]-Tabla19[[#This Row],[Pagado]]</f>
        <v>0</v>
      </c>
      <c r="H295" s="153" t="s">
        <v>10</v>
      </c>
    </row>
    <row r="296" spans="1:8" x14ac:dyDescent="0.25">
      <c r="A296" s="73">
        <v>44776</v>
      </c>
      <c r="B296" s="74" t="s">
        <v>24942</v>
      </c>
      <c r="C296" s="75" t="s">
        <v>10190</v>
      </c>
      <c r="D296" s="176">
        <v>19342.8</v>
      </c>
      <c r="E296" s="151">
        <v>44777</v>
      </c>
      <c r="F296" s="176">
        <v>19342.8</v>
      </c>
      <c r="G296" s="177">
        <f>Tabla19[[#This Row],[Importe]]-Tabla19[[#This Row],[Pagado]]</f>
        <v>0</v>
      </c>
      <c r="H296" s="75" t="s">
        <v>10</v>
      </c>
    </row>
    <row r="297" spans="1:8" x14ac:dyDescent="0.25">
      <c r="A297" s="148">
        <v>44777</v>
      </c>
      <c r="B297" s="149" t="s">
        <v>24943</v>
      </c>
      <c r="C297" s="153" t="s">
        <v>887</v>
      </c>
      <c r="D297" s="178">
        <v>17483.400000000001</v>
      </c>
      <c r="E297" s="155">
        <v>44777</v>
      </c>
      <c r="F297" s="178">
        <v>17483.400000000001</v>
      </c>
      <c r="G297" s="179">
        <f>Tabla19[[#This Row],[Importe]]-Tabla19[[#This Row],[Pagado]]</f>
        <v>0</v>
      </c>
      <c r="H297" s="153" t="s">
        <v>10</v>
      </c>
    </row>
    <row r="298" spans="1:8" x14ac:dyDescent="0.25">
      <c r="A298" s="73">
        <v>44777</v>
      </c>
      <c r="B298" s="74" t="s">
        <v>24944</v>
      </c>
      <c r="C298" s="75" t="s">
        <v>79</v>
      </c>
      <c r="D298" s="176">
        <v>19035.2</v>
      </c>
      <c r="E298" s="151">
        <v>44777</v>
      </c>
      <c r="F298" s="176">
        <v>19035.2</v>
      </c>
      <c r="G298" s="177">
        <f>Tabla19[[#This Row],[Importe]]-Tabla19[[#This Row],[Pagado]]</f>
        <v>0</v>
      </c>
      <c r="H298" s="75" t="s">
        <v>10</v>
      </c>
    </row>
    <row r="299" spans="1:8" ht="31.5" x14ac:dyDescent="0.25">
      <c r="A299" s="148">
        <v>44777</v>
      </c>
      <c r="B299" s="149" t="s">
        <v>24945</v>
      </c>
      <c r="C299" s="153" t="s">
        <v>475</v>
      </c>
      <c r="D299" s="178">
        <v>40629.599999999999</v>
      </c>
      <c r="E299" s="150" t="s">
        <v>24946</v>
      </c>
      <c r="F299" s="178">
        <f>35000+5629.6</f>
        <v>40629.599999999999</v>
      </c>
      <c r="G299" s="179">
        <f>Tabla19[[#This Row],[Importe]]-Tabla19[[#This Row],[Pagado]]</f>
        <v>0</v>
      </c>
      <c r="H299" s="153" t="s">
        <v>10</v>
      </c>
    </row>
    <row r="300" spans="1:8" x14ac:dyDescent="0.25">
      <c r="A300" s="73">
        <v>44777</v>
      </c>
      <c r="B300" s="74" t="s">
        <v>24947</v>
      </c>
      <c r="C300" s="75" t="s">
        <v>89</v>
      </c>
      <c r="D300" s="176">
        <v>16971.099999999999</v>
      </c>
      <c r="E300" s="151">
        <v>44778</v>
      </c>
      <c r="F300" s="176">
        <v>16971.099999999999</v>
      </c>
      <c r="G300" s="177">
        <f>Tabla19[[#This Row],[Importe]]-Tabla19[[#This Row],[Pagado]]</f>
        <v>0</v>
      </c>
      <c r="H300" s="75" t="s">
        <v>10</v>
      </c>
    </row>
    <row r="301" spans="1:8" x14ac:dyDescent="0.25">
      <c r="A301" s="148">
        <v>44777</v>
      </c>
      <c r="B301" s="149" t="s">
        <v>24948</v>
      </c>
      <c r="C301" s="153" t="s">
        <v>64</v>
      </c>
      <c r="D301" s="178">
        <v>5394</v>
      </c>
      <c r="E301" s="155">
        <v>44778</v>
      </c>
      <c r="F301" s="178">
        <v>5394</v>
      </c>
      <c r="G301" s="179">
        <f>Tabla19[[#This Row],[Importe]]-Tabla19[[#This Row],[Pagado]]</f>
        <v>0</v>
      </c>
      <c r="H301" s="153" t="s">
        <v>10</v>
      </c>
    </row>
    <row r="302" spans="1:8" x14ac:dyDescent="0.25">
      <c r="A302" s="73">
        <v>44777</v>
      </c>
      <c r="B302" s="74" t="s">
        <v>24949</v>
      </c>
      <c r="C302" s="75" t="s">
        <v>105</v>
      </c>
      <c r="D302" s="176">
        <v>8260.4</v>
      </c>
      <c r="E302" s="151">
        <v>44778</v>
      </c>
      <c r="F302" s="176">
        <v>8260.4</v>
      </c>
      <c r="G302" s="177">
        <f>Tabla19[[#This Row],[Importe]]-Tabla19[[#This Row],[Pagado]]</f>
        <v>0</v>
      </c>
      <c r="H302" s="75" t="s">
        <v>10</v>
      </c>
    </row>
    <row r="303" spans="1:8" x14ac:dyDescent="0.25">
      <c r="A303" s="148">
        <v>44777</v>
      </c>
      <c r="B303" s="149" t="s">
        <v>24950</v>
      </c>
      <c r="C303" s="153" t="s">
        <v>348</v>
      </c>
      <c r="D303" s="178">
        <v>4200.8999999999996</v>
      </c>
      <c r="E303" s="155">
        <v>44777</v>
      </c>
      <c r="F303" s="178">
        <v>4200.8999999999996</v>
      </c>
      <c r="G303" s="179">
        <f>Tabla19[[#This Row],[Importe]]-Tabla19[[#This Row],[Pagado]]</f>
        <v>0</v>
      </c>
      <c r="H303" s="153" t="s">
        <v>10</v>
      </c>
    </row>
    <row r="304" spans="1:8" x14ac:dyDescent="0.25">
      <c r="A304" s="73">
        <v>44777</v>
      </c>
      <c r="B304" s="74" t="s">
        <v>24951</v>
      </c>
      <c r="C304" s="75" t="s">
        <v>2151</v>
      </c>
      <c r="D304" s="176">
        <v>19592.599999999999</v>
      </c>
      <c r="E304" s="151">
        <v>44777</v>
      </c>
      <c r="F304" s="176">
        <v>19592.599999999999</v>
      </c>
      <c r="G304" s="177">
        <f>Tabla19[[#This Row],[Importe]]-Tabla19[[#This Row],[Pagado]]</f>
        <v>0</v>
      </c>
      <c r="H304" s="75" t="s">
        <v>10</v>
      </c>
    </row>
    <row r="305" spans="1:8" x14ac:dyDescent="0.25">
      <c r="A305" s="148">
        <v>44777</v>
      </c>
      <c r="B305" s="149" t="s">
        <v>24952</v>
      </c>
      <c r="C305" s="153" t="s">
        <v>18</v>
      </c>
      <c r="D305" s="178">
        <v>2142.8000000000002</v>
      </c>
      <c r="E305" s="155">
        <v>44777</v>
      </c>
      <c r="F305" s="178">
        <v>2142.8000000000002</v>
      </c>
      <c r="G305" s="179">
        <f>Tabla19[[#This Row],[Importe]]-Tabla19[[#This Row],[Pagado]]</f>
        <v>0</v>
      </c>
      <c r="H305" s="153" t="s">
        <v>10</v>
      </c>
    </row>
    <row r="306" spans="1:8" x14ac:dyDescent="0.25">
      <c r="A306" s="73">
        <v>44777</v>
      </c>
      <c r="B306" s="74" t="s">
        <v>24953</v>
      </c>
      <c r="C306" s="75" t="s">
        <v>99</v>
      </c>
      <c r="D306" s="176">
        <v>5593.6</v>
      </c>
      <c r="E306" s="151">
        <v>44779</v>
      </c>
      <c r="F306" s="176">
        <v>5593.6</v>
      </c>
      <c r="G306" s="177">
        <f>Tabla19[[#This Row],[Importe]]-Tabla19[[#This Row],[Pagado]]</f>
        <v>0</v>
      </c>
      <c r="H306" s="75" t="s">
        <v>10</v>
      </c>
    </row>
    <row r="307" spans="1:8" x14ac:dyDescent="0.25">
      <c r="A307" s="148">
        <v>44777</v>
      </c>
      <c r="B307" s="149" t="s">
        <v>24954</v>
      </c>
      <c r="C307" s="153" t="s">
        <v>97</v>
      </c>
      <c r="D307" s="178">
        <v>5405.4</v>
      </c>
      <c r="E307" s="155">
        <v>44778</v>
      </c>
      <c r="F307" s="178">
        <v>5405.4</v>
      </c>
      <c r="G307" s="179">
        <f>Tabla19[[#This Row],[Importe]]-Tabla19[[#This Row],[Pagado]]</f>
        <v>0</v>
      </c>
      <c r="H307" s="153" t="s">
        <v>10</v>
      </c>
    </row>
    <row r="308" spans="1:8" x14ac:dyDescent="0.25">
      <c r="A308" s="73">
        <v>44777</v>
      </c>
      <c r="B308" s="74" t="s">
        <v>24955</v>
      </c>
      <c r="C308" s="75" t="s">
        <v>618</v>
      </c>
      <c r="D308" s="176">
        <v>11452.4</v>
      </c>
      <c r="E308" s="151">
        <v>44777</v>
      </c>
      <c r="F308" s="176">
        <v>11452.4</v>
      </c>
      <c r="G308" s="177">
        <f>Tabla19[[#This Row],[Importe]]-Tabla19[[#This Row],[Pagado]]</f>
        <v>0</v>
      </c>
      <c r="H308" s="75" t="s">
        <v>10</v>
      </c>
    </row>
    <row r="309" spans="1:8" x14ac:dyDescent="0.25">
      <c r="A309" s="148">
        <v>44777</v>
      </c>
      <c r="B309" s="149" t="s">
        <v>24956</v>
      </c>
      <c r="C309" s="153" t="s">
        <v>83</v>
      </c>
      <c r="D309" s="178">
        <v>12392</v>
      </c>
      <c r="E309" s="155">
        <v>44777</v>
      </c>
      <c r="F309" s="178">
        <v>12392</v>
      </c>
      <c r="G309" s="179">
        <f>Tabla19[[#This Row],[Importe]]-Tabla19[[#This Row],[Pagado]]</f>
        <v>0</v>
      </c>
      <c r="H309" s="153" t="s">
        <v>10</v>
      </c>
    </row>
    <row r="310" spans="1:8" x14ac:dyDescent="0.25">
      <c r="A310" s="73">
        <v>44777</v>
      </c>
      <c r="B310" s="74" t="s">
        <v>24957</v>
      </c>
      <c r="C310" s="75" t="s">
        <v>450</v>
      </c>
      <c r="D310" s="176">
        <v>8152.8</v>
      </c>
      <c r="E310" s="151">
        <v>44777</v>
      </c>
      <c r="F310" s="176">
        <v>8152.8</v>
      </c>
      <c r="G310" s="177">
        <f>Tabla19[[#This Row],[Importe]]-Tabla19[[#This Row],[Pagado]]</f>
        <v>0</v>
      </c>
      <c r="H310" s="75" t="s">
        <v>10</v>
      </c>
    </row>
    <row r="311" spans="1:8" x14ac:dyDescent="0.25">
      <c r="A311" s="148">
        <v>44777</v>
      </c>
      <c r="B311" s="149" t="s">
        <v>24958</v>
      </c>
      <c r="C311" s="153" t="s">
        <v>75</v>
      </c>
      <c r="D311" s="178">
        <v>8778.2999999999993</v>
      </c>
      <c r="E311" s="155">
        <v>44777</v>
      </c>
      <c r="F311" s="178">
        <v>8778.2999999999993</v>
      </c>
      <c r="G311" s="179">
        <f>Tabla19[[#This Row],[Importe]]-Tabla19[[#This Row],[Pagado]]</f>
        <v>0</v>
      </c>
      <c r="H311" s="153" t="s">
        <v>10</v>
      </c>
    </row>
    <row r="312" spans="1:8" ht="31.5" x14ac:dyDescent="0.25">
      <c r="A312" s="73">
        <v>44777</v>
      </c>
      <c r="B312" s="74" t="s">
        <v>24959</v>
      </c>
      <c r="C312" s="75" t="s">
        <v>275</v>
      </c>
      <c r="D312" s="176">
        <v>192819.05</v>
      </c>
      <c r="E312" s="147" t="s">
        <v>24960</v>
      </c>
      <c r="F312" s="176">
        <f>52298.57+140520.48</f>
        <v>192819.05000000002</v>
      </c>
      <c r="G312" s="177">
        <f>Tabla19[[#This Row],[Importe]]-Tabla19[[#This Row],[Pagado]]</f>
        <v>0</v>
      </c>
      <c r="H312" s="75" t="s">
        <v>10</v>
      </c>
    </row>
    <row r="313" spans="1:8" x14ac:dyDescent="0.25">
      <c r="A313" s="148">
        <v>44777</v>
      </c>
      <c r="B313" s="149" t="s">
        <v>24961</v>
      </c>
      <c r="C313" s="153" t="s">
        <v>87</v>
      </c>
      <c r="D313" s="178">
        <v>4463</v>
      </c>
      <c r="E313" s="155">
        <v>44777</v>
      </c>
      <c r="F313" s="178">
        <v>4463</v>
      </c>
      <c r="G313" s="179">
        <f>Tabla19[[#This Row],[Importe]]-Tabla19[[#This Row],[Pagado]]</f>
        <v>0</v>
      </c>
      <c r="H313" s="153" t="s">
        <v>10</v>
      </c>
    </row>
    <row r="314" spans="1:8" x14ac:dyDescent="0.25">
      <c r="A314" s="73">
        <v>44777</v>
      </c>
      <c r="B314" s="74" t="s">
        <v>24962</v>
      </c>
      <c r="C314" s="75" t="s">
        <v>473</v>
      </c>
      <c r="D314" s="176">
        <v>7609.4</v>
      </c>
      <c r="E314" s="151">
        <v>44777</v>
      </c>
      <c r="F314" s="176">
        <v>7609.4</v>
      </c>
      <c r="G314" s="177">
        <f>Tabla19[[#This Row],[Importe]]-Tabla19[[#This Row],[Pagado]]</f>
        <v>0</v>
      </c>
      <c r="H314" s="75" t="s">
        <v>10</v>
      </c>
    </row>
    <row r="315" spans="1:8" x14ac:dyDescent="0.25">
      <c r="A315" s="148">
        <v>44777</v>
      </c>
      <c r="B315" s="149" t="s">
        <v>24963</v>
      </c>
      <c r="C315" s="153" t="s">
        <v>24964</v>
      </c>
      <c r="D315" s="178">
        <v>0</v>
      </c>
      <c r="E315" s="158" t="s">
        <v>189</v>
      </c>
      <c r="F315" s="178">
        <v>0</v>
      </c>
      <c r="G315" s="179">
        <f>Tabla19[[#This Row],[Importe]]-Tabla19[[#This Row],[Pagado]]</f>
        <v>0</v>
      </c>
      <c r="H315" s="159" t="s">
        <v>24965</v>
      </c>
    </row>
    <row r="316" spans="1:8" x14ac:dyDescent="0.25">
      <c r="A316" s="73">
        <v>44777</v>
      </c>
      <c r="B316" s="74" t="s">
        <v>24966</v>
      </c>
      <c r="C316" s="75" t="s">
        <v>9</v>
      </c>
      <c r="D316" s="176">
        <v>8709.9</v>
      </c>
      <c r="E316" s="151">
        <v>44777</v>
      </c>
      <c r="F316" s="176">
        <v>8709.9</v>
      </c>
      <c r="G316" s="177">
        <f>Tabla19[[#This Row],[Importe]]-Tabla19[[#This Row],[Pagado]]</f>
        <v>0</v>
      </c>
      <c r="H316" s="75" t="s">
        <v>10</v>
      </c>
    </row>
    <row r="317" spans="1:8" x14ac:dyDescent="0.25">
      <c r="A317" s="148">
        <v>44777</v>
      </c>
      <c r="B317" s="149" t="s">
        <v>24967</v>
      </c>
      <c r="C317" s="153" t="s">
        <v>275</v>
      </c>
      <c r="D317" s="178">
        <v>5132.3999999999996</v>
      </c>
      <c r="E317" s="155">
        <v>44799</v>
      </c>
      <c r="F317" s="178">
        <v>5132.3999999999996</v>
      </c>
      <c r="G317" s="179">
        <f>Tabla19[[#This Row],[Importe]]-Tabla19[[#This Row],[Pagado]]</f>
        <v>0</v>
      </c>
      <c r="H317" s="153" t="s">
        <v>10</v>
      </c>
    </row>
    <row r="318" spans="1:8" x14ac:dyDescent="0.25">
      <c r="A318" s="73">
        <v>44777</v>
      </c>
      <c r="B318" s="74" t="s">
        <v>24968</v>
      </c>
      <c r="C318" s="75" t="s">
        <v>966</v>
      </c>
      <c r="D318" s="176">
        <v>4730.2</v>
      </c>
      <c r="E318" s="151">
        <v>44777</v>
      </c>
      <c r="F318" s="176">
        <v>4730.2</v>
      </c>
      <c r="G318" s="177">
        <f>Tabla19[[#This Row],[Importe]]-Tabla19[[#This Row],[Pagado]]</f>
        <v>0</v>
      </c>
      <c r="H318" s="75" t="s">
        <v>10</v>
      </c>
    </row>
    <row r="319" spans="1:8" x14ac:dyDescent="0.25">
      <c r="A319" s="148">
        <v>44777</v>
      </c>
      <c r="B319" s="149" t="s">
        <v>24969</v>
      </c>
      <c r="C319" s="153" t="s">
        <v>319</v>
      </c>
      <c r="D319" s="178">
        <v>13120.5</v>
      </c>
      <c r="E319" s="155">
        <v>44777</v>
      </c>
      <c r="F319" s="178">
        <v>13120.5</v>
      </c>
      <c r="G319" s="179">
        <f>Tabla19[[#This Row],[Importe]]-Tabla19[[#This Row],[Pagado]]</f>
        <v>0</v>
      </c>
      <c r="H319" s="153" t="s">
        <v>10</v>
      </c>
    </row>
    <row r="320" spans="1:8" x14ac:dyDescent="0.25">
      <c r="A320" s="73">
        <v>44777</v>
      </c>
      <c r="B320" s="74" t="s">
        <v>24970</v>
      </c>
      <c r="C320" s="75" t="s">
        <v>49</v>
      </c>
      <c r="D320" s="176">
        <v>3842</v>
      </c>
      <c r="E320" s="151">
        <v>44777</v>
      </c>
      <c r="F320" s="176">
        <v>3842</v>
      </c>
      <c r="G320" s="177">
        <f>Tabla19[[#This Row],[Importe]]-Tabla19[[#This Row],[Pagado]]</f>
        <v>0</v>
      </c>
      <c r="H320" s="75" t="s">
        <v>10</v>
      </c>
    </row>
    <row r="321" spans="1:8" x14ac:dyDescent="0.25">
      <c r="A321" s="148">
        <v>44777</v>
      </c>
      <c r="B321" s="149" t="s">
        <v>24971</v>
      </c>
      <c r="C321" s="153" t="s">
        <v>22</v>
      </c>
      <c r="D321" s="178">
        <v>44881.9</v>
      </c>
      <c r="E321" s="155">
        <v>44778</v>
      </c>
      <c r="F321" s="178">
        <f>42000+2881.9</f>
        <v>44881.9</v>
      </c>
      <c r="G321" s="179">
        <f>Tabla19[[#This Row],[Importe]]-Tabla19[[#This Row],[Pagado]]</f>
        <v>0</v>
      </c>
      <c r="H321" s="153" t="s">
        <v>10</v>
      </c>
    </row>
    <row r="322" spans="1:8" x14ac:dyDescent="0.25">
      <c r="A322" s="73">
        <v>44777</v>
      </c>
      <c r="B322" s="74" t="s">
        <v>24972</v>
      </c>
      <c r="C322" s="75" t="s">
        <v>131</v>
      </c>
      <c r="D322" s="176">
        <v>2314</v>
      </c>
      <c r="E322" s="151">
        <v>44777</v>
      </c>
      <c r="F322" s="176">
        <v>2314</v>
      </c>
      <c r="G322" s="177">
        <f>Tabla19[[#This Row],[Importe]]-Tabla19[[#This Row],[Pagado]]</f>
        <v>0</v>
      </c>
      <c r="H322" s="75" t="s">
        <v>10</v>
      </c>
    </row>
    <row r="323" spans="1:8" x14ac:dyDescent="0.25">
      <c r="A323" s="148">
        <v>44777</v>
      </c>
      <c r="B323" s="149" t="s">
        <v>24973</v>
      </c>
      <c r="C323" s="153" t="s">
        <v>518</v>
      </c>
      <c r="D323" s="178">
        <v>1600.8</v>
      </c>
      <c r="E323" s="155">
        <v>44777</v>
      </c>
      <c r="F323" s="178">
        <v>1600.8</v>
      </c>
      <c r="G323" s="179">
        <f>Tabla19[[#This Row],[Importe]]-Tabla19[[#This Row],[Pagado]]</f>
        <v>0</v>
      </c>
      <c r="H323" s="153" t="s">
        <v>10</v>
      </c>
    </row>
    <row r="324" spans="1:8" x14ac:dyDescent="0.25">
      <c r="A324" s="73">
        <v>44777</v>
      </c>
      <c r="B324" s="74" t="s">
        <v>24974</v>
      </c>
      <c r="C324" s="75" t="s">
        <v>135</v>
      </c>
      <c r="D324" s="176">
        <v>1950</v>
      </c>
      <c r="E324" s="151">
        <v>44777</v>
      </c>
      <c r="F324" s="176">
        <v>1950</v>
      </c>
      <c r="G324" s="177">
        <f>Tabla19[[#This Row],[Importe]]-Tabla19[[#This Row],[Pagado]]</f>
        <v>0</v>
      </c>
      <c r="H324" s="75" t="s">
        <v>10</v>
      </c>
    </row>
    <row r="325" spans="1:8" x14ac:dyDescent="0.25">
      <c r="A325" s="148">
        <v>44777</v>
      </c>
      <c r="B325" s="149" t="s">
        <v>24975</v>
      </c>
      <c r="C325" s="153" t="s">
        <v>11033</v>
      </c>
      <c r="D325" s="178">
        <v>1975</v>
      </c>
      <c r="E325" s="155">
        <v>44777</v>
      </c>
      <c r="F325" s="178">
        <v>1975</v>
      </c>
      <c r="G325" s="179">
        <f>Tabla19[[#This Row],[Importe]]-Tabla19[[#This Row],[Pagado]]</f>
        <v>0</v>
      </c>
      <c r="H325" s="153" t="s">
        <v>10</v>
      </c>
    </row>
    <row r="326" spans="1:8" x14ac:dyDescent="0.25">
      <c r="A326" s="73">
        <v>44777</v>
      </c>
      <c r="B326" s="74" t="s">
        <v>24976</v>
      </c>
      <c r="C326" s="75" t="s">
        <v>157</v>
      </c>
      <c r="D326" s="176">
        <v>7415.3</v>
      </c>
      <c r="E326" s="151">
        <v>44777</v>
      </c>
      <c r="F326" s="176">
        <v>7415.3</v>
      </c>
      <c r="G326" s="177">
        <f>Tabla19[[#This Row],[Importe]]-Tabla19[[#This Row],[Pagado]]</f>
        <v>0</v>
      </c>
      <c r="H326" s="75" t="s">
        <v>10</v>
      </c>
    </row>
    <row r="327" spans="1:8" x14ac:dyDescent="0.25">
      <c r="A327" s="148">
        <v>44777</v>
      </c>
      <c r="B327" s="149" t="s">
        <v>24977</v>
      </c>
      <c r="C327" s="153" t="s">
        <v>161</v>
      </c>
      <c r="D327" s="178">
        <v>4204.2</v>
      </c>
      <c r="E327" s="155">
        <v>44777</v>
      </c>
      <c r="F327" s="178">
        <v>4204.2</v>
      </c>
      <c r="G327" s="179">
        <f>Tabla19[[#This Row],[Importe]]-Tabla19[[#This Row],[Pagado]]</f>
        <v>0</v>
      </c>
      <c r="H327" s="153" t="s">
        <v>10</v>
      </c>
    </row>
    <row r="328" spans="1:8" x14ac:dyDescent="0.25">
      <c r="A328" s="73">
        <v>44777</v>
      </c>
      <c r="B328" s="74" t="s">
        <v>24978</v>
      </c>
      <c r="C328" s="75" t="s">
        <v>380</v>
      </c>
      <c r="D328" s="176">
        <v>5427.1</v>
      </c>
      <c r="E328" s="151">
        <v>44777</v>
      </c>
      <c r="F328" s="176">
        <v>5427.1</v>
      </c>
      <c r="G328" s="177">
        <f>Tabla19[[#This Row],[Importe]]-Tabla19[[#This Row],[Pagado]]</f>
        <v>0</v>
      </c>
      <c r="H328" s="75" t="s">
        <v>10</v>
      </c>
    </row>
    <row r="329" spans="1:8" x14ac:dyDescent="0.25">
      <c r="A329" s="148">
        <v>44777</v>
      </c>
      <c r="B329" s="149" t="s">
        <v>24979</v>
      </c>
      <c r="C329" s="153" t="s">
        <v>45</v>
      </c>
      <c r="D329" s="178">
        <v>17300.8</v>
      </c>
      <c r="E329" s="155">
        <v>44777</v>
      </c>
      <c r="F329" s="178">
        <v>17300.8</v>
      </c>
      <c r="G329" s="179">
        <f>Tabla19[[#This Row],[Importe]]-Tabla19[[#This Row],[Pagado]]</f>
        <v>0</v>
      </c>
      <c r="H329" s="153" t="s">
        <v>10</v>
      </c>
    </row>
    <row r="330" spans="1:8" x14ac:dyDescent="0.25">
      <c r="A330" s="73">
        <v>44777</v>
      </c>
      <c r="B330" s="74" t="s">
        <v>24980</v>
      </c>
      <c r="C330" s="75" t="s">
        <v>647</v>
      </c>
      <c r="D330" s="176">
        <v>8870.6</v>
      </c>
      <c r="E330" s="151">
        <v>44777</v>
      </c>
      <c r="F330" s="176">
        <f>4500+4370.6</f>
        <v>8870.6</v>
      </c>
      <c r="G330" s="177">
        <f>Tabla19[[#This Row],[Importe]]-Tabla19[[#This Row],[Pagado]]</f>
        <v>0</v>
      </c>
      <c r="H330" s="75" t="s">
        <v>10</v>
      </c>
    </row>
    <row r="331" spans="1:8" x14ac:dyDescent="0.25">
      <c r="A331" s="148">
        <v>44777</v>
      </c>
      <c r="B331" s="149" t="s">
        <v>24981</v>
      </c>
      <c r="C331" s="153" t="s">
        <v>562</v>
      </c>
      <c r="D331" s="178">
        <v>4023</v>
      </c>
      <c r="E331" s="155">
        <v>44777</v>
      </c>
      <c r="F331" s="178">
        <v>4023</v>
      </c>
      <c r="G331" s="179">
        <f>Tabla19[[#This Row],[Importe]]-Tabla19[[#This Row],[Pagado]]</f>
        <v>0</v>
      </c>
      <c r="H331" s="153" t="s">
        <v>10</v>
      </c>
    </row>
    <row r="332" spans="1:8" x14ac:dyDescent="0.25">
      <c r="A332" s="73">
        <v>44777</v>
      </c>
      <c r="B332" s="74" t="s">
        <v>24982</v>
      </c>
      <c r="C332" s="75" t="s">
        <v>196</v>
      </c>
      <c r="D332" s="176">
        <v>94909.4</v>
      </c>
      <c r="E332" s="151">
        <v>44778</v>
      </c>
      <c r="F332" s="176">
        <v>94909.4</v>
      </c>
      <c r="G332" s="177">
        <f>Tabla19[[#This Row],[Importe]]-Tabla19[[#This Row],[Pagado]]</f>
        <v>0</v>
      </c>
      <c r="H332" s="75" t="s">
        <v>10</v>
      </c>
    </row>
    <row r="333" spans="1:8" x14ac:dyDescent="0.25">
      <c r="A333" s="148">
        <v>44777</v>
      </c>
      <c r="B333" s="149" t="s">
        <v>24983</v>
      </c>
      <c r="C333" s="153" t="s">
        <v>1505</v>
      </c>
      <c r="D333" s="178">
        <v>4468.2</v>
      </c>
      <c r="E333" s="155">
        <v>44777</v>
      </c>
      <c r="F333" s="178">
        <v>4468.2</v>
      </c>
      <c r="G333" s="179">
        <f>Tabla19[[#This Row],[Importe]]-Tabla19[[#This Row],[Pagado]]</f>
        <v>0</v>
      </c>
      <c r="H333" s="153" t="s">
        <v>10</v>
      </c>
    </row>
    <row r="334" spans="1:8" x14ac:dyDescent="0.25">
      <c r="A334" s="73">
        <v>44777</v>
      </c>
      <c r="B334" s="74" t="s">
        <v>24984</v>
      </c>
      <c r="C334" s="75" t="s">
        <v>167</v>
      </c>
      <c r="D334" s="176">
        <v>63355.6</v>
      </c>
      <c r="E334" s="151">
        <v>44777</v>
      </c>
      <c r="F334" s="176">
        <v>63355.6</v>
      </c>
      <c r="G334" s="177">
        <f>Tabla19[[#This Row],[Importe]]-Tabla19[[#This Row],[Pagado]]</f>
        <v>0</v>
      </c>
      <c r="H334" s="75" t="s">
        <v>10</v>
      </c>
    </row>
    <row r="335" spans="1:8" x14ac:dyDescent="0.25">
      <c r="A335" s="148">
        <v>44777</v>
      </c>
      <c r="B335" s="149" t="s">
        <v>24985</v>
      </c>
      <c r="C335" s="153" t="s">
        <v>140</v>
      </c>
      <c r="D335" s="178">
        <v>396</v>
      </c>
      <c r="E335" s="155">
        <v>44777</v>
      </c>
      <c r="F335" s="178">
        <v>396</v>
      </c>
      <c r="G335" s="179">
        <f>Tabla19[[#This Row],[Importe]]-Tabla19[[#This Row],[Pagado]]</f>
        <v>0</v>
      </c>
      <c r="H335" s="153" t="s">
        <v>10</v>
      </c>
    </row>
    <row r="336" spans="1:8" x14ac:dyDescent="0.25">
      <c r="A336" s="73">
        <v>44777</v>
      </c>
      <c r="B336" s="74" t="s">
        <v>24986</v>
      </c>
      <c r="C336" s="75" t="s">
        <v>127</v>
      </c>
      <c r="D336" s="176">
        <v>2376</v>
      </c>
      <c r="E336" s="151">
        <v>44777</v>
      </c>
      <c r="F336" s="176">
        <v>2376</v>
      </c>
      <c r="G336" s="177">
        <f>Tabla19[[#This Row],[Importe]]-Tabla19[[#This Row],[Pagado]]</f>
        <v>0</v>
      </c>
      <c r="H336" s="75" t="s">
        <v>10</v>
      </c>
    </row>
    <row r="337" spans="1:8" x14ac:dyDescent="0.25">
      <c r="A337" s="148">
        <v>44777</v>
      </c>
      <c r="B337" s="149" t="s">
        <v>24987</v>
      </c>
      <c r="C337" s="153" t="s">
        <v>129</v>
      </c>
      <c r="D337" s="178">
        <v>2235.1999999999998</v>
      </c>
      <c r="E337" s="155">
        <v>44777</v>
      </c>
      <c r="F337" s="178">
        <v>2235.1999999999998</v>
      </c>
      <c r="G337" s="179">
        <f>Tabla19[[#This Row],[Importe]]-Tabla19[[#This Row],[Pagado]]</f>
        <v>0</v>
      </c>
      <c r="H337" s="153" t="s">
        <v>10</v>
      </c>
    </row>
    <row r="338" spans="1:8" x14ac:dyDescent="0.25">
      <c r="A338" s="73">
        <v>44777</v>
      </c>
      <c r="B338" s="74" t="s">
        <v>24988</v>
      </c>
      <c r="C338" s="75" t="s">
        <v>53</v>
      </c>
      <c r="D338" s="176">
        <v>2162.1999999999998</v>
      </c>
      <c r="E338" s="151">
        <v>44777</v>
      </c>
      <c r="F338" s="176">
        <v>2162.1999999999998</v>
      </c>
      <c r="G338" s="177">
        <f>Tabla19[[#This Row],[Importe]]-Tabla19[[#This Row],[Pagado]]</f>
        <v>0</v>
      </c>
      <c r="H338" s="75" t="s">
        <v>10</v>
      </c>
    </row>
    <row r="339" spans="1:8" x14ac:dyDescent="0.25">
      <c r="A339" s="148">
        <v>44777</v>
      </c>
      <c r="B339" s="149" t="s">
        <v>24989</v>
      </c>
      <c r="C339" s="153" t="s">
        <v>29</v>
      </c>
      <c r="D339" s="178">
        <v>4750.2</v>
      </c>
      <c r="E339" s="155">
        <v>44777</v>
      </c>
      <c r="F339" s="178">
        <v>4750.2</v>
      </c>
      <c r="G339" s="179">
        <f>Tabla19[[#This Row],[Importe]]-Tabla19[[#This Row],[Pagado]]</f>
        <v>0</v>
      </c>
      <c r="H339" s="153" t="s">
        <v>10</v>
      </c>
    </row>
    <row r="340" spans="1:8" x14ac:dyDescent="0.25">
      <c r="A340" s="73">
        <v>44777</v>
      </c>
      <c r="B340" s="74" t="s">
        <v>24990</v>
      </c>
      <c r="C340" s="75" t="s">
        <v>1362</v>
      </c>
      <c r="D340" s="176">
        <v>6394.5</v>
      </c>
      <c r="E340" s="151">
        <v>44777</v>
      </c>
      <c r="F340" s="176">
        <v>6394.5</v>
      </c>
      <c r="G340" s="177">
        <f>Tabla19[[#This Row],[Importe]]-Tabla19[[#This Row],[Pagado]]</f>
        <v>0</v>
      </c>
      <c r="H340" s="75" t="s">
        <v>10</v>
      </c>
    </row>
    <row r="341" spans="1:8" x14ac:dyDescent="0.25">
      <c r="A341" s="148">
        <v>44777</v>
      </c>
      <c r="B341" s="149" t="s">
        <v>24991</v>
      </c>
      <c r="C341" s="153" t="s">
        <v>224</v>
      </c>
      <c r="D341" s="178">
        <v>582.79999999999995</v>
      </c>
      <c r="E341" s="155">
        <v>44777</v>
      </c>
      <c r="F341" s="178">
        <v>582.79999999999995</v>
      </c>
      <c r="G341" s="179">
        <f>Tabla19[[#This Row],[Importe]]-Tabla19[[#This Row],[Pagado]]</f>
        <v>0</v>
      </c>
      <c r="H341" s="153" t="s">
        <v>10</v>
      </c>
    </row>
    <row r="342" spans="1:8" x14ac:dyDescent="0.25">
      <c r="A342" s="73">
        <v>44777</v>
      </c>
      <c r="B342" s="74" t="s">
        <v>24992</v>
      </c>
      <c r="C342" s="75" t="s">
        <v>31</v>
      </c>
      <c r="D342" s="176">
        <v>696</v>
      </c>
      <c r="E342" s="151">
        <v>44777</v>
      </c>
      <c r="F342" s="176">
        <v>696</v>
      </c>
      <c r="G342" s="177">
        <f>Tabla19[[#This Row],[Importe]]-Tabla19[[#This Row],[Pagado]]</f>
        <v>0</v>
      </c>
      <c r="H342" s="75" t="s">
        <v>10</v>
      </c>
    </row>
    <row r="343" spans="1:8" x14ac:dyDescent="0.25">
      <c r="A343" s="148">
        <v>44777</v>
      </c>
      <c r="B343" s="149" t="s">
        <v>24993</v>
      </c>
      <c r="C343" s="153" t="s">
        <v>1481</v>
      </c>
      <c r="D343" s="178">
        <v>552</v>
      </c>
      <c r="E343" s="155">
        <v>44777</v>
      </c>
      <c r="F343" s="178">
        <v>552</v>
      </c>
      <c r="G343" s="179">
        <f>Tabla19[[#This Row],[Importe]]-Tabla19[[#This Row],[Pagado]]</f>
        <v>0</v>
      </c>
      <c r="H343" s="153" t="s">
        <v>10</v>
      </c>
    </row>
    <row r="344" spans="1:8" x14ac:dyDescent="0.25">
      <c r="A344" s="73">
        <v>44777</v>
      </c>
      <c r="B344" s="74" t="s">
        <v>24994</v>
      </c>
      <c r="C344" s="75" t="s">
        <v>181</v>
      </c>
      <c r="D344" s="176">
        <v>7392</v>
      </c>
      <c r="E344" s="151">
        <v>44777</v>
      </c>
      <c r="F344" s="176">
        <v>7392</v>
      </c>
      <c r="G344" s="177">
        <f>Tabla19[[#This Row],[Importe]]-Tabla19[[#This Row],[Pagado]]</f>
        <v>0</v>
      </c>
      <c r="H344" s="75" t="s">
        <v>10</v>
      </c>
    </row>
    <row r="345" spans="1:8" x14ac:dyDescent="0.25">
      <c r="A345" s="148">
        <v>44777</v>
      </c>
      <c r="B345" s="149" t="s">
        <v>24995</v>
      </c>
      <c r="C345" s="153" t="s">
        <v>107</v>
      </c>
      <c r="D345" s="178">
        <v>16911.7</v>
      </c>
      <c r="E345" s="155">
        <v>44777</v>
      </c>
      <c r="F345" s="178">
        <v>16911.7</v>
      </c>
      <c r="G345" s="179">
        <f>Tabla19[[#This Row],[Importe]]-Tabla19[[#This Row],[Pagado]]</f>
        <v>0</v>
      </c>
      <c r="H345" s="153" t="s">
        <v>10</v>
      </c>
    </row>
    <row r="346" spans="1:8" x14ac:dyDescent="0.25">
      <c r="A346" s="73">
        <v>44777</v>
      </c>
      <c r="B346" s="74" t="s">
        <v>24996</v>
      </c>
      <c r="C346" s="75" t="s">
        <v>62</v>
      </c>
      <c r="D346" s="176">
        <v>4461.6000000000004</v>
      </c>
      <c r="E346" s="151">
        <v>44777</v>
      </c>
      <c r="F346" s="176">
        <v>4461.6000000000004</v>
      </c>
      <c r="G346" s="177">
        <f>Tabla19[[#This Row],[Importe]]-Tabla19[[#This Row],[Pagado]]</f>
        <v>0</v>
      </c>
      <c r="H346" s="75" t="s">
        <v>10</v>
      </c>
    </row>
    <row r="347" spans="1:8" x14ac:dyDescent="0.25">
      <c r="A347" s="148">
        <v>44777</v>
      </c>
      <c r="B347" s="149" t="s">
        <v>24997</v>
      </c>
      <c r="C347" s="153" t="s">
        <v>200</v>
      </c>
      <c r="D347" s="178">
        <v>1226.7</v>
      </c>
      <c r="E347" s="155">
        <v>44777</v>
      </c>
      <c r="F347" s="178">
        <v>1226.7</v>
      </c>
      <c r="G347" s="179">
        <f>Tabla19[[#This Row],[Importe]]-Tabla19[[#This Row],[Pagado]]</f>
        <v>0</v>
      </c>
      <c r="H347" s="153" t="s">
        <v>10</v>
      </c>
    </row>
    <row r="348" spans="1:8" x14ac:dyDescent="0.25">
      <c r="A348" s="73">
        <v>44777</v>
      </c>
      <c r="B348" s="74" t="s">
        <v>24998</v>
      </c>
      <c r="C348" s="75" t="s">
        <v>2020</v>
      </c>
      <c r="D348" s="176">
        <v>11700</v>
      </c>
      <c r="E348" s="151">
        <v>44777</v>
      </c>
      <c r="F348" s="176">
        <v>11700</v>
      </c>
      <c r="G348" s="177">
        <f>Tabla19[[#This Row],[Importe]]-Tabla19[[#This Row],[Pagado]]</f>
        <v>0</v>
      </c>
      <c r="H348" s="75" t="s">
        <v>10</v>
      </c>
    </row>
    <row r="349" spans="1:8" x14ac:dyDescent="0.25">
      <c r="A349" s="148">
        <v>44777</v>
      </c>
      <c r="B349" s="149" t="s">
        <v>24999</v>
      </c>
      <c r="C349" s="153" t="s">
        <v>62</v>
      </c>
      <c r="D349" s="178">
        <v>704</v>
      </c>
      <c r="E349" s="155">
        <v>44777</v>
      </c>
      <c r="F349" s="178">
        <v>704</v>
      </c>
      <c r="G349" s="179">
        <f>Tabla19[[#This Row],[Importe]]-Tabla19[[#This Row],[Pagado]]</f>
        <v>0</v>
      </c>
      <c r="H349" s="153" t="s">
        <v>10</v>
      </c>
    </row>
    <row r="350" spans="1:8" x14ac:dyDescent="0.25">
      <c r="A350" s="73">
        <v>44777</v>
      </c>
      <c r="B350" s="74" t="s">
        <v>25000</v>
      </c>
      <c r="C350" s="75" t="s">
        <v>144</v>
      </c>
      <c r="D350" s="176">
        <v>3977.04</v>
      </c>
      <c r="E350" s="155">
        <v>44777</v>
      </c>
      <c r="F350" s="176">
        <v>3977.04</v>
      </c>
      <c r="G350" s="177">
        <f>Tabla19[[#This Row],[Importe]]-Tabla19[[#This Row],[Pagado]]</f>
        <v>0</v>
      </c>
      <c r="H350" s="75" t="s">
        <v>10</v>
      </c>
    </row>
    <row r="351" spans="1:8" x14ac:dyDescent="0.25">
      <c r="A351" s="148">
        <v>44777</v>
      </c>
      <c r="B351" s="149" t="s">
        <v>25001</v>
      </c>
      <c r="C351" s="153" t="s">
        <v>1003</v>
      </c>
      <c r="D351" s="178">
        <v>7526</v>
      </c>
      <c r="E351" s="155">
        <v>44778</v>
      </c>
      <c r="F351" s="178">
        <v>7526</v>
      </c>
      <c r="G351" s="179">
        <f>Tabla19[[#This Row],[Importe]]-Tabla19[[#This Row],[Pagado]]</f>
        <v>0</v>
      </c>
      <c r="H351" s="153" t="s">
        <v>10</v>
      </c>
    </row>
    <row r="352" spans="1:8" x14ac:dyDescent="0.25">
      <c r="A352" s="73">
        <v>44777</v>
      </c>
      <c r="B352" s="74" t="s">
        <v>25002</v>
      </c>
      <c r="C352" s="75" t="s">
        <v>20182</v>
      </c>
      <c r="D352" s="176">
        <v>0</v>
      </c>
      <c r="E352" s="157" t="s">
        <v>189</v>
      </c>
      <c r="F352" s="176">
        <v>0</v>
      </c>
      <c r="G352" s="177">
        <f>Tabla19[[#This Row],[Importe]]-Tabla19[[#This Row],[Pagado]]</f>
        <v>0</v>
      </c>
      <c r="H352" s="75" t="s">
        <v>189</v>
      </c>
    </row>
    <row r="353" spans="1:8" x14ac:dyDescent="0.25">
      <c r="A353" s="148">
        <v>44777</v>
      </c>
      <c r="B353" s="149" t="s">
        <v>25003</v>
      </c>
      <c r="C353" s="153" t="s">
        <v>10273</v>
      </c>
      <c r="D353" s="178">
        <v>88</v>
      </c>
      <c r="E353" s="155">
        <v>44793</v>
      </c>
      <c r="F353" s="178">
        <v>88</v>
      </c>
      <c r="G353" s="179">
        <f>Tabla19[[#This Row],[Importe]]-Tabla19[[#This Row],[Pagado]]</f>
        <v>0</v>
      </c>
      <c r="H353" s="153" t="s">
        <v>10</v>
      </c>
    </row>
    <row r="354" spans="1:8" x14ac:dyDescent="0.25">
      <c r="A354" s="73">
        <v>44777</v>
      </c>
      <c r="B354" s="74" t="s">
        <v>25004</v>
      </c>
      <c r="C354" s="75" t="s">
        <v>142</v>
      </c>
      <c r="D354" s="176">
        <v>100041.42</v>
      </c>
      <c r="E354" s="151">
        <v>44837</v>
      </c>
      <c r="F354" s="176">
        <v>100041.42</v>
      </c>
      <c r="G354" s="177">
        <f>Tabla19[[#This Row],[Importe]]-Tabla19[[#This Row],[Pagado]]</f>
        <v>0</v>
      </c>
      <c r="H354" s="75" t="s">
        <v>10</v>
      </c>
    </row>
    <row r="355" spans="1:8" x14ac:dyDescent="0.25">
      <c r="A355" s="148">
        <v>44777</v>
      </c>
      <c r="B355" s="149" t="s">
        <v>25005</v>
      </c>
      <c r="C355" s="153" t="s">
        <v>2020</v>
      </c>
      <c r="D355" s="178">
        <v>11999.91</v>
      </c>
      <c r="E355" s="155">
        <v>44777</v>
      </c>
      <c r="F355" s="178">
        <v>11999.91</v>
      </c>
      <c r="G355" s="179">
        <f>Tabla19[[#This Row],[Importe]]-Tabla19[[#This Row],[Pagado]]</f>
        <v>0</v>
      </c>
      <c r="H355" s="153" t="s">
        <v>10</v>
      </c>
    </row>
    <row r="356" spans="1:8" x14ac:dyDescent="0.25">
      <c r="A356" s="73">
        <v>44777</v>
      </c>
      <c r="B356" s="74" t="s">
        <v>25006</v>
      </c>
      <c r="C356" s="75" t="s">
        <v>25007</v>
      </c>
      <c r="D356" s="176">
        <v>0</v>
      </c>
      <c r="E356" s="157" t="s">
        <v>189</v>
      </c>
      <c r="F356" s="176">
        <v>0</v>
      </c>
      <c r="G356" s="177">
        <f>Tabla19[[#This Row],[Importe]]-Tabla19[[#This Row],[Pagado]]</f>
        <v>0</v>
      </c>
      <c r="H356" s="161" t="s">
        <v>25008</v>
      </c>
    </row>
    <row r="357" spans="1:8" x14ac:dyDescent="0.25">
      <c r="A357" s="148">
        <v>44777</v>
      </c>
      <c r="B357" s="149" t="s">
        <v>25009</v>
      </c>
      <c r="C357" s="153" t="s">
        <v>484</v>
      </c>
      <c r="D357" s="178">
        <v>4804.8</v>
      </c>
      <c r="E357" s="155">
        <v>44777</v>
      </c>
      <c r="F357" s="178">
        <v>4804.8</v>
      </c>
      <c r="G357" s="179">
        <f>Tabla19[[#This Row],[Importe]]-Tabla19[[#This Row],[Pagado]]</f>
        <v>0</v>
      </c>
      <c r="H357" s="153" t="s">
        <v>10</v>
      </c>
    </row>
    <row r="358" spans="1:8" x14ac:dyDescent="0.25">
      <c r="A358" s="73">
        <v>44777</v>
      </c>
      <c r="B358" s="74" t="s">
        <v>25010</v>
      </c>
      <c r="C358" s="75" t="s">
        <v>175</v>
      </c>
      <c r="D358" s="176">
        <v>32002.6</v>
      </c>
      <c r="E358" s="151">
        <v>44777</v>
      </c>
      <c r="F358" s="176">
        <v>32002.6</v>
      </c>
      <c r="G358" s="177">
        <f>Tabla19[[#This Row],[Importe]]-Tabla19[[#This Row],[Pagado]]</f>
        <v>0</v>
      </c>
      <c r="H358" s="75" t="s">
        <v>10</v>
      </c>
    </row>
    <row r="359" spans="1:8" x14ac:dyDescent="0.25">
      <c r="A359" s="148">
        <v>44777</v>
      </c>
      <c r="B359" s="149" t="s">
        <v>25011</v>
      </c>
      <c r="C359" s="153" t="s">
        <v>214</v>
      </c>
      <c r="D359" s="178">
        <v>1740</v>
      </c>
      <c r="E359" s="155">
        <v>44777</v>
      </c>
      <c r="F359" s="178">
        <v>1740</v>
      </c>
      <c r="G359" s="179">
        <f>Tabla19[[#This Row],[Importe]]-Tabla19[[#This Row],[Pagado]]</f>
        <v>0</v>
      </c>
      <c r="H359" s="153" t="s">
        <v>10</v>
      </c>
    </row>
    <row r="360" spans="1:8" x14ac:dyDescent="0.25">
      <c r="A360" s="73">
        <v>44777</v>
      </c>
      <c r="B360" s="74" t="s">
        <v>25012</v>
      </c>
      <c r="C360" s="75" t="s">
        <v>222</v>
      </c>
      <c r="D360" s="176">
        <v>12465</v>
      </c>
      <c r="E360" s="151">
        <v>44777</v>
      </c>
      <c r="F360" s="176">
        <v>12465</v>
      </c>
      <c r="G360" s="177">
        <f>Tabla19[[#This Row],[Importe]]-Tabla19[[#This Row],[Pagado]]</f>
        <v>0</v>
      </c>
      <c r="H360" s="75" t="s">
        <v>10</v>
      </c>
    </row>
    <row r="361" spans="1:8" x14ac:dyDescent="0.25">
      <c r="A361" s="148">
        <v>44777</v>
      </c>
      <c r="B361" s="149" t="s">
        <v>25013</v>
      </c>
      <c r="C361" s="153" t="s">
        <v>414</v>
      </c>
      <c r="D361" s="178">
        <v>26682.9</v>
      </c>
      <c r="E361" s="155">
        <v>44786</v>
      </c>
      <c r="F361" s="178">
        <v>26682.9</v>
      </c>
      <c r="G361" s="179">
        <f>Tabla19[[#This Row],[Importe]]-Tabla19[[#This Row],[Pagado]]</f>
        <v>0</v>
      </c>
      <c r="H361" s="153" t="s">
        <v>10</v>
      </c>
    </row>
    <row r="362" spans="1:8" x14ac:dyDescent="0.25">
      <c r="A362" s="73">
        <v>44777</v>
      </c>
      <c r="B362" s="74" t="s">
        <v>25014</v>
      </c>
      <c r="C362" s="75" t="s">
        <v>24284</v>
      </c>
      <c r="D362" s="176">
        <v>1461.6</v>
      </c>
      <c r="E362" s="151">
        <v>44777</v>
      </c>
      <c r="F362" s="176">
        <v>1461.6</v>
      </c>
      <c r="G362" s="177">
        <f>Tabla19[[#This Row],[Importe]]-Tabla19[[#This Row],[Pagado]]</f>
        <v>0</v>
      </c>
      <c r="H362" s="75" t="s">
        <v>10</v>
      </c>
    </row>
    <row r="363" spans="1:8" x14ac:dyDescent="0.25">
      <c r="A363" s="148">
        <v>44777</v>
      </c>
      <c r="B363" s="149" t="s">
        <v>25015</v>
      </c>
      <c r="C363" s="153" t="s">
        <v>698</v>
      </c>
      <c r="D363" s="178">
        <v>10560.4</v>
      </c>
      <c r="E363" s="155">
        <v>44777</v>
      </c>
      <c r="F363" s="178">
        <v>10560.4</v>
      </c>
      <c r="G363" s="179">
        <f>Tabla19[[#This Row],[Importe]]-Tabla19[[#This Row],[Pagado]]</f>
        <v>0</v>
      </c>
      <c r="H363" s="153" t="s">
        <v>10</v>
      </c>
    </row>
    <row r="364" spans="1:8" x14ac:dyDescent="0.25">
      <c r="A364" s="73">
        <v>44777</v>
      </c>
      <c r="B364" s="74" t="s">
        <v>25016</v>
      </c>
      <c r="C364" s="75" t="s">
        <v>31</v>
      </c>
      <c r="D364" s="176">
        <v>4352</v>
      </c>
      <c r="E364" s="151">
        <v>44777</v>
      </c>
      <c r="F364" s="176">
        <v>4352</v>
      </c>
      <c r="G364" s="177">
        <f>Tabla19[[#This Row],[Importe]]-Tabla19[[#This Row],[Pagado]]</f>
        <v>0</v>
      </c>
      <c r="H364" s="75" t="s">
        <v>10</v>
      </c>
    </row>
    <row r="365" spans="1:8" x14ac:dyDescent="0.25">
      <c r="A365" s="148">
        <v>44777</v>
      </c>
      <c r="B365" s="149" t="s">
        <v>25017</v>
      </c>
      <c r="C365" s="153" t="s">
        <v>9827</v>
      </c>
      <c r="D365" s="178">
        <v>3445.2</v>
      </c>
      <c r="E365" s="155">
        <v>44777</v>
      </c>
      <c r="F365" s="178">
        <v>3445.2</v>
      </c>
      <c r="G365" s="179">
        <f>Tabla19[[#This Row],[Importe]]-Tabla19[[#This Row],[Pagado]]</f>
        <v>0</v>
      </c>
      <c r="H365" s="153" t="s">
        <v>10</v>
      </c>
    </row>
    <row r="366" spans="1:8" x14ac:dyDescent="0.25">
      <c r="A366" s="73">
        <v>44777</v>
      </c>
      <c r="B366" s="74" t="s">
        <v>25018</v>
      </c>
      <c r="C366" s="75" t="s">
        <v>612</v>
      </c>
      <c r="D366" s="176">
        <v>1520</v>
      </c>
      <c r="E366" s="151">
        <v>44777</v>
      </c>
      <c r="F366" s="176">
        <v>1520</v>
      </c>
      <c r="G366" s="177">
        <f>Tabla19[[#This Row],[Importe]]-Tabla19[[#This Row],[Pagado]]</f>
        <v>0</v>
      </c>
      <c r="H366" s="75" t="s">
        <v>10</v>
      </c>
    </row>
    <row r="367" spans="1:8" x14ac:dyDescent="0.25">
      <c r="A367" s="148">
        <v>44777</v>
      </c>
      <c r="B367" s="149" t="s">
        <v>25019</v>
      </c>
      <c r="C367" s="153" t="s">
        <v>67</v>
      </c>
      <c r="D367" s="178">
        <v>2574</v>
      </c>
      <c r="E367" s="155">
        <v>44777</v>
      </c>
      <c r="F367" s="178">
        <v>2574</v>
      </c>
      <c r="G367" s="179">
        <f>Tabla19[[#This Row],[Importe]]-Tabla19[[#This Row],[Pagado]]</f>
        <v>0</v>
      </c>
      <c r="H367" s="153" t="s">
        <v>10</v>
      </c>
    </row>
    <row r="368" spans="1:8" x14ac:dyDescent="0.25">
      <c r="A368" s="73">
        <v>44777</v>
      </c>
      <c r="B368" s="74" t="s">
        <v>25020</v>
      </c>
      <c r="C368" s="75" t="s">
        <v>16</v>
      </c>
      <c r="D368" s="176">
        <v>1965</v>
      </c>
      <c r="E368" s="151">
        <v>44777</v>
      </c>
      <c r="F368" s="176">
        <v>1965</v>
      </c>
      <c r="G368" s="177">
        <f>Tabla19[[#This Row],[Importe]]-Tabla19[[#This Row],[Pagado]]</f>
        <v>0</v>
      </c>
      <c r="H368" s="75" t="s">
        <v>10</v>
      </c>
    </row>
    <row r="369" spans="1:8" x14ac:dyDescent="0.25">
      <c r="A369" s="148">
        <v>44777</v>
      </c>
      <c r="B369" s="149" t="s">
        <v>25021</v>
      </c>
      <c r="C369" s="153" t="s">
        <v>31</v>
      </c>
      <c r="D369" s="178">
        <v>277.2</v>
      </c>
      <c r="E369" s="155">
        <v>44777</v>
      </c>
      <c r="F369" s="178">
        <v>277.2</v>
      </c>
      <c r="G369" s="179">
        <f>Tabla19[[#This Row],[Importe]]-Tabla19[[#This Row],[Pagado]]</f>
        <v>0</v>
      </c>
      <c r="H369" s="153" t="s">
        <v>10</v>
      </c>
    </row>
    <row r="370" spans="1:8" x14ac:dyDescent="0.25">
      <c r="A370" s="73">
        <v>44777</v>
      </c>
      <c r="B370" s="74" t="s">
        <v>25022</v>
      </c>
      <c r="C370" s="75" t="s">
        <v>296</v>
      </c>
      <c r="D370" s="176">
        <v>1469.6</v>
      </c>
      <c r="E370" s="151">
        <v>44777</v>
      </c>
      <c r="F370" s="176">
        <v>1469.6</v>
      </c>
      <c r="G370" s="177">
        <f>Tabla19[[#This Row],[Importe]]-Tabla19[[#This Row],[Pagado]]</f>
        <v>0</v>
      </c>
      <c r="H370" s="75" t="s">
        <v>10</v>
      </c>
    </row>
    <row r="371" spans="1:8" x14ac:dyDescent="0.25">
      <c r="A371" s="148">
        <v>44777</v>
      </c>
      <c r="B371" s="149" t="s">
        <v>25023</v>
      </c>
      <c r="C371" s="153" t="s">
        <v>31</v>
      </c>
      <c r="D371" s="178">
        <v>285.60000000000002</v>
      </c>
      <c r="E371" s="155">
        <v>44777</v>
      </c>
      <c r="F371" s="178">
        <v>285.60000000000002</v>
      </c>
      <c r="G371" s="179">
        <f>Tabla19[[#This Row],[Importe]]-Tabla19[[#This Row],[Pagado]]</f>
        <v>0</v>
      </c>
      <c r="H371" s="153" t="s">
        <v>10</v>
      </c>
    </row>
    <row r="372" spans="1:8" x14ac:dyDescent="0.25">
      <c r="A372" s="73">
        <v>44777</v>
      </c>
      <c r="B372" s="74" t="s">
        <v>25024</v>
      </c>
      <c r="C372" s="75" t="s">
        <v>56</v>
      </c>
      <c r="D372" s="176">
        <v>6018</v>
      </c>
      <c r="E372" s="151">
        <v>44777</v>
      </c>
      <c r="F372" s="176">
        <v>6018</v>
      </c>
      <c r="G372" s="177">
        <f>Tabla19[[#This Row],[Importe]]-Tabla19[[#This Row],[Pagado]]</f>
        <v>0</v>
      </c>
      <c r="H372" s="75" t="s">
        <v>10</v>
      </c>
    </row>
    <row r="373" spans="1:8" x14ac:dyDescent="0.25">
      <c r="A373" s="148">
        <v>44777</v>
      </c>
      <c r="B373" s="149" t="s">
        <v>25025</v>
      </c>
      <c r="C373" s="153" t="s">
        <v>56</v>
      </c>
      <c r="D373" s="178">
        <v>382.5</v>
      </c>
      <c r="E373" s="155">
        <v>44777</v>
      </c>
      <c r="F373" s="178">
        <v>382.5</v>
      </c>
      <c r="G373" s="179">
        <f>Tabla19[[#This Row],[Importe]]-Tabla19[[#This Row],[Pagado]]</f>
        <v>0</v>
      </c>
      <c r="H373" s="153" t="s">
        <v>10</v>
      </c>
    </row>
    <row r="374" spans="1:8" x14ac:dyDescent="0.25">
      <c r="A374" s="73">
        <v>44777</v>
      </c>
      <c r="B374" s="74" t="s">
        <v>25026</v>
      </c>
      <c r="C374" s="75" t="s">
        <v>282</v>
      </c>
      <c r="D374" s="176">
        <v>2749.2</v>
      </c>
      <c r="E374" s="151">
        <v>44778</v>
      </c>
      <c r="F374" s="176">
        <v>2749.2</v>
      </c>
      <c r="G374" s="177">
        <f>Tabla19[[#This Row],[Importe]]-Tabla19[[#This Row],[Pagado]]</f>
        <v>0</v>
      </c>
      <c r="H374" s="75" t="s">
        <v>10</v>
      </c>
    </row>
    <row r="375" spans="1:8" x14ac:dyDescent="0.25">
      <c r="A375" s="148">
        <v>44777</v>
      </c>
      <c r="B375" s="149" t="s">
        <v>25027</v>
      </c>
      <c r="C375" s="153" t="s">
        <v>280</v>
      </c>
      <c r="D375" s="178">
        <v>1740</v>
      </c>
      <c r="E375" s="155">
        <v>44778</v>
      </c>
      <c r="F375" s="178">
        <v>1740</v>
      </c>
      <c r="G375" s="179">
        <f>Tabla19[[#This Row],[Importe]]-Tabla19[[#This Row],[Pagado]]</f>
        <v>0</v>
      </c>
      <c r="H375" s="153" t="s">
        <v>10</v>
      </c>
    </row>
    <row r="376" spans="1:8" x14ac:dyDescent="0.25">
      <c r="A376" s="73">
        <v>44777</v>
      </c>
      <c r="B376" s="74" t="s">
        <v>25028</v>
      </c>
      <c r="C376" s="75" t="s">
        <v>284</v>
      </c>
      <c r="D376" s="176">
        <v>11022.9</v>
      </c>
      <c r="E376" s="151">
        <v>44778</v>
      </c>
      <c r="F376" s="176">
        <v>11022.9</v>
      </c>
      <c r="G376" s="177">
        <f>Tabla19[[#This Row],[Importe]]-Tabla19[[#This Row],[Pagado]]</f>
        <v>0</v>
      </c>
      <c r="H376" s="75" t="s">
        <v>10</v>
      </c>
    </row>
    <row r="377" spans="1:8" x14ac:dyDescent="0.25">
      <c r="A377" s="148">
        <v>44777</v>
      </c>
      <c r="B377" s="149" t="s">
        <v>25029</v>
      </c>
      <c r="C377" s="153" t="s">
        <v>5345</v>
      </c>
      <c r="D377" s="178">
        <v>5776.1</v>
      </c>
      <c r="E377" s="155">
        <v>44778</v>
      </c>
      <c r="F377" s="178">
        <v>5776.1</v>
      </c>
      <c r="G377" s="179">
        <f>Tabla19[[#This Row],[Importe]]-Tabla19[[#This Row],[Pagado]]</f>
        <v>0</v>
      </c>
      <c r="H377" s="153" t="s">
        <v>10</v>
      </c>
    </row>
    <row r="378" spans="1:8" x14ac:dyDescent="0.25">
      <c r="A378" s="73">
        <v>44777</v>
      </c>
      <c r="B378" s="74" t="s">
        <v>25030</v>
      </c>
      <c r="C378" s="75" t="s">
        <v>10819</v>
      </c>
      <c r="D378" s="176">
        <v>904.8</v>
      </c>
      <c r="E378" s="151">
        <v>44778</v>
      </c>
      <c r="F378" s="176">
        <v>904.8</v>
      </c>
      <c r="G378" s="177">
        <f>Tabla19[[#This Row],[Importe]]-Tabla19[[#This Row],[Pagado]]</f>
        <v>0</v>
      </c>
      <c r="H378" s="75" t="s">
        <v>10</v>
      </c>
    </row>
    <row r="379" spans="1:8" x14ac:dyDescent="0.25">
      <c r="A379" s="148">
        <v>44777</v>
      </c>
      <c r="B379" s="149" t="s">
        <v>25031</v>
      </c>
      <c r="C379" s="153" t="s">
        <v>312</v>
      </c>
      <c r="D379" s="178">
        <v>5112.8</v>
      </c>
      <c r="E379" s="155">
        <v>44778</v>
      </c>
      <c r="F379" s="178">
        <v>5112.8</v>
      </c>
      <c r="G379" s="179">
        <f>Tabla19[[#This Row],[Importe]]-Tabla19[[#This Row],[Pagado]]</f>
        <v>0</v>
      </c>
      <c r="H379" s="153" t="s">
        <v>10</v>
      </c>
    </row>
    <row r="380" spans="1:8" x14ac:dyDescent="0.25">
      <c r="A380" s="73">
        <v>44777</v>
      </c>
      <c r="B380" s="74" t="s">
        <v>25032</v>
      </c>
      <c r="C380" s="75" t="s">
        <v>729</v>
      </c>
      <c r="D380" s="176">
        <v>32089.4</v>
      </c>
      <c r="E380" s="151">
        <v>44778</v>
      </c>
      <c r="F380" s="176">
        <v>32089.4</v>
      </c>
      <c r="G380" s="177">
        <f>Tabla19[[#This Row],[Importe]]-Tabla19[[#This Row],[Pagado]]</f>
        <v>0</v>
      </c>
      <c r="H380" s="75" t="s">
        <v>10</v>
      </c>
    </row>
    <row r="381" spans="1:8" x14ac:dyDescent="0.25">
      <c r="A381" s="148">
        <v>44777</v>
      </c>
      <c r="B381" s="149" t="s">
        <v>25033</v>
      </c>
      <c r="C381" s="153" t="s">
        <v>440</v>
      </c>
      <c r="D381" s="178">
        <v>9664.5400000000009</v>
      </c>
      <c r="E381" s="155">
        <v>44791</v>
      </c>
      <c r="F381" s="178">
        <v>9664.5400000000009</v>
      </c>
      <c r="G381" s="179">
        <f>Tabla19[[#This Row],[Importe]]-Tabla19[[#This Row],[Pagado]]</f>
        <v>0</v>
      </c>
      <c r="H381" s="153" t="s">
        <v>10</v>
      </c>
    </row>
    <row r="382" spans="1:8" x14ac:dyDescent="0.25">
      <c r="A382" s="73">
        <v>44777</v>
      </c>
      <c r="B382" s="74" t="s">
        <v>25034</v>
      </c>
      <c r="C382" s="75" t="s">
        <v>9</v>
      </c>
      <c r="D382" s="176">
        <v>3102.7</v>
      </c>
      <c r="E382" s="151">
        <v>44777</v>
      </c>
      <c r="F382" s="176">
        <v>3102.7</v>
      </c>
      <c r="G382" s="177">
        <f>Tabla19[[#This Row],[Importe]]-Tabla19[[#This Row],[Pagado]]</f>
        <v>0</v>
      </c>
      <c r="H382" s="75" t="s">
        <v>10</v>
      </c>
    </row>
    <row r="383" spans="1:8" x14ac:dyDescent="0.25">
      <c r="A383" s="148">
        <v>44777</v>
      </c>
      <c r="B383" s="149" t="s">
        <v>25035</v>
      </c>
      <c r="C383" s="153" t="s">
        <v>69</v>
      </c>
      <c r="D383" s="178">
        <v>1496</v>
      </c>
      <c r="E383" s="155">
        <v>44777</v>
      </c>
      <c r="F383" s="178">
        <v>1496</v>
      </c>
      <c r="G383" s="179">
        <f>Tabla19[[#This Row],[Importe]]-Tabla19[[#This Row],[Pagado]]</f>
        <v>0</v>
      </c>
      <c r="H383" s="153" t="s">
        <v>10</v>
      </c>
    </row>
    <row r="384" spans="1:8" x14ac:dyDescent="0.25">
      <c r="A384" s="73">
        <v>44777</v>
      </c>
      <c r="B384" s="74" t="s">
        <v>25036</v>
      </c>
      <c r="C384" s="75" t="s">
        <v>421</v>
      </c>
      <c r="D384" s="176">
        <v>6906.9</v>
      </c>
      <c r="E384" s="151">
        <v>44777</v>
      </c>
      <c r="F384" s="176">
        <v>6906.9</v>
      </c>
      <c r="G384" s="177">
        <f>Tabla19[[#This Row],[Importe]]-Tabla19[[#This Row],[Pagado]]</f>
        <v>0</v>
      </c>
      <c r="H384" s="75" t="s">
        <v>10</v>
      </c>
    </row>
    <row r="385" spans="1:8" x14ac:dyDescent="0.25">
      <c r="A385" s="148">
        <v>44777</v>
      </c>
      <c r="B385" s="149" t="s">
        <v>25037</v>
      </c>
      <c r="C385" s="153" t="s">
        <v>296</v>
      </c>
      <c r="D385" s="178">
        <v>3931.2</v>
      </c>
      <c r="E385" s="155">
        <v>44777</v>
      </c>
      <c r="F385" s="178">
        <v>3931.2</v>
      </c>
      <c r="G385" s="179">
        <f>Tabla19[[#This Row],[Importe]]-Tabla19[[#This Row],[Pagado]]</f>
        <v>0</v>
      </c>
      <c r="H385" s="153" t="s">
        <v>10</v>
      </c>
    </row>
    <row r="386" spans="1:8" x14ac:dyDescent="0.25">
      <c r="A386" s="73">
        <v>44777</v>
      </c>
      <c r="B386" s="74" t="s">
        <v>25038</v>
      </c>
      <c r="C386" s="75" t="s">
        <v>407</v>
      </c>
      <c r="D386" s="176">
        <v>10800</v>
      </c>
      <c r="E386" s="151">
        <v>44778</v>
      </c>
      <c r="F386" s="176">
        <v>10800</v>
      </c>
      <c r="G386" s="177">
        <f>Tabla19[[#This Row],[Importe]]-Tabla19[[#This Row],[Pagado]]</f>
        <v>0</v>
      </c>
      <c r="H386" s="75" t="s">
        <v>10</v>
      </c>
    </row>
    <row r="387" spans="1:8" x14ac:dyDescent="0.25">
      <c r="A387" s="148">
        <v>44777</v>
      </c>
      <c r="B387" s="149" t="s">
        <v>25039</v>
      </c>
      <c r="C387" s="153" t="s">
        <v>414</v>
      </c>
      <c r="D387" s="178">
        <v>2160</v>
      </c>
      <c r="E387" s="155">
        <v>44778</v>
      </c>
      <c r="F387" s="178">
        <v>2160</v>
      </c>
      <c r="G387" s="179">
        <f>Tabla19[[#This Row],[Importe]]-Tabla19[[#This Row],[Pagado]]</f>
        <v>0</v>
      </c>
      <c r="H387" s="153" t="s">
        <v>10</v>
      </c>
    </row>
    <row r="388" spans="1:8" x14ac:dyDescent="0.25">
      <c r="A388" s="73">
        <v>44777</v>
      </c>
      <c r="B388" s="74" t="s">
        <v>25040</v>
      </c>
      <c r="C388" s="75" t="s">
        <v>10678</v>
      </c>
      <c r="D388" s="176">
        <v>4866.8</v>
      </c>
      <c r="E388" s="151">
        <v>44777</v>
      </c>
      <c r="F388" s="176">
        <v>4866.8</v>
      </c>
      <c r="G388" s="177">
        <f>Tabla19[[#This Row],[Importe]]-Tabla19[[#This Row],[Pagado]]</f>
        <v>0</v>
      </c>
      <c r="H388" s="75" t="s">
        <v>10</v>
      </c>
    </row>
    <row r="389" spans="1:8" x14ac:dyDescent="0.25">
      <c r="A389" s="148">
        <v>44777</v>
      </c>
      <c r="B389" s="149" t="s">
        <v>25041</v>
      </c>
      <c r="C389" s="153" t="s">
        <v>402</v>
      </c>
      <c r="D389" s="178">
        <v>23084.400000000001</v>
      </c>
      <c r="E389" s="155">
        <v>44784</v>
      </c>
      <c r="F389" s="178">
        <v>23084.400000000001</v>
      </c>
      <c r="G389" s="179">
        <f>Tabla19[[#This Row],[Importe]]-Tabla19[[#This Row],[Pagado]]</f>
        <v>0</v>
      </c>
      <c r="H389" s="153" t="s">
        <v>10</v>
      </c>
    </row>
    <row r="390" spans="1:8" x14ac:dyDescent="0.25">
      <c r="A390" s="73">
        <v>44777</v>
      </c>
      <c r="B390" s="74" t="s">
        <v>25042</v>
      </c>
      <c r="C390" s="75" t="s">
        <v>1350</v>
      </c>
      <c r="D390" s="176">
        <v>1078.2</v>
      </c>
      <c r="E390" s="151">
        <v>44778</v>
      </c>
      <c r="F390" s="176">
        <v>1078.2</v>
      </c>
      <c r="G390" s="177">
        <f>Tabla19[[#This Row],[Importe]]-Tabla19[[#This Row],[Pagado]]</f>
        <v>0</v>
      </c>
      <c r="H390" s="75" t="s">
        <v>10</v>
      </c>
    </row>
    <row r="391" spans="1:8" x14ac:dyDescent="0.25">
      <c r="A391" s="148">
        <v>44777</v>
      </c>
      <c r="B391" s="149" t="s">
        <v>25043</v>
      </c>
      <c r="C391" s="153" t="s">
        <v>179</v>
      </c>
      <c r="D391" s="178">
        <v>1670.4</v>
      </c>
      <c r="E391" s="155">
        <v>44778</v>
      </c>
      <c r="F391" s="178">
        <v>1670.4</v>
      </c>
      <c r="G391" s="179">
        <f>Tabla19[[#This Row],[Importe]]-Tabla19[[#This Row],[Pagado]]</f>
        <v>0</v>
      </c>
      <c r="H391" s="153" t="s">
        <v>10</v>
      </c>
    </row>
    <row r="392" spans="1:8" x14ac:dyDescent="0.25">
      <c r="A392" s="73">
        <v>44777</v>
      </c>
      <c r="B392" s="74" t="s">
        <v>25044</v>
      </c>
      <c r="C392" s="75" t="s">
        <v>31</v>
      </c>
      <c r="D392" s="176">
        <v>54.6</v>
      </c>
      <c r="E392" s="151">
        <v>44777</v>
      </c>
      <c r="F392" s="176">
        <v>54.6</v>
      </c>
      <c r="G392" s="177">
        <f>Tabla19[[#This Row],[Importe]]-Tabla19[[#This Row],[Pagado]]</f>
        <v>0</v>
      </c>
      <c r="H392" s="75" t="s">
        <v>10</v>
      </c>
    </row>
    <row r="393" spans="1:8" x14ac:dyDescent="0.25">
      <c r="A393" s="148">
        <v>44777</v>
      </c>
      <c r="B393" s="149" t="s">
        <v>25045</v>
      </c>
      <c r="C393" s="153" t="s">
        <v>31</v>
      </c>
      <c r="D393" s="178">
        <v>130</v>
      </c>
      <c r="E393" s="155">
        <v>44777</v>
      </c>
      <c r="F393" s="178">
        <v>130</v>
      </c>
      <c r="G393" s="179">
        <f>Tabla19[[#This Row],[Importe]]-Tabla19[[#This Row],[Pagado]]</f>
        <v>0</v>
      </c>
      <c r="H393" s="153" t="s">
        <v>10</v>
      </c>
    </row>
    <row r="394" spans="1:8" x14ac:dyDescent="0.25">
      <c r="A394" s="73">
        <v>44777</v>
      </c>
      <c r="B394" s="74" t="s">
        <v>25046</v>
      </c>
      <c r="C394" s="75" t="s">
        <v>400</v>
      </c>
      <c r="D394" s="176">
        <v>14991.5</v>
      </c>
      <c r="E394" s="151">
        <v>44784</v>
      </c>
      <c r="F394" s="176">
        <v>14991.5</v>
      </c>
      <c r="G394" s="177">
        <f>Tabla19[[#This Row],[Importe]]-Tabla19[[#This Row],[Pagado]]</f>
        <v>0</v>
      </c>
      <c r="H394" s="75" t="s">
        <v>10</v>
      </c>
    </row>
    <row r="395" spans="1:8" x14ac:dyDescent="0.25">
      <c r="A395" s="148">
        <v>44777</v>
      </c>
      <c r="B395" s="149" t="s">
        <v>25047</v>
      </c>
      <c r="C395" s="153" t="s">
        <v>19637</v>
      </c>
      <c r="D395" s="178">
        <v>1680</v>
      </c>
      <c r="E395" s="155">
        <v>44784</v>
      </c>
      <c r="F395" s="178">
        <v>1680</v>
      </c>
      <c r="G395" s="179">
        <f>Tabla19[[#This Row],[Importe]]-Tabla19[[#This Row],[Pagado]]</f>
        <v>0</v>
      </c>
      <c r="H395" s="153" t="s">
        <v>10</v>
      </c>
    </row>
    <row r="396" spans="1:8" x14ac:dyDescent="0.25">
      <c r="A396" s="73">
        <v>44777</v>
      </c>
      <c r="B396" s="74" t="s">
        <v>25048</v>
      </c>
      <c r="C396" s="75" t="s">
        <v>1237</v>
      </c>
      <c r="D396" s="176">
        <v>3922.56</v>
      </c>
      <c r="E396" s="151">
        <v>44778</v>
      </c>
      <c r="F396" s="176">
        <v>3922.56</v>
      </c>
      <c r="G396" s="177">
        <f>Tabla19[[#This Row],[Importe]]-Tabla19[[#This Row],[Pagado]]</f>
        <v>0</v>
      </c>
      <c r="H396" s="75" t="s">
        <v>10</v>
      </c>
    </row>
    <row r="397" spans="1:8" x14ac:dyDescent="0.25">
      <c r="A397" s="148">
        <v>44777</v>
      </c>
      <c r="B397" s="149" t="s">
        <v>25049</v>
      </c>
      <c r="C397" s="153" t="s">
        <v>31</v>
      </c>
      <c r="D397" s="178">
        <v>911.2</v>
      </c>
      <c r="E397" s="155">
        <v>44778</v>
      </c>
      <c r="F397" s="178">
        <v>911.2</v>
      </c>
      <c r="G397" s="179">
        <f>Tabla19[[#This Row],[Importe]]-Tabla19[[#This Row],[Pagado]]</f>
        <v>0</v>
      </c>
      <c r="H397" s="153" t="s">
        <v>10</v>
      </c>
    </row>
    <row r="398" spans="1:8" x14ac:dyDescent="0.25">
      <c r="A398" s="73">
        <v>44777</v>
      </c>
      <c r="B398" s="74" t="s">
        <v>25050</v>
      </c>
      <c r="C398" s="75" t="s">
        <v>7745</v>
      </c>
      <c r="D398" s="176">
        <v>28980</v>
      </c>
      <c r="E398" s="151">
        <v>44777</v>
      </c>
      <c r="F398" s="176">
        <v>28980</v>
      </c>
      <c r="G398" s="177">
        <f>Tabla19[[#This Row],[Importe]]-Tabla19[[#This Row],[Pagado]]</f>
        <v>0</v>
      </c>
      <c r="H398" s="75" t="s">
        <v>10</v>
      </c>
    </row>
    <row r="399" spans="1:8" x14ac:dyDescent="0.25">
      <c r="A399" s="148">
        <v>44777</v>
      </c>
      <c r="B399" s="149" t="s">
        <v>25051</v>
      </c>
      <c r="C399" s="153" t="s">
        <v>296</v>
      </c>
      <c r="D399" s="178">
        <v>633.6</v>
      </c>
      <c r="E399" s="155">
        <v>44777</v>
      </c>
      <c r="F399" s="178">
        <v>633.6</v>
      </c>
      <c r="G399" s="179">
        <f>Tabla19[[#This Row],[Importe]]-Tabla19[[#This Row],[Pagado]]</f>
        <v>0</v>
      </c>
      <c r="H399" s="153" t="s">
        <v>10</v>
      </c>
    </row>
    <row r="400" spans="1:8" x14ac:dyDescent="0.25">
      <c r="A400" s="73">
        <v>44777</v>
      </c>
      <c r="B400" s="74" t="s">
        <v>25052</v>
      </c>
      <c r="C400" s="75" t="s">
        <v>167</v>
      </c>
      <c r="D400" s="176">
        <v>114800</v>
      </c>
      <c r="E400" s="151">
        <v>44778</v>
      </c>
      <c r="F400" s="176">
        <v>114800</v>
      </c>
      <c r="G400" s="177">
        <f>Tabla19[[#This Row],[Importe]]-Tabla19[[#This Row],[Pagado]]</f>
        <v>0</v>
      </c>
      <c r="H400" s="75" t="s">
        <v>10</v>
      </c>
    </row>
    <row r="401" spans="1:8" x14ac:dyDescent="0.25">
      <c r="A401" s="148">
        <v>44777</v>
      </c>
      <c r="B401" s="149" t="s">
        <v>25053</v>
      </c>
      <c r="C401" s="153" t="s">
        <v>7745</v>
      </c>
      <c r="D401" s="178">
        <v>487.2</v>
      </c>
      <c r="E401" s="155">
        <v>44778</v>
      </c>
      <c r="F401" s="178">
        <v>487.2</v>
      </c>
      <c r="G401" s="179">
        <f>Tabla19[[#This Row],[Importe]]-Tabla19[[#This Row],[Pagado]]</f>
        <v>0</v>
      </c>
      <c r="H401" s="153" t="s">
        <v>10</v>
      </c>
    </row>
    <row r="402" spans="1:8" x14ac:dyDescent="0.25">
      <c r="A402" s="73">
        <v>44778</v>
      </c>
      <c r="B402" s="74" t="s">
        <v>25054</v>
      </c>
      <c r="C402" s="75" t="s">
        <v>887</v>
      </c>
      <c r="D402" s="176">
        <v>10923</v>
      </c>
      <c r="E402" s="151">
        <v>44778</v>
      </c>
      <c r="F402" s="176">
        <v>10923</v>
      </c>
      <c r="G402" s="177">
        <f>Tabla19[[#This Row],[Importe]]-Tabla19[[#This Row],[Pagado]]</f>
        <v>0</v>
      </c>
      <c r="H402" s="75" t="s">
        <v>10</v>
      </c>
    </row>
    <row r="403" spans="1:8" x14ac:dyDescent="0.25">
      <c r="A403" s="148">
        <v>44778</v>
      </c>
      <c r="B403" s="149" t="s">
        <v>25055</v>
      </c>
      <c r="C403" s="153" t="s">
        <v>887</v>
      </c>
      <c r="D403" s="178">
        <v>256</v>
      </c>
      <c r="E403" s="155">
        <v>44778</v>
      </c>
      <c r="F403" s="178">
        <v>256</v>
      </c>
      <c r="G403" s="179">
        <f>Tabla19[[#This Row],[Importe]]-Tabla19[[#This Row],[Pagado]]</f>
        <v>0</v>
      </c>
      <c r="H403" s="153" t="s">
        <v>10</v>
      </c>
    </row>
    <row r="404" spans="1:8" x14ac:dyDescent="0.25">
      <c r="A404" s="73">
        <v>44778</v>
      </c>
      <c r="B404" s="74" t="s">
        <v>25056</v>
      </c>
      <c r="C404" s="75" t="s">
        <v>887</v>
      </c>
      <c r="D404" s="176">
        <v>229.6</v>
      </c>
      <c r="E404" s="151">
        <v>44778</v>
      </c>
      <c r="F404" s="176">
        <v>229.6</v>
      </c>
      <c r="G404" s="177">
        <f>Tabla19[[#This Row],[Importe]]-Tabla19[[#This Row],[Pagado]]</f>
        <v>0</v>
      </c>
      <c r="H404" s="75" t="s">
        <v>10</v>
      </c>
    </row>
    <row r="405" spans="1:8" x14ac:dyDescent="0.25">
      <c r="A405" s="148">
        <v>44778</v>
      </c>
      <c r="B405" s="149" t="s">
        <v>25057</v>
      </c>
      <c r="C405" s="153" t="s">
        <v>475</v>
      </c>
      <c r="D405" s="178">
        <v>80532.7</v>
      </c>
      <c r="E405" s="155">
        <v>44779</v>
      </c>
      <c r="F405" s="178">
        <v>80532.7</v>
      </c>
      <c r="G405" s="179">
        <f>Tabla19[[#This Row],[Importe]]-Tabla19[[#This Row],[Pagado]]</f>
        <v>0</v>
      </c>
      <c r="H405" s="153" t="s">
        <v>10</v>
      </c>
    </row>
    <row r="406" spans="1:8" x14ac:dyDescent="0.25">
      <c r="A406" s="73">
        <v>44778</v>
      </c>
      <c r="B406" s="74" t="s">
        <v>25058</v>
      </c>
      <c r="C406" s="75" t="s">
        <v>120</v>
      </c>
      <c r="D406" s="176">
        <v>5369.6</v>
      </c>
      <c r="E406" s="151">
        <v>44778</v>
      </c>
      <c r="F406" s="176">
        <v>5369.6</v>
      </c>
      <c r="G406" s="177">
        <f>Tabla19[[#This Row],[Importe]]-Tabla19[[#This Row],[Pagado]]</f>
        <v>0</v>
      </c>
      <c r="H406" s="75" t="s">
        <v>10</v>
      </c>
    </row>
    <row r="407" spans="1:8" x14ac:dyDescent="0.25">
      <c r="A407" s="148">
        <v>44778</v>
      </c>
      <c r="B407" s="149" t="s">
        <v>25059</v>
      </c>
      <c r="C407" s="153" t="s">
        <v>97</v>
      </c>
      <c r="D407" s="178">
        <v>5504.4</v>
      </c>
      <c r="E407" s="155">
        <v>44779</v>
      </c>
      <c r="F407" s="178">
        <v>5504.4</v>
      </c>
      <c r="G407" s="179">
        <f>Tabla19[[#This Row],[Importe]]-Tabla19[[#This Row],[Pagado]]</f>
        <v>0</v>
      </c>
      <c r="H407" s="153" t="s">
        <v>10</v>
      </c>
    </row>
    <row r="408" spans="1:8" x14ac:dyDescent="0.25">
      <c r="A408" s="73">
        <v>44778</v>
      </c>
      <c r="B408" s="74" t="s">
        <v>25060</v>
      </c>
      <c r="C408" s="75" t="s">
        <v>326</v>
      </c>
      <c r="D408" s="176">
        <v>5682.6</v>
      </c>
      <c r="E408" s="151">
        <v>44779</v>
      </c>
      <c r="F408" s="176">
        <v>5682.6</v>
      </c>
      <c r="G408" s="177">
        <f>Tabla19[[#This Row],[Importe]]-Tabla19[[#This Row],[Pagado]]</f>
        <v>0</v>
      </c>
      <c r="H408" s="75" t="s">
        <v>10</v>
      </c>
    </row>
    <row r="409" spans="1:8" ht="31.5" x14ac:dyDescent="0.25">
      <c r="A409" s="148">
        <v>44778</v>
      </c>
      <c r="B409" s="149" t="s">
        <v>25061</v>
      </c>
      <c r="C409" s="153" t="s">
        <v>5043</v>
      </c>
      <c r="D409" s="178">
        <v>5326.2</v>
      </c>
      <c r="E409" s="150" t="s">
        <v>25062</v>
      </c>
      <c r="F409" s="178">
        <f>3000+2326.2</f>
        <v>5326.2</v>
      </c>
      <c r="G409" s="179">
        <f>Tabla19[[#This Row],[Importe]]-Tabla19[[#This Row],[Pagado]]</f>
        <v>0</v>
      </c>
      <c r="H409" s="153" t="s">
        <v>10</v>
      </c>
    </row>
    <row r="410" spans="1:8" x14ac:dyDescent="0.25">
      <c r="A410" s="73">
        <v>44778</v>
      </c>
      <c r="B410" s="74" t="s">
        <v>25063</v>
      </c>
      <c r="C410" s="75" t="s">
        <v>93</v>
      </c>
      <c r="D410" s="176">
        <v>5094.3999999999996</v>
      </c>
      <c r="E410" s="151">
        <v>44779</v>
      </c>
      <c r="F410" s="176">
        <v>5094.3999999999996</v>
      </c>
      <c r="G410" s="177">
        <f>Tabla19[[#This Row],[Importe]]-Tabla19[[#This Row],[Pagado]]</f>
        <v>0</v>
      </c>
      <c r="H410" s="75" t="s">
        <v>10</v>
      </c>
    </row>
    <row r="411" spans="1:8" x14ac:dyDescent="0.25">
      <c r="A411" s="148">
        <v>44778</v>
      </c>
      <c r="B411" s="149" t="s">
        <v>25064</v>
      </c>
      <c r="C411" s="153" t="s">
        <v>111</v>
      </c>
      <c r="D411" s="178">
        <v>5312</v>
      </c>
      <c r="E411" s="155">
        <v>44779</v>
      </c>
      <c r="F411" s="178">
        <v>5312</v>
      </c>
      <c r="G411" s="179">
        <f>Tabla19[[#This Row],[Importe]]-Tabla19[[#This Row],[Pagado]]</f>
        <v>0</v>
      </c>
      <c r="H411" s="153" t="s">
        <v>10</v>
      </c>
    </row>
    <row r="412" spans="1:8" x14ac:dyDescent="0.25">
      <c r="A412" s="73">
        <v>44778</v>
      </c>
      <c r="B412" s="74" t="s">
        <v>25065</v>
      </c>
      <c r="C412" s="75" t="s">
        <v>20</v>
      </c>
      <c r="D412" s="176">
        <v>1930</v>
      </c>
      <c r="E412" s="151">
        <v>44778</v>
      </c>
      <c r="F412" s="176">
        <v>1930</v>
      </c>
      <c r="G412" s="177">
        <f>Tabla19[[#This Row],[Importe]]-Tabla19[[#This Row],[Pagado]]</f>
        <v>0</v>
      </c>
      <c r="H412" s="75" t="s">
        <v>10</v>
      </c>
    </row>
    <row r="413" spans="1:8" x14ac:dyDescent="0.25">
      <c r="A413" s="148">
        <v>44778</v>
      </c>
      <c r="B413" s="149" t="s">
        <v>25066</v>
      </c>
      <c r="C413" s="153" t="s">
        <v>345</v>
      </c>
      <c r="D413" s="178">
        <v>416</v>
      </c>
      <c r="E413" s="155">
        <v>44778</v>
      </c>
      <c r="F413" s="178">
        <v>416</v>
      </c>
      <c r="G413" s="179">
        <f>Tabla19[[#This Row],[Importe]]-Tabla19[[#This Row],[Pagado]]</f>
        <v>0</v>
      </c>
      <c r="H413" s="153" t="s">
        <v>10</v>
      </c>
    </row>
    <row r="414" spans="1:8" x14ac:dyDescent="0.25">
      <c r="A414" s="73">
        <v>44778</v>
      </c>
      <c r="B414" s="74" t="s">
        <v>25067</v>
      </c>
      <c r="C414" s="75" t="s">
        <v>2151</v>
      </c>
      <c r="D414" s="176">
        <v>24488</v>
      </c>
      <c r="E414" s="151">
        <v>44778</v>
      </c>
      <c r="F414" s="176">
        <v>24488</v>
      </c>
      <c r="G414" s="177">
        <f>Tabla19[[#This Row],[Importe]]-Tabla19[[#This Row],[Pagado]]</f>
        <v>0</v>
      </c>
      <c r="H414" s="75" t="s">
        <v>10</v>
      </c>
    </row>
    <row r="415" spans="1:8" x14ac:dyDescent="0.25">
      <c r="A415" s="148">
        <v>44778</v>
      </c>
      <c r="B415" s="149" t="s">
        <v>25068</v>
      </c>
      <c r="C415" s="153" t="s">
        <v>348</v>
      </c>
      <c r="D415" s="178">
        <v>9146.7000000000007</v>
      </c>
      <c r="E415" s="155">
        <v>44778</v>
      </c>
      <c r="F415" s="178">
        <v>9146.7000000000007</v>
      </c>
      <c r="G415" s="179">
        <f>Tabla19[[#This Row],[Importe]]-Tabla19[[#This Row],[Pagado]]</f>
        <v>0</v>
      </c>
      <c r="H415" s="153" t="s">
        <v>10</v>
      </c>
    </row>
    <row r="416" spans="1:8" x14ac:dyDescent="0.25">
      <c r="A416" s="73">
        <v>44778</v>
      </c>
      <c r="B416" s="74" t="s">
        <v>25069</v>
      </c>
      <c r="C416" s="75" t="s">
        <v>105</v>
      </c>
      <c r="D416" s="176">
        <v>7447.9</v>
      </c>
      <c r="E416" s="151">
        <v>44779</v>
      </c>
      <c r="F416" s="176">
        <v>7447.9</v>
      </c>
      <c r="G416" s="177">
        <f>Tabla19[[#This Row],[Importe]]-Tabla19[[#This Row],[Pagado]]</f>
        <v>0</v>
      </c>
      <c r="H416" s="75" t="s">
        <v>10</v>
      </c>
    </row>
    <row r="417" spans="1:8" x14ac:dyDescent="0.25">
      <c r="A417" s="148">
        <v>44778</v>
      </c>
      <c r="B417" s="149" t="s">
        <v>25070</v>
      </c>
      <c r="C417" s="153" t="s">
        <v>95</v>
      </c>
      <c r="D417" s="178">
        <v>28272</v>
      </c>
      <c r="E417" s="155">
        <v>44778</v>
      </c>
      <c r="F417" s="178">
        <v>28272</v>
      </c>
      <c r="G417" s="179">
        <f>Tabla19[[#This Row],[Importe]]-Tabla19[[#This Row],[Pagado]]</f>
        <v>0</v>
      </c>
      <c r="H417" s="153" t="s">
        <v>10</v>
      </c>
    </row>
    <row r="418" spans="1:8" x14ac:dyDescent="0.25">
      <c r="A418" s="73">
        <v>44778</v>
      </c>
      <c r="B418" s="74" t="s">
        <v>25071</v>
      </c>
      <c r="C418" s="75" t="s">
        <v>89</v>
      </c>
      <c r="D418" s="176">
        <v>13911.8</v>
      </c>
      <c r="E418" s="151">
        <v>44779</v>
      </c>
      <c r="F418" s="176">
        <v>13911.8</v>
      </c>
      <c r="G418" s="177">
        <f>Tabla19[[#This Row],[Importe]]-Tabla19[[#This Row],[Pagado]]</f>
        <v>0</v>
      </c>
      <c r="H418" s="75" t="s">
        <v>10</v>
      </c>
    </row>
    <row r="419" spans="1:8" x14ac:dyDescent="0.25">
      <c r="A419" s="148">
        <v>44778</v>
      </c>
      <c r="B419" s="149" t="s">
        <v>25072</v>
      </c>
      <c r="C419" s="153" t="s">
        <v>64</v>
      </c>
      <c r="D419" s="178">
        <v>10790.7</v>
      </c>
      <c r="E419" s="155">
        <v>44779</v>
      </c>
      <c r="F419" s="178">
        <v>10790.7</v>
      </c>
      <c r="G419" s="179">
        <f>Tabla19[[#This Row],[Importe]]-Tabla19[[#This Row],[Pagado]]</f>
        <v>0</v>
      </c>
      <c r="H419" s="153" t="s">
        <v>10</v>
      </c>
    </row>
    <row r="420" spans="1:8" x14ac:dyDescent="0.25">
      <c r="A420" s="73">
        <v>44778</v>
      </c>
      <c r="B420" s="74" t="s">
        <v>25073</v>
      </c>
      <c r="C420" s="75" t="s">
        <v>353</v>
      </c>
      <c r="D420" s="176">
        <v>818.4</v>
      </c>
      <c r="E420" s="151">
        <v>44778</v>
      </c>
      <c r="F420" s="176">
        <v>818.4</v>
      </c>
      <c r="G420" s="177">
        <f>Tabla19[[#This Row],[Importe]]-Tabla19[[#This Row],[Pagado]]</f>
        <v>0</v>
      </c>
      <c r="H420" s="75" t="s">
        <v>10</v>
      </c>
    </row>
    <row r="421" spans="1:8" x14ac:dyDescent="0.25">
      <c r="A421" s="148">
        <v>44778</v>
      </c>
      <c r="B421" s="149" t="s">
        <v>25074</v>
      </c>
      <c r="C421" s="153" t="s">
        <v>481</v>
      </c>
      <c r="D421" s="178">
        <v>1714.3</v>
      </c>
      <c r="E421" s="155">
        <v>44778</v>
      </c>
      <c r="F421" s="178">
        <v>1714.3</v>
      </c>
      <c r="G421" s="179">
        <f>Tabla19[[#This Row],[Importe]]-Tabla19[[#This Row],[Pagado]]</f>
        <v>0</v>
      </c>
      <c r="H421" s="153" t="s">
        <v>10</v>
      </c>
    </row>
    <row r="422" spans="1:8" x14ac:dyDescent="0.25">
      <c r="A422" s="73">
        <v>44778</v>
      </c>
      <c r="B422" s="74" t="s">
        <v>25075</v>
      </c>
      <c r="C422" s="75" t="s">
        <v>9</v>
      </c>
      <c r="D422" s="176">
        <v>9956.9</v>
      </c>
      <c r="E422" s="151">
        <v>44778</v>
      </c>
      <c r="F422" s="176">
        <v>9956.9</v>
      </c>
      <c r="G422" s="177">
        <f>Tabla19[[#This Row],[Importe]]-Tabla19[[#This Row],[Pagado]]</f>
        <v>0</v>
      </c>
      <c r="H422" s="75" t="s">
        <v>10</v>
      </c>
    </row>
    <row r="423" spans="1:8" x14ac:dyDescent="0.25">
      <c r="A423" s="148">
        <v>44778</v>
      </c>
      <c r="B423" s="149" t="s">
        <v>25076</v>
      </c>
      <c r="C423" s="153" t="s">
        <v>31</v>
      </c>
      <c r="D423" s="178">
        <v>9752.7000000000007</v>
      </c>
      <c r="E423" s="155">
        <v>44778</v>
      </c>
      <c r="F423" s="178">
        <v>9752.7000000000007</v>
      </c>
      <c r="G423" s="179">
        <f>Tabla19[[#This Row],[Importe]]-Tabla19[[#This Row],[Pagado]]</f>
        <v>0</v>
      </c>
      <c r="H423" s="153" t="s">
        <v>10</v>
      </c>
    </row>
    <row r="424" spans="1:8" x14ac:dyDescent="0.25">
      <c r="A424" s="73">
        <v>44778</v>
      </c>
      <c r="B424" s="74" t="s">
        <v>25077</v>
      </c>
      <c r="C424" s="75" t="s">
        <v>473</v>
      </c>
      <c r="D424" s="176">
        <v>5154</v>
      </c>
      <c r="E424" s="151">
        <v>44778</v>
      </c>
      <c r="F424" s="176">
        <v>5154</v>
      </c>
      <c r="G424" s="177">
        <f>Tabla19[[#This Row],[Importe]]-Tabla19[[#This Row],[Pagado]]</f>
        <v>0</v>
      </c>
      <c r="H424" s="75" t="s">
        <v>10</v>
      </c>
    </row>
    <row r="425" spans="1:8" x14ac:dyDescent="0.25">
      <c r="A425" s="148">
        <v>44778</v>
      </c>
      <c r="B425" s="149" t="s">
        <v>25078</v>
      </c>
      <c r="C425" s="153" t="s">
        <v>31</v>
      </c>
      <c r="D425" s="178">
        <v>4263.6000000000004</v>
      </c>
      <c r="E425" s="155">
        <v>44778</v>
      </c>
      <c r="F425" s="178">
        <v>4263.6000000000004</v>
      </c>
      <c r="G425" s="179">
        <f>Tabla19[[#This Row],[Importe]]-Tabla19[[#This Row],[Pagado]]</f>
        <v>0</v>
      </c>
      <c r="H425" s="153" t="s">
        <v>10</v>
      </c>
    </row>
    <row r="426" spans="1:8" x14ac:dyDescent="0.25">
      <c r="A426" s="73">
        <v>44778</v>
      </c>
      <c r="B426" s="74" t="s">
        <v>25079</v>
      </c>
      <c r="C426" s="75" t="s">
        <v>1187</v>
      </c>
      <c r="D426" s="176">
        <v>2331.6</v>
      </c>
      <c r="E426" s="151">
        <v>44778</v>
      </c>
      <c r="F426" s="176">
        <v>2331.6</v>
      </c>
      <c r="G426" s="177">
        <f>Tabla19[[#This Row],[Importe]]-Tabla19[[#This Row],[Pagado]]</f>
        <v>0</v>
      </c>
      <c r="H426" s="75" t="s">
        <v>10</v>
      </c>
    </row>
    <row r="427" spans="1:8" x14ac:dyDescent="0.25">
      <c r="A427" s="148">
        <v>44778</v>
      </c>
      <c r="B427" s="149" t="s">
        <v>25080</v>
      </c>
      <c r="C427" s="153" t="s">
        <v>22</v>
      </c>
      <c r="D427" s="178">
        <v>46136.7</v>
      </c>
      <c r="E427" s="155">
        <v>44779</v>
      </c>
      <c r="F427" s="178">
        <f>39000+7136.7</f>
        <v>46136.7</v>
      </c>
      <c r="G427" s="179">
        <f>Tabla19[[#This Row],[Importe]]-Tabla19[[#This Row],[Pagado]]</f>
        <v>0</v>
      </c>
      <c r="H427" s="153" t="s">
        <v>10</v>
      </c>
    </row>
    <row r="428" spans="1:8" x14ac:dyDescent="0.25">
      <c r="A428" s="73">
        <v>44778</v>
      </c>
      <c r="B428" s="74" t="s">
        <v>25081</v>
      </c>
      <c r="C428" s="75" t="s">
        <v>198</v>
      </c>
      <c r="D428" s="176">
        <v>5051.2</v>
      </c>
      <c r="E428" s="151">
        <v>44778</v>
      </c>
      <c r="F428" s="176">
        <v>5051.2</v>
      </c>
      <c r="G428" s="177">
        <f>Tabla19[[#This Row],[Importe]]-Tabla19[[#This Row],[Pagado]]</f>
        <v>0</v>
      </c>
      <c r="H428" s="75" t="s">
        <v>10</v>
      </c>
    </row>
    <row r="429" spans="1:8" x14ac:dyDescent="0.25">
      <c r="A429" s="148">
        <v>44778</v>
      </c>
      <c r="B429" s="149" t="s">
        <v>25082</v>
      </c>
      <c r="C429" s="153" t="s">
        <v>142</v>
      </c>
      <c r="D429" s="178">
        <v>83301.009999999995</v>
      </c>
      <c r="E429" s="155">
        <v>44837</v>
      </c>
      <c r="F429" s="178">
        <v>83301.009999999995</v>
      </c>
      <c r="G429" s="179">
        <f>Tabla19[[#This Row],[Importe]]-Tabla19[[#This Row],[Pagado]]</f>
        <v>0</v>
      </c>
      <c r="H429" s="153" t="s">
        <v>10</v>
      </c>
    </row>
    <row r="430" spans="1:8" x14ac:dyDescent="0.25">
      <c r="A430" s="73">
        <v>44778</v>
      </c>
      <c r="B430" s="74" t="s">
        <v>25083</v>
      </c>
      <c r="C430" s="75" t="s">
        <v>314</v>
      </c>
      <c r="D430" s="176">
        <v>4701.3999999999996</v>
      </c>
      <c r="E430" s="151">
        <v>44778</v>
      </c>
      <c r="F430" s="176">
        <v>4701.3999999999996</v>
      </c>
      <c r="G430" s="177">
        <f>Tabla19[[#This Row],[Importe]]-Tabla19[[#This Row],[Pagado]]</f>
        <v>0</v>
      </c>
      <c r="H430" s="75" t="s">
        <v>10</v>
      </c>
    </row>
    <row r="431" spans="1:8" x14ac:dyDescent="0.25">
      <c r="A431" s="148">
        <v>44778</v>
      </c>
      <c r="B431" s="149" t="s">
        <v>25084</v>
      </c>
      <c r="C431" s="153" t="s">
        <v>22</v>
      </c>
      <c r="D431" s="178">
        <v>1467.8</v>
      </c>
      <c r="E431" s="155">
        <v>44780</v>
      </c>
      <c r="F431" s="178">
        <v>1467.8</v>
      </c>
      <c r="G431" s="179">
        <f>Tabla19[[#This Row],[Importe]]-Tabla19[[#This Row],[Pagado]]</f>
        <v>0</v>
      </c>
      <c r="H431" s="153" t="s">
        <v>10</v>
      </c>
    </row>
    <row r="432" spans="1:8" x14ac:dyDescent="0.25">
      <c r="A432" s="73">
        <v>44778</v>
      </c>
      <c r="B432" s="74" t="s">
        <v>25085</v>
      </c>
      <c r="C432" s="75" t="s">
        <v>87</v>
      </c>
      <c r="D432" s="176">
        <v>6410</v>
      </c>
      <c r="E432" s="151">
        <v>44778</v>
      </c>
      <c r="F432" s="176">
        <v>6410</v>
      </c>
      <c r="G432" s="177">
        <f>Tabla19[[#This Row],[Importe]]-Tabla19[[#This Row],[Pagado]]</f>
        <v>0</v>
      </c>
      <c r="H432" s="75" t="s">
        <v>10</v>
      </c>
    </row>
    <row r="433" spans="1:8" x14ac:dyDescent="0.25">
      <c r="A433" s="148">
        <v>44778</v>
      </c>
      <c r="B433" s="149" t="s">
        <v>25086</v>
      </c>
      <c r="C433" s="153" t="s">
        <v>83</v>
      </c>
      <c r="D433" s="178">
        <v>6208.4</v>
      </c>
      <c r="E433" s="155">
        <v>44778</v>
      </c>
      <c r="F433" s="178">
        <v>6208.4</v>
      </c>
      <c r="G433" s="179">
        <f>Tabla19[[#This Row],[Importe]]-Tabla19[[#This Row],[Pagado]]</f>
        <v>0</v>
      </c>
      <c r="H433" s="153" t="s">
        <v>10</v>
      </c>
    </row>
    <row r="434" spans="1:8" x14ac:dyDescent="0.25">
      <c r="A434" s="73">
        <v>44778</v>
      </c>
      <c r="B434" s="74" t="s">
        <v>25087</v>
      </c>
      <c r="C434" s="75" t="s">
        <v>196</v>
      </c>
      <c r="D434" s="176">
        <v>156187.41</v>
      </c>
      <c r="E434" s="151">
        <v>44778</v>
      </c>
      <c r="F434" s="176">
        <v>156187.41</v>
      </c>
      <c r="G434" s="177">
        <f>Tabla19[[#This Row],[Importe]]-Tabla19[[#This Row],[Pagado]]</f>
        <v>0</v>
      </c>
      <c r="H434" s="75" t="s">
        <v>10</v>
      </c>
    </row>
    <row r="435" spans="1:8" x14ac:dyDescent="0.25">
      <c r="A435" s="148">
        <v>44778</v>
      </c>
      <c r="B435" s="149" t="s">
        <v>25088</v>
      </c>
      <c r="C435" s="153" t="s">
        <v>127</v>
      </c>
      <c r="D435" s="178">
        <v>4795.3999999999996</v>
      </c>
      <c r="E435" s="155">
        <v>44778</v>
      </c>
      <c r="F435" s="178">
        <v>4795.3999999999996</v>
      </c>
      <c r="G435" s="179">
        <f>Tabla19[[#This Row],[Importe]]-Tabla19[[#This Row],[Pagado]]</f>
        <v>0</v>
      </c>
      <c r="H435" s="153" t="s">
        <v>10</v>
      </c>
    </row>
    <row r="436" spans="1:8" x14ac:dyDescent="0.25">
      <c r="A436" s="73">
        <v>44778</v>
      </c>
      <c r="B436" s="74" t="s">
        <v>25089</v>
      </c>
      <c r="C436" s="75" t="s">
        <v>140</v>
      </c>
      <c r="D436" s="176">
        <v>403</v>
      </c>
      <c r="E436" s="151">
        <v>44778</v>
      </c>
      <c r="F436" s="176">
        <v>403</v>
      </c>
      <c r="G436" s="177">
        <f>Tabla19[[#This Row],[Importe]]-Tabla19[[#This Row],[Pagado]]</f>
        <v>0</v>
      </c>
      <c r="H436" s="75" t="s">
        <v>10</v>
      </c>
    </row>
    <row r="437" spans="1:8" x14ac:dyDescent="0.25">
      <c r="A437" s="148">
        <v>44778</v>
      </c>
      <c r="B437" s="149" t="s">
        <v>25090</v>
      </c>
      <c r="C437" s="153" t="s">
        <v>214</v>
      </c>
      <c r="D437" s="178">
        <v>5755.2</v>
      </c>
      <c r="E437" s="155">
        <v>44778</v>
      </c>
      <c r="F437" s="178">
        <v>5755.2</v>
      </c>
      <c r="G437" s="179">
        <f>Tabla19[[#This Row],[Importe]]-Tabla19[[#This Row],[Pagado]]</f>
        <v>0</v>
      </c>
      <c r="H437" s="153" t="s">
        <v>10</v>
      </c>
    </row>
    <row r="438" spans="1:8" x14ac:dyDescent="0.25">
      <c r="A438" s="73">
        <v>44778</v>
      </c>
      <c r="B438" s="74" t="s">
        <v>25091</v>
      </c>
      <c r="C438" s="75" t="s">
        <v>35</v>
      </c>
      <c r="D438" s="176">
        <v>2881.2</v>
      </c>
      <c r="E438" s="151">
        <v>44778</v>
      </c>
      <c r="F438" s="176">
        <v>2881.2</v>
      </c>
      <c r="G438" s="177">
        <f>Tabla19[[#This Row],[Importe]]-Tabla19[[#This Row],[Pagado]]</f>
        <v>0</v>
      </c>
      <c r="H438" s="75" t="s">
        <v>10</v>
      </c>
    </row>
    <row r="439" spans="1:8" x14ac:dyDescent="0.25">
      <c r="A439" s="148">
        <v>44778</v>
      </c>
      <c r="B439" s="149" t="s">
        <v>25092</v>
      </c>
      <c r="C439" s="153" t="s">
        <v>348</v>
      </c>
      <c r="D439" s="178">
        <v>5715.1</v>
      </c>
      <c r="E439" s="155">
        <v>44778</v>
      </c>
      <c r="F439" s="178">
        <v>5715.1</v>
      </c>
      <c r="G439" s="179">
        <f>Tabla19[[#This Row],[Importe]]-Tabla19[[#This Row],[Pagado]]</f>
        <v>0</v>
      </c>
      <c r="H439" s="153" t="s">
        <v>10</v>
      </c>
    </row>
    <row r="440" spans="1:8" x14ac:dyDescent="0.25">
      <c r="A440" s="73">
        <v>44778</v>
      </c>
      <c r="B440" s="74" t="s">
        <v>25093</v>
      </c>
      <c r="C440" s="75" t="s">
        <v>31</v>
      </c>
      <c r="D440" s="176">
        <v>4271.7</v>
      </c>
      <c r="E440" s="151" t="s">
        <v>25094</v>
      </c>
      <c r="F440" s="176">
        <v>4271.7</v>
      </c>
      <c r="G440" s="177">
        <f>Tabla19[[#This Row],[Importe]]-Tabla19[[#This Row],[Pagado]]</f>
        <v>0</v>
      </c>
      <c r="H440" s="75" t="s">
        <v>10</v>
      </c>
    </row>
    <row r="441" spans="1:8" x14ac:dyDescent="0.25">
      <c r="A441" s="148">
        <v>44778</v>
      </c>
      <c r="B441" s="149" t="s">
        <v>25095</v>
      </c>
      <c r="C441" s="153" t="s">
        <v>25096</v>
      </c>
      <c r="D441" s="178">
        <v>0</v>
      </c>
      <c r="E441" s="158" t="s">
        <v>189</v>
      </c>
      <c r="F441" s="178">
        <v>0</v>
      </c>
      <c r="G441" s="179">
        <f>Tabla19[[#This Row],[Importe]]-Tabla19[[#This Row],[Pagado]]</f>
        <v>0</v>
      </c>
      <c r="H441" s="159" t="s">
        <v>25097</v>
      </c>
    </row>
    <row r="442" spans="1:8" x14ac:dyDescent="0.25">
      <c r="A442" s="73">
        <v>44778</v>
      </c>
      <c r="B442" s="74" t="s">
        <v>25098</v>
      </c>
      <c r="C442" s="75" t="s">
        <v>45</v>
      </c>
      <c r="D442" s="176">
        <v>17108.3</v>
      </c>
      <c r="E442" s="151">
        <v>44778</v>
      </c>
      <c r="F442" s="176">
        <v>17108.3</v>
      </c>
      <c r="G442" s="177">
        <f>Tabla19[[#This Row],[Importe]]-Tabla19[[#This Row],[Pagado]]</f>
        <v>0</v>
      </c>
      <c r="H442" s="75" t="s">
        <v>10</v>
      </c>
    </row>
    <row r="443" spans="1:8" x14ac:dyDescent="0.25">
      <c r="A443" s="148">
        <v>44778</v>
      </c>
      <c r="B443" s="149" t="s">
        <v>25099</v>
      </c>
      <c r="C443" s="153" t="s">
        <v>11033</v>
      </c>
      <c r="D443" s="178">
        <v>1848.6</v>
      </c>
      <c r="E443" s="155">
        <v>44778</v>
      </c>
      <c r="F443" s="178">
        <v>1848.6</v>
      </c>
      <c r="G443" s="179">
        <f>Tabla19[[#This Row],[Importe]]-Tabla19[[#This Row],[Pagado]]</f>
        <v>0</v>
      </c>
      <c r="H443" s="153" t="s">
        <v>10</v>
      </c>
    </row>
    <row r="444" spans="1:8" x14ac:dyDescent="0.25">
      <c r="A444" s="73">
        <v>44778</v>
      </c>
      <c r="B444" s="74" t="s">
        <v>25100</v>
      </c>
      <c r="C444" s="75" t="s">
        <v>6252</v>
      </c>
      <c r="D444" s="176">
        <v>0</v>
      </c>
      <c r="E444" s="157" t="s">
        <v>189</v>
      </c>
      <c r="F444" s="176">
        <v>0</v>
      </c>
      <c r="G444" s="177">
        <f>Tabla19[[#This Row],[Importe]]-Tabla19[[#This Row],[Pagado]]</f>
        <v>0</v>
      </c>
      <c r="H444" s="161" t="s">
        <v>25101</v>
      </c>
    </row>
    <row r="445" spans="1:8" x14ac:dyDescent="0.25">
      <c r="A445" s="148">
        <v>44778</v>
      </c>
      <c r="B445" s="149" t="s">
        <v>25102</v>
      </c>
      <c r="C445" s="153" t="s">
        <v>107</v>
      </c>
      <c r="D445" s="178">
        <v>11487.1</v>
      </c>
      <c r="E445" s="155">
        <v>44778</v>
      </c>
      <c r="F445" s="178">
        <v>11487.1</v>
      </c>
      <c r="G445" s="179">
        <f>Tabla19[[#This Row],[Importe]]-Tabla19[[#This Row],[Pagado]]</f>
        <v>0</v>
      </c>
      <c r="H445" s="153" t="s">
        <v>10</v>
      </c>
    </row>
    <row r="446" spans="1:8" x14ac:dyDescent="0.25">
      <c r="A446" s="73">
        <v>44778</v>
      </c>
      <c r="B446" s="74" t="s">
        <v>25103</v>
      </c>
      <c r="C446" s="75" t="s">
        <v>27</v>
      </c>
      <c r="D446" s="176">
        <v>916</v>
      </c>
      <c r="E446" s="151">
        <v>44778</v>
      </c>
      <c r="F446" s="176">
        <v>916</v>
      </c>
      <c r="G446" s="177">
        <f>Tabla19[[#This Row],[Importe]]-Tabla19[[#This Row],[Pagado]]</f>
        <v>0</v>
      </c>
      <c r="H446" s="75" t="s">
        <v>10</v>
      </c>
    </row>
    <row r="447" spans="1:8" x14ac:dyDescent="0.25">
      <c r="A447" s="148">
        <v>44778</v>
      </c>
      <c r="B447" s="149" t="s">
        <v>25104</v>
      </c>
      <c r="C447" s="153" t="s">
        <v>31</v>
      </c>
      <c r="D447" s="178">
        <v>8560</v>
      </c>
      <c r="E447" s="155">
        <v>44778</v>
      </c>
      <c r="F447" s="178">
        <v>8560</v>
      </c>
      <c r="G447" s="179">
        <f>Tabla19[[#This Row],[Importe]]-Tabla19[[#This Row],[Pagado]]</f>
        <v>0</v>
      </c>
      <c r="H447" s="153" t="s">
        <v>10</v>
      </c>
    </row>
    <row r="448" spans="1:8" x14ac:dyDescent="0.25">
      <c r="A448" s="73">
        <v>44778</v>
      </c>
      <c r="B448" s="74" t="s">
        <v>25105</v>
      </c>
      <c r="C448" s="75" t="s">
        <v>56</v>
      </c>
      <c r="D448" s="176">
        <v>8572.2000000000007</v>
      </c>
      <c r="E448" s="151">
        <v>44778</v>
      </c>
      <c r="F448" s="176">
        <v>8572.2000000000007</v>
      </c>
      <c r="G448" s="177">
        <f>Tabla19[[#This Row],[Importe]]-Tabla19[[#This Row],[Pagado]]</f>
        <v>0</v>
      </c>
      <c r="H448" s="75" t="s">
        <v>10</v>
      </c>
    </row>
    <row r="449" spans="1:8" x14ac:dyDescent="0.25">
      <c r="A449" s="148">
        <v>44778</v>
      </c>
      <c r="B449" s="149" t="s">
        <v>25106</v>
      </c>
      <c r="C449" s="153" t="s">
        <v>664</v>
      </c>
      <c r="D449" s="178">
        <v>5272.2</v>
      </c>
      <c r="E449" s="155">
        <v>44778</v>
      </c>
      <c r="F449" s="178">
        <v>5272.2</v>
      </c>
      <c r="G449" s="179">
        <f>Tabla19[[#This Row],[Importe]]-Tabla19[[#This Row],[Pagado]]</f>
        <v>0</v>
      </c>
      <c r="H449" s="153" t="s">
        <v>10</v>
      </c>
    </row>
    <row r="450" spans="1:8" x14ac:dyDescent="0.25">
      <c r="A450" s="73">
        <v>44778</v>
      </c>
      <c r="B450" s="74" t="s">
        <v>25107</v>
      </c>
      <c r="C450" s="75" t="s">
        <v>10190</v>
      </c>
      <c r="D450" s="176">
        <v>31093.8</v>
      </c>
      <c r="E450" s="151">
        <v>44778</v>
      </c>
      <c r="F450" s="176">
        <v>31093.8</v>
      </c>
      <c r="G450" s="177">
        <f>Tabla19[[#This Row],[Importe]]-Tabla19[[#This Row],[Pagado]]</f>
        <v>0</v>
      </c>
      <c r="H450" s="75" t="s">
        <v>10</v>
      </c>
    </row>
    <row r="451" spans="1:8" x14ac:dyDescent="0.25">
      <c r="A451" s="148">
        <v>44778</v>
      </c>
      <c r="B451" s="149" t="s">
        <v>25108</v>
      </c>
      <c r="C451" s="153" t="s">
        <v>1362</v>
      </c>
      <c r="D451" s="178">
        <v>7849.6</v>
      </c>
      <c r="E451" s="155">
        <v>44778</v>
      </c>
      <c r="F451" s="178">
        <v>7849.6</v>
      </c>
      <c r="G451" s="179">
        <f>Tabla19[[#This Row],[Importe]]-Tabla19[[#This Row],[Pagado]]</f>
        <v>0</v>
      </c>
      <c r="H451" s="153" t="s">
        <v>10</v>
      </c>
    </row>
    <row r="452" spans="1:8" x14ac:dyDescent="0.25">
      <c r="A452" s="73">
        <v>44778</v>
      </c>
      <c r="B452" s="74" t="s">
        <v>25109</v>
      </c>
      <c r="C452" s="75" t="s">
        <v>181</v>
      </c>
      <c r="D452" s="176">
        <v>13631.8</v>
      </c>
      <c r="E452" s="151">
        <v>44778</v>
      </c>
      <c r="F452" s="176">
        <v>13631.8</v>
      </c>
      <c r="G452" s="177">
        <f>Tabla19[[#This Row],[Importe]]-Tabla19[[#This Row],[Pagado]]</f>
        <v>0</v>
      </c>
      <c r="H452" s="75" t="s">
        <v>10</v>
      </c>
    </row>
    <row r="453" spans="1:8" x14ac:dyDescent="0.25">
      <c r="A453" s="148">
        <v>44778</v>
      </c>
      <c r="B453" s="149" t="s">
        <v>25110</v>
      </c>
      <c r="C453" s="153" t="s">
        <v>212</v>
      </c>
      <c r="D453" s="178">
        <v>68790.2</v>
      </c>
      <c r="E453" s="155">
        <v>44784</v>
      </c>
      <c r="F453" s="178">
        <v>68790.2</v>
      </c>
      <c r="G453" s="179">
        <f>Tabla19[[#This Row],[Importe]]-Tabla19[[#This Row],[Pagado]]</f>
        <v>0</v>
      </c>
      <c r="H453" s="153" t="s">
        <v>10</v>
      </c>
    </row>
    <row r="454" spans="1:8" x14ac:dyDescent="0.25">
      <c r="A454" s="73">
        <v>44778</v>
      </c>
      <c r="B454" s="74" t="s">
        <v>25111</v>
      </c>
      <c r="C454" s="75" t="s">
        <v>426</v>
      </c>
      <c r="D454" s="176">
        <v>4910.3999999999996</v>
      </c>
      <c r="E454" s="151">
        <v>44778</v>
      </c>
      <c r="F454" s="176">
        <v>4910.3999999999996</v>
      </c>
      <c r="G454" s="177">
        <f>Tabla19[[#This Row],[Importe]]-Tabla19[[#This Row],[Pagado]]</f>
        <v>0</v>
      </c>
      <c r="H454" s="75" t="s">
        <v>10</v>
      </c>
    </row>
    <row r="455" spans="1:8" x14ac:dyDescent="0.25">
      <c r="A455" s="148">
        <v>44778</v>
      </c>
      <c r="B455" s="149" t="s">
        <v>25112</v>
      </c>
      <c r="C455" s="153" t="s">
        <v>154</v>
      </c>
      <c r="D455" s="178">
        <v>74987.3</v>
      </c>
      <c r="E455" s="155">
        <v>44782</v>
      </c>
      <c r="F455" s="178">
        <v>74987.3</v>
      </c>
      <c r="G455" s="179">
        <f>Tabla19[[#This Row],[Importe]]-Tabla19[[#This Row],[Pagado]]</f>
        <v>0</v>
      </c>
      <c r="H455" s="153" t="s">
        <v>10</v>
      </c>
    </row>
    <row r="456" spans="1:8" x14ac:dyDescent="0.25">
      <c r="A456" s="73">
        <v>44778</v>
      </c>
      <c r="B456" s="74" t="s">
        <v>25113</v>
      </c>
      <c r="C456" s="75" t="s">
        <v>13482</v>
      </c>
      <c r="D456" s="176">
        <v>0</v>
      </c>
      <c r="E456" s="157" t="s">
        <v>189</v>
      </c>
      <c r="F456" s="176">
        <v>0</v>
      </c>
      <c r="G456" s="177">
        <f>Tabla19[[#This Row],[Importe]]-Tabla19[[#This Row],[Pagado]]</f>
        <v>0</v>
      </c>
      <c r="H456" s="161" t="s">
        <v>25114</v>
      </c>
    </row>
    <row r="457" spans="1:8" x14ac:dyDescent="0.25">
      <c r="A457" s="148">
        <v>44778</v>
      </c>
      <c r="B457" s="149" t="s">
        <v>25115</v>
      </c>
      <c r="C457" s="153" t="s">
        <v>206</v>
      </c>
      <c r="D457" s="178">
        <v>25499.4</v>
      </c>
      <c r="E457" s="155">
        <v>44782</v>
      </c>
      <c r="F457" s="178">
        <v>25499.4</v>
      </c>
      <c r="G457" s="179">
        <f>Tabla19[[#This Row],[Importe]]-Tabla19[[#This Row],[Pagado]]</f>
        <v>0</v>
      </c>
      <c r="H457" s="153" t="s">
        <v>10</v>
      </c>
    </row>
    <row r="458" spans="1:8" x14ac:dyDescent="0.25">
      <c r="A458" s="73">
        <v>44778</v>
      </c>
      <c r="B458" s="74" t="s">
        <v>25116</v>
      </c>
      <c r="C458" s="75" t="s">
        <v>4136</v>
      </c>
      <c r="D458" s="176">
        <v>3787.3</v>
      </c>
      <c r="E458" s="151">
        <v>44778</v>
      </c>
      <c r="F458" s="176">
        <v>3787.3</v>
      </c>
      <c r="G458" s="177">
        <f>Tabla19[[#This Row],[Importe]]-Tabla19[[#This Row],[Pagado]]</f>
        <v>0</v>
      </c>
      <c r="H458" s="75" t="s">
        <v>10</v>
      </c>
    </row>
    <row r="459" spans="1:8" x14ac:dyDescent="0.25">
      <c r="A459" s="148">
        <v>44778</v>
      </c>
      <c r="B459" s="149" t="s">
        <v>25117</v>
      </c>
      <c r="C459" s="153" t="s">
        <v>29</v>
      </c>
      <c r="D459" s="178">
        <v>5942.1</v>
      </c>
      <c r="E459" s="155">
        <v>44778</v>
      </c>
      <c r="F459" s="178">
        <v>5942.1</v>
      </c>
      <c r="G459" s="179">
        <f>Tabla19[[#This Row],[Importe]]-Tabla19[[#This Row],[Pagado]]</f>
        <v>0</v>
      </c>
      <c r="H459" s="153" t="s">
        <v>10</v>
      </c>
    </row>
    <row r="460" spans="1:8" x14ac:dyDescent="0.25">
      <c r="A460" s="73">
        <v>44778</v>
      </c>
      <c r="B460" s="74" t="s">
        <v>25118</v>
      </c>
      <c r="C460" s="75" t="s">
        <v>3747</v>
      </c>
      <c r="D460" s="176">
        <v>27444</v>
      </c>
      <c r="E460" s="151">
        <v>44778</v>
      </c>
      <c r="F460" s="176">
        <v>27444</v>
      </c>
      <c r="G460" s="177">
        <f>Tabla19[[#This Row],[Importe]]-Tabla19[[#This Row],[Pagado]]</f>
        <v>0</v>
      </c>
      <c r="H460" s="75" t="s">
        <v>10</v>
      </c>
    </row>
    <row r="461" spans="1:8" x14ac:dyDescent="0.25">
      <c r="A461" s="148">
        <v>44778</v>
      </c>
      <c r="B461" s="149" t="s">
        <v>25119</v>
      </c>
      <c r="C461" s="153" t="s">
        <v>10157</v>
      </c>
      <c r="D461" s="178">
        <v>34764.199999999997</v>
      </c>
      <c r="E461" s="155">
        <v>44799</v>
      </c>
      <c r="F461" s="178">
        <v>34764.199999999997</v>
      </c>
      <c r="G461" s="179">
        <f>Tabla19[[#This Row],[Importe]]-Tabla19[[#This Row],[Pagado]]</f>
        <v>0</v>
      </c>
      <c r="H461" s="153" t="s">
        <v>10</v>
      </c>
    </row>
    <row r="462" spans="1:8" x14ac:dyDescent="0.25">
      <c r="A462" s="73">
        <v>44778</v>
      </c>
      <c r="B462" s="74" t="s">
        <v>25120</v>
      </c>
      <c r="C462" s="75" t="s">
        <v>218</v>
      </c>
      <c r="D462" s="176">
        <v>15015</v>
      </c>
      <c r="E462" s="151">
        <v>44782</v>
      </c>
      <c r="F462" s="176">
        <v>15015</v>
      </c>
      <c r="G462" s="177">
        <f>Tabla19[[#This Row],[Importe]]-Tabla19[[#This Row],[Pagado]]</f>
        <v>0</v>
      </c>
      <c r="H462" s="75" t="s">
        <v>10</v>
      </c>
    </row>
    <row r="463" spans="1:8" x14ac:dyDescent="0.25">
      <c r="A463" s="148">
        <v>44778</v>
      </c>
      <c r="B463" s="149" t="s">
        <v>25121</v>
      </c>
      <c r="C463" s="153" t="s">
        <v>31</v>
      </c>
      <c r="D463" s="178">
        <v>730.8</v>
      </c>
      <c r="E463" s="155">
        <v>44778</v>
      </c>
      <c r="F463" s="178">
        <v>730.8</v>
      </c>
      <c r="G463" s="179">
        <f>Tabla19[[#This Row],[Importe]]-Tabla19[[#This Row],[Pagado]]</f>
        <v>0</v>
      </c>
      <c r="H463" s="153" t="s">
        <v>10</v>
      </c>
    </row>
    <row r="464" spans="1:8" x14ac:dyDescent="0.25">
      <c r="A464" s="73">
        <v>44778</v>
      </c>
      <c r="B464" s="74" t="s">
        <v>25122</v>
      </c>
      <c r="C464" s="75" t="s">
        <v>541</v>
      </c>
      <c r="D464" s="176">
        <v>13814.6</v>
      </c>
      <c r="E464" s="151">
        <v>44779</v>
      </c>
      <c r="F464" s="176">
        <v>13814.6</v>
      </c>
      <c r="G464" s="177">
        <f>Tabla19[[#This Row],[Importe]]-Tabla19[[#This Row],[Pagado]]</f>
        <v>0</v>
      </c>
      <c r="H464" s="75" t="s">
        <v>10</v>
      </c>
    </row>
    <row r="465" spans="1:8" x14ac:dyDescent="0.25">
      <c r="A465" s="148">
        <v>44778</v>
      </c>
      <c r="B465" s="149" t="s">
        <v>25123</v>
      </c>
      <c r="C465" s="153" t="s">
        <v>1003</v>
      </c>
      <c r="D465" s="178">
        <v>4565.1000000000004</v>
      </c>
      <c r="E465" s="155">
        <v>44779</v>
      </c>
      <c r="F465" s="178">
        <v>4565.1000000000004</v>
      </c>
      <c r="G465" s="179">
        <f>Tabla19[[#This Row],[Importe]]-Tabla19[[#This Row],[Pagado]]</f>
        <v>0</v>
      </c>
      <c r="H465" s="153" t="s">
        <v>10</v>
      </c>
    </row>
    <row r="466" spans="1:8" x14ac:dyDescent="0.25">
      <c r="A466" s="73">
        <v>44778</v>
      </c>
      <c r="B466" s="74" t="s">
        <v>25124</v>
      </c>
      <c r="C466" s="75" t="s">
        <v>392</v>
      </c>
      <c r="D466" s="176">
        <v>21042.6</v>
      </c>
      <c r="E466" s="151">
        <v>44785</v>
      </c>
      <c r="F466" s="176">
        <v>21042.6</v>
      </c>
      <c r="G466" s="177">
        <f>Tabla19[[#This Row],[Importe]]-Tabla19[[#This Row],[Pagado]]</f>
        <v>0</v>
      </c>
      <c r="H466" s="75" t="s">
        <v>10</v>
      </c>
    </row>
    <row r="467" spans="1:8" x14ac:dyDescent="0.25">
      <c r="A467" s="148">
        <v>44778</v>
      </c>
      <c r="B467" s="149" t="s">
        <v>25125</v>
      </c>
      <c r="C467" s="153" t="s">
        <v>51</v>
      </c>
      <c r="D467" s="178">
        <v>3776</v>
      </c>
      <c r="E467" s="155">
        <v>44778</v>
      </c>
      <c r="F467" s="178">
        <v>3776</v>
      </c>
      <c r="G467" s="179">
        <f>Tabla19[[#This Row],[Importe]]-Tabla19[[#This Row],[Pagado]]</f>
        <v>0</v>
      </c>
      <c r="H467" s="153" t="s">
        <v>10</v>
      </c>
    </row>
    <row r="468" spans="1:8" x14ac:dyDescent="0.25">
      <c r="A468" s="73">
        <v>44778</v>
      </c>
      <c r="B468" s="74" t="s">
        <v>25126</v>
      </c>
      <c r="C468" s="75" t="s">
        <v>233</v>
      </c>
      <c r="D468" s="176">
        <v>5689.8</v>
      </c>
      <c r="E468" s="151">
        <v>44778</v>
      </c>
      <c r="F468" s="176">
        <v>5689.8</v>
      </c>
      <c r="G468" s="177">
        <f>Tabla19[[#This Row],[Importe]]-Tabla19[[#This Row],[Pagado]]</f>
        <v>0</v>
      </c>
      <c r="H468" s="75" t="s">
        <v>10</v>
      </c>
    </row>
    <row r="469" spans="1:8" x14ac:dyDescent="0.25">
      <c r="A469" s="148">
        <v>44778</v>
      </c>
      <c r="B469" s="149" t="s">
        <v>25127</v>
      </c>
      <c r="C469" s="153" t="s">
        <v>647</v>
      </c>
      <c r="D469" s="178">
        <v>673.2</v>
      </c>
      <c r="E469" s="155">
        <v>44778</v>
      </c>
      <c r="F469" s="178">
        <v>673.2</v>
      </c>
      <c r="G469" s="179">
        <f>Tabla19[[#This Row],[Importe]]-Tabla19[[#This Row],[Pagado]]</f>
        <v>0</v>
      </c>
      <c r="H469" s="153" t="s">
        <v>10</v>
      </c>
    </row>
    <row r="470" spans="1:8" x14ac:dyDescent="0.25">
      <c r="A470" s="73">
        <v>44778</v>
      </c>
      <c r="B470" s="74" t="s">
        <v>25128</v>
      </c>
      <c r="C470" s="75" t="s">
        <v>25129</v>
      </c>
      <c r="D470" s="176">
        <v>0</v>
      </c>
      <c r="E470" s="157" t="s">
        <v>189</v>
      </c>
      <c r="F470" s="176">
        <v>0</v>
      </c>
      <c r="G470" s="177">
        <f>Tabla19[[#This Row],[Importe]]-Tabla19[[#This Row],[Pagado]]</f>
        <v>0</v>
      </c>
      <c r="H470" s="161" t="s">
        <v>25130</v>
      </c>
    </row>
    <row r="471" spans="1:8" x14ac:dyDescent="0.25">
      <c r="A471" s="148">
        <v>44778</v>
      </c>
      <c r="B471" s="149" t="s">
        <v>25131</v>
      </c>
      <c r="C471" s="153" t="s">
        <v>849</v>
      </c>
      <c r="D471" s="178">
        <v>5940</v>
      </c>
      <c r="E471" s="155">
        <v>44778</v>
      </c>
      <c r="F471" s="178">
        <v>5940</v>
      </c>
      <c r="G471" s="179">
        <f>Tabla19[[#This Row],[Importe]]-Tabla19[[#This Row],[Pagado]]</f>
        <v>0</v>
      </c>
      <c r="H471" s="153" t="s">
        <v>10</v>
      </c>
    </row>
    <row r="472" spans="1:8" x14ac:dyDescent="0.25">
      <c r="A472" s="73">
        <v>44778</v>
      </c>
      <c r="B472" s="74" t="s">
        <v>25132</v>
      </c>
      <c r="C472" s="75" t="s">
        <v>173</v>
      </c>
      <c r="D472" s="176">
        <v>33684</v>
      </c>
      <c r="E472" s="151">
        <v>44779</v>
      </c>
      <c r="F472" s="176">
        <v>33684</v>
      </c>
      <c r="G472" s="177">
        <f>Tabla19[[#This Row],[Importe]]-Tabla19[[#This Row],[Pagado]]</f>
        <v>0</v>
      </c>
      <c r="H472" s="75" t="s">
        <v>10</v>
      </c>
    </row>
    <row r="473" spans="1:8" x14ac:dyDescent="0.25">
      <c r="A473" s="148">
        <v>44778</v>
      </c>
      <c r="B473" s="149" t="s">
        <v>25133</v>
      </c>
      <c r="C473" s="153" t="s">
        <v>555</v>
      </c>
      <c r="D473" s="178">
        <v>17203.2</v>
      </c>
      <c r="E473" s="155">
        <v>44779</v>
      </c>
      <c r="F473" s="178">
        <v>17203.2</v>
      </c>
      <c r="G473" s="179">
        <f>Tabla19[[#This Row],[Importe]]-Tabla19[[#This Row],[Pagado]]</f>
        <v>0</v>
      </c>
      <c r="H473" s="153" t="s">
        <v>10</v>
      </c>
    </row>
    <row r="474" spans="1:8" x14ac:dyDescent="0.25">
      <c r="A474" s="73">
        <v>44778</v>
      </c>
      <c r="B474" s="74" t="s">
        <v>25134</v>
      </c>
      <c r="C474" s="75" t="s">
        <v>654</v>
      </c>
      <c r="D474" s="176">
        <v>15118.4</v>
      </c>
      <c r="E474" s="151">
        <v>44798</v>
      </c>
      <c r="F474" s="176">
        <v>15118.4</v>
      </c>
      <c r="G474" s="177">
        <f>Tabla19[[#This Row],[Importe]]-Tabla19[[#This Row],[Pagado]]</f>
        <v>0</v>
      </c>
      <c r="H474" s="75" t="s">
        <v>10</v>
      </c>
    </row>
    <row r="475" spans="1:8" x14ac:dyDescent="0.25">
      <c r="A475" s="148">
        <v>44778</v>
      </c>
      <c r="B475" s="149" t="s">
        <v>25135</v>
      </c>
      <c r="C475" s="153" t="s">
        <v>9827</v>
      </c>
      <c r="D475" s="178">
        <v>6131.3</v>
      </c>
      <c r="E475" s="155">
        <v>44778</v>
      </c>
      <c r="F475" s="178">
        <v>6131.3</v>
      </c>
      <c r="G475" s="179">
        <f>Tabla19[[#This Row],[Importe]]-Tabla19[[#This Row],[Pagado]]</f>
        <v>0</v>
      </c>
      <c r="H475" s="153" t="s">
        <v>10</v>
      </c>
    </row>
    <row r="476" spans="1:8" x14ac:dyDescent="0.25">
      <c r="A476" s="73">
        <v>44778</v>
      </c>
      <c r="B476" s="74" t="s">
        <v>25136</v>
      </c>
      <c r="C476" s="75" t="s">
        <v>31</v>
      </c>
      <c r="D476" s="176">
        <v>2314.1999999999998</v>
      </c>
      <c r="E476" s="151">
        <v>44778</v>
      </c>
      <c r="F476" s="176">
        <v>2314.1999999999998</v>
      </c>
      <c r="G476" s="177">
        <f>Tabla19[[#This Row],[Importe]]-Tabla19[[#This Row],[Pagado]]</f>
        <v>0</v>
      </c>
      <c r="H476" s="75" t="s">
        <v>10</v>
      </c>
    </row>
    <row r="477" spans="1:8" x14ac:dyDescent="0.25">
      <c r="A477" s="148">
        <v>44778</v>
      </c>
      <c r="B477" s="149" t="s">
        <v>25137</v>
      </c>
      <c r="C477" s="153" t="s">
        <v>67</v>
      </c>
      <c r="D477" s="178">
        <v>13125.6</v>
      </c>
      <c r="E477" s="155">
        <v>44778</v>
      </c>
      <c r="F477" s="178">
        <v>13125.6</v>
      </c>
      <c r="G477" s="179">
        <f>Tabla19[[#This Row],[Importe]]-Tabla19[[#This Row],[Pagado]]</f>
        <v>0</v>
      </c>
      <c r="H477" s="153" t="s">
        <v>10</v>
      </c>
    </row>
    <row r="478" spans="1:8" x14ac:dyDescent="0.25">
      <c r="A478" s="73">
        <v>44778</v>
      </c>
      <c r="B478" s="74" t="s">
        <v>25138</v>
      </c>
      <c r="C478" s="75" t="s">
        <v>419</v>
      </c>
      <c r="D478" s="176">
        <v>4944.3999999999996</v>
      </c>
      <c r="E478" s="151">
        <v>44778</v>
      </c>
      <c r="F478" s="176">
        <v>4944.3999999999996</v>
      </c>
      <c r="G478" s="177">
        <f>Tabla19[[#This Row],[Importe]]-Tabla19[[#This Row],[Pagado]]</f>
        <v>0</v>
      </c>
      <c r="H478" s="75" t="s">
        <v>10</v>
      </c>
    </row>
    <row r="479" spans="1:8" x14ac:dyDescent="0.25">
      <c r="A479" s="148">
        <v>44778</v>
      </c>
      <c r="B479" s="149" t="s">
        <v>25139</v>
      </c>
      <c r="C479" s="153" t="s">
        <v>396</v>
      </c>
      <c r="D479" s="178">
        <v>4095.7</v>
      </c>
      <c r="E479" s="155">
        <v>44784</v>
      </c>
      <c r="F479" s="178">
        <v>4095.7</v>
      </c>
      <c r="G479" s="179">
        <f>Tabla19[[#This Row],[Importe]]-Tabla19[[#This Row],[Pagado]]</f>
        <v>0</v>
      </c>
      <c r="H479" s="153" t="s">
        <v>10</v>
      </c>
    </row>
    <row r="480" spans="1:8" x14ac:dyDescent="0.25">
      <c r="A480" s="73">
        <v>44778</v>
      </c>
      <c r="B480" s="74" t="s">
        <v>25140</v>
      </c>
      <c r="C480" s="75" t="s">
        <v>11383</v>
      </c>
      <c r="D480" s="176">
        <v>24025.599999999999</v>
      </c>
      <c r="E480" s="151">
        <v>44778</v>
      </c>
      <c r="F480" s="176">
        <v>24025.599999999999</v>
      </c>
      <c r="G480" s="177">
        <f>Tabla19[[#This Row],[Importe]]-Tabla19[[#This Row],[Pagado]]</f>
        <v>0</v>
      </c>
      <c r="H480" s="75" t="s">
        <v>10</v>
      </c>
    </row>
    <row r="481" spans="1:8" x14ac:dyDescent="0.25">
      <c r="A481" s="148">
        <v>44778</v>
      </c>
      <c r="B481" s="149" t="s">
        <v>25141</v>
      </c>
      <c r="C481" s="153" t="s">
        <v>11383</v>
      </c>
      <c r="D481" s="178">
        <v>1530.8</v>
      </c>
      <c r="E481" s="155">
        <v>44778</v>
      </c>
      <c r="F481" s="178">
        <v>1530.8</v>
      </c>
      <c r="G481" s="179">
        <f>Tabla19[[#This Row],[Importe]]-Tabla19[[#This Row],[Pagado]]</f>
        <v>0</v>
      </c>
      <c r="H481" s="153" t="s">
        <v>10</v>
      </c>
    </row>
    <row r="482" spans="1:8" x14ac:dyDescent="0.25">
      <c r="A482" s="73">
        <v>44778</v>
      </c>
      <c r="B482" s="74" t="s">
        <v>25142</v>
      </c>
      <c r="C482" s="75" t="s">
        <v>67</v>
      </c>
      <c r="D482" s="176">
        <v>1044</v>
      </c>
      <c r="E482" s="151">
        <v>44778</v>
      </c>
      <c r="F482" s="176">
        <v>1044</v>
      </c>
      <c r="G482" s="177">
        <f>Tabla19[[#This Row],[Importe]]-Tabla19[[#This Row],[Pagado]]</f>
        <v>0</v>
      </c>
      <c r="H482" s="75" t="s">
        <v>10</v>
      </c>
    </row>
    <row r="483" spans="1:8" x14ac:dyDescent="0.25">
      <c r="A483" s="148">
        <v>44778</v>
      </c>
      <c r="B483" s="149" t="s">
        <v>25143</v>
      </c>
      <c r="C483" s="153" t="s">
        <v>31</v>
      </c>
      <c r="D483" s="178">
        <v>870</v>
      </c>
      <c r="E483" s="155">
        <v>44778</v>
      </c>
      <c r="F483" s="178">
        <v>870</v>
      </c>
      <c r="G483" s="179">
        <f>Tabla19[[#This Row],[Importe]]-Tabla19[[#This Row],[Pagado]]</f>
        <v>0</v>
      </c>
      <c r="H483" s="153" t="s">
        <v>10</v>
      </c>
    </row>
    <row r="484" spans="1:8" x14ac:dyDescent="0.25">
      <c r="A484" s="73">
        <v>44778</v>
      </c>
      <c r="B484" s="74" t="s">
        <v>25144</v>
      </c>
      <c r="C484" s="75" t="s">
        <v>296</v>
      </c>
      <c r="D484" s="176">
        <v>2076.8000000000002</v>
      </c>
      <c r="E484" s="151">
        <v>44778</v>
      </c>
      <c r="F484" s="176">
        <v>2076.8000000000002</v>
      </c>
      <c r="G484" s="177">
        <f>Tabla19[[#This Row],[Importe]]-Tabla19[[#This Row],[Pagado]]</f>
        <v>0</v>
      </c>
      <c r="H484" s="75" t="s">
        <v>10</v>
      </c>
    </row>
    <row r="485" spans="1:8" x14ac:dyDescent="0.25">
      <c r="A485" s="148">
        <v>44778</v>
      </c>
      <c r="B485" s="149" t="s">
        <v>25145</v>
      </c>
      <c r="C485" s="153" t="s">
        <v>1174</v>
      </c>
      <c r="D485" s="178">
        <v>25992</v>
      </c>
      <c r="E485" s="155">
        <v>44778</v>
      </c>
      <c r="F485" s="178">
        <v>25992</v>
      </c>
      <c r="G485" s="179">
        <f>Tabla19[[#This Row],[Importe]]-Tabla19[[#This Row],[Pagado]]</f>
        <v>0</v>
      </c>
      <c r="H485" s="153" t="s">
        <v>10</v>
      </c>
    </row>
    <row r="486" spans="1:8" x14ac:dyDescent="0.25">
      <c r="A486" s="73">
        <v>44778</v>
      </c>
      <c r="B486" s="74" t="s">
        <v>25146</v>
      </c>
      <c r="C486" s="75" t="s">
        <v>244</v>
      </c>
      <c r="D486" s="176">
        <v>1661.7</v>
      </c>
      <c r="E486" s="151">
        <v>44778</v>
      </c>
      <c r="F486" s="176">
        <v>1661.7</v>
      </c>
      <c r="G486" s="177">
        <f>Tabla19[[#This Row],[Importe]]-Tabla19[[#This Row],[Pagado]]</f>
        <v>0</v>
      </c>
      <c r="H486" s="75" t="s">
        <v>10</v>
      </c>
    </row>
    <row r="487" spans="1:8" x14ac:dyDescent="0.25">
      <c r="A487" s="148">
        <v>44778</v>
      </c>
      <c r="B487" s="149" t="s">
        <v>25147</v>
      </c>
      <c r="C487" s="153" t="s">
        <v>175</v>
      </c>
      <c r="D487" s="178">
        <v>19959.400000000001</v>
      </c>
      <c r="E487" s="155">
        <v>44778</v>
      </c>
      <c r="F487" s="178">
        <v>19959.400000000001</v>
      </c>
      <c r="G487" s="179">
        <f>Tabla19[[#This Row],[Importe]]-Tabla19[[#This Row],[Pagado]]</f>
        <v>0</v>
      </c>
      <c r="H487" s="153" t="s">
        <v>10</v>
      </c>
    </row>
    <row r="488" spans="1:8" x14ac:dyDescent="0.25">
      <c r="A488" s="73">
        <v>44778</v>
      </c>
      <c r="B488" s="74" t="s">
        <v>25148</v>
      </c>
      <c r="C488" s="75" t="s">
        <v>56</v>
      </c>
      <c r="D488" s="176">
        <v>8361.6</v>
      </c>
      <c r="E488" s="151">
        <v>44778</v>
      </c>
      <c r="F488" s="176">
        <v>8361.6</v>
      </c>
      <c r="G488" s="177">
        <f>Tabla19[[#This Row],[Importe]]-Tabla19[[#This Row],[Pagado]]</f>
        <v>0</v>
      </c>
      <c r="H488" s="75" t="s">
        <v>10</v>
      </c>
    </row>
    <row r="489" spans="1:8" x14ac:dyDescent="0.25">
      <c r="A489" s="148">
        <v>44778</v>
      </c>
      <c r="B489" s="149" t="s">
        <v>25149</v>
      </c>
      <c r="C489" s="153" t="s">
        <v>31</v>
      </c>
      <c r="D489" s="178">
        <v>383.5</v>
      </c>
      <c r="E489" s="155">
        <v>44778</v>
      </c>
      <c r="F489" s="178">
        <v>383.5</v>
      </c>
      <c r="G489" s="179">
        <f>Tabla19[[#This Row],[Importe]]-Tabla19[[#This Row],[Pagado]]</f>
        <v>0</v>
      </c>
      <c r="H489" s="153" t="s">
        <v>10</v>
      </c>
    </row>
    <row r="490" spans="1:8" x14ac:dyDescent="0.25">
      <c r="A490" s="73">
        <v>44778</v>
      </c>
      <c r="B490" s="74" t="s">
        <v>25150</v>
      </c>
      <c r="C490" s="75" t="s">
        <v>284</v>
      </c>
      <c r="D490" s="176">
        <v>13293.6</v>
      </c>
      <c r="E490" s="151">
        <v>44779</v>
      </c>
      <c r="F490" s="176">
        <v>13293.6</v>
      </c>
      <c r="G490" s="177">
        <f>Tabla19[[#This Row],[Importe]]-Tabla19[[#This Row],[Pagado]]</f>
        <v>0</v>
      </c>
      <c r="H490" s="75" t="s">
        <v>10</v>
      </c>
    </row>
    <row r="491" spans="1:8" x14ac:dyDescent="0.25">
      <c r="A491" s="148">
        <v>44778</v>
      </c>
      <c r="B491" s="149" t="s">
        <v>25151</v>
      </c>
      <c r="C491" s="153" t="s">
        <v>214</v>
      </c>
      <c r="D491" s="178">
        <v>1618.2</v>
      </c>
      <c r="E491" s="155">
        <v>44778</v>
      </c>
      <c r="F491" s="178">
        <v>1618.2</v>
      </c>
      <c r="G491" s="179">
        <f>Tabla19[[#This Row],[Importe]]-Tabla19[[#This Row],[Pagado]]</f>
        <v>0</v>
      </c>
      <c r="H491" s="153" t="s">
        <v>10</v>
      </c>
    </row>
    <row r="492" spans="1:8" x14ac:dyDescent="0.25">
      <c r="A492" s="73">
        <v>44778</v>
      </c>
      <c r="B492" s="74" t="s">
        <v>25152</v>
      </c>
      <c r="C492" s="75" t="s">
        <v>280</v>
      </c>
      <c r="D492" s="176">
        <v>1513.8</v>
      </c>
      <c r="E492" s="151">
        <v>44779</v>
      </c>
      <c r="F492" s="176">
        <v>1513.8</v>
      </c>
      <c r="G492" s="177">
        <f>Tabla19[[#This Row],[Importe]]-Tabla19[[#This Row],[Pagado]]</f>
        <v>0</v>
      </c>
      <c r="H492" s="75" t="s">
        <v>10</v>
      </c>
    </row>
    <row r="493" spans="1:8" x14ac:dyDescent="0.25">
      <c r="A493" s="148">
        <v>44778</v>
      </c>
      <c r="B493" s="149" t="s">
        <v>25153</v>
      </c>
      <c r="C493" s="153" t="s">
        <v>282</v>
      </c>
      <c r="D493" s="178">
        <v>3706.2</v>
      </c>
      <c r="E493" s="155">
        <v>44779</v>
      </c>
      <c r="F493" s="178">
        <v>3706.2</v>
      </c>
      <c r="G493" s="179">
        <f>Tabla19[[#This Row],[Importe]]-Tabla19[[#This Row],[Pagado]]</f>
        <v>0</v>
      </c>
      <c r="H493" s="153" t="s">
        <v>10</v>
      </c>
    </row>
    <row r="494" spans="1:8" x14ac:dyDescent="0.25">
      <c r="A494" s="73">
        <v>44778</v>
      </c>
      <c r="B494" s="74" t="s">
        <v>25154</v>
      </c>
      <c r="C494" s="75" t="s">
        <v>5345</v>
      </c>
      <c r="D494" s="176">
        <v>3732.3</v>
      </c>
      <c r="E494" s="151">
        <v>44779</v>
      </c>
      <c r="F494" s="176">
        <v>3732.3</v>
      </c>
      <c r="G494" s="177">
        <f>Tabla19[[#This Row],[Importe]]-Tabla19[[#This Row],[Pagado]]</f>
        <v>0</v>
      </c>
      <c r="H494" s="75" t="s">
        <v>10</v>
      </c>
    </row>
    <row r="495" spans="1:8" x14ac:dyDescent="0.25">
      <c r="A495" s="148">
        <v>44778</v>
      </c>
      <c r="B495" s="149" t="s">
        <v>25155</v>
      </c>
      <c r="C495" s="153" t="s">
        <v>10819</v>
      </c>
      <c r="D495" s="178">
        <v>895.9</v>
      </c>
      <c r="E495" s="155">
        <v>44779</v>
      </c>
      <c r="F495" s="178">
        <v>895.9</v>
      </c>
      <c r="G495" s="179">
        <f>Tabla19[[#This Row],[Importe]]-Tabla19[[#This Row],[Pagado]]</f>
        <v>0</v>
      </c>
      <c r="H495" s="153" t="s">
        <v>10</v>
      </c>
    </row>
    <row r="496" spans="1:8" x14ac:dyDescent="0.25">
      <c r="A496" s="73">
        <v>44778</v>
      </c>
      <c r="B496" s="74" t="s">
        <v>25156</v>
      </c>
      <c r="C496" s="75" t="s">
        <v>179</v>
      </c>
      <c r="D496" s="176">
        <v>1618.2</v>
      </c>
      <c r="E496" s="151">
        <v>44779</v>
      </c>
      <c r="F496" s="176">
        <v>1618.2</v>
      </c>
      <c r="G496" s="177">
        <f>Tabla19[[#This Row],[Importe]]-Tabla19[[#This Row],[Pagado]]</f>
        <v>0</v>
      </c>
      <c r="H496" s="75" t="s">
        <v>10</v>
      </c>
    </row>
    <row r="497" spans="1:8" x14ac:dyDescent="0.25">
      <c r="A497" s="148">
        <v>44778</v>
      </c>
      <c r="B497" s="149" t="s">
        <v>25157</v>
      </c>
      <c r="C497" s="153" t="s">
        <v>1008</v>
      </c>
      <c r="D497" s="178">
        <v>483.6</v>
      </c>
      <c r="E497" s="155">
        <v>44778</v>
      </c>
      <c r="F497" s="178">
        <v>483.6</v>
      </c>
      <c r="G497" s="179">
        <f>Tabla19[[#This Row],[Importe]]-Tabla19[[#This Row],[Pagado]]</f>
        <v>0</v>
      </c>
      <c r="H497" s="153" t="s">
        <v>10</v>
      </c>
    </row>
    <row r="498" spans="1:8" x14ac:dyDescent="0.25">
      <c r="A498" s="73">
        <v>44778</v>
      </c>
      <c r="B498" s="74" t="s">
        <v>25158</v>
      </c>
      <c r="C498" s="75" t="s">
        <v>296</v>
      </c>
      <c r="D498" s="176">
        <v>948</v>
      </c>
      <c r="E498" s="151">
        <v>44778</v>
      </c>
      <c r="F498" s="176">
        <v>948</v>
      </c>
      <c r="G498" s="177">
        <f>Tabla19[[#This Row],[Importe]]-Tabla19[[#This Row],[Pagado]]</f>
        <v>0</v>
      </c>
      <c r="H498" s="75" t="s">
        <v>10</v>
      </c>
    </row>
    <row r="499" spans="1:8" x14ac:dyDescent="0.25">
      <c r="A499" s="148">
        <v>44778</v>
      </c>
      <c r="B499" s="149" t="s">
        <v>25159</v>
      </c>
      <c r="C499" s="153" t="s">
        <v>69</v>
      </c>
      <c r="D499" s="178">
        <v>3687.2</v>
      </c>
      <c r="E499" s="155">
        <v>44778</v>
      </c>
      <c r="F499" s="178">
        <v>3687.2</v>
      </c>
      <c r="G499" s="179">
        <f>Tabla19[[#This Row],[Importe]]-Tabla19[[#This Row],[Pagado]]</f>
        <v>0</v>
      </c>
      <c r="H499" s="153" t="s">
        <v>10</v>
      </c>
    </row>
    <row r="500" spans="1:8" x14ac:dyDescent="0.25">
      <c r="A500" s="73">
        <v>44778</v>
      </c>
      <c r="B500" s="74" t="s">
        <v>25160</v>
      </c>
      <c r="C500" s="75" t="s">
        <v>31</v>
      </c>
      <c r="D500" s="176">
        <v>6336</v>
      </c>
      <c r="E500" s="151">
        <v>44778</v>
      </c>
      <c r="F500" s="176">
        <v>6336</v>
      </c>
      <c r="G500" s="177">
        <f>Tabla19[[#This Row],[Importe]]-Tabla19[[#This Row],[Pagado]]</f>
        <v>0</v>
      </c>
      <c r="H500" s="75" t="s">
        <v>10</v>
      </c>
    </row>
    <row r="501" spans="1:8" x14ac:dyDescent="0.25">
      <c r="A501" s="148">
        <v>44778</v>
      </c>
      <c r="B501" s="149" t="s">
        <v>25161</v>
      </c>
      <c r="C501" s="153" t="s">
        <v>10678</v>
      </c>
      <c r="D501" s="178">
        <v>6117.1</v>
      </c>
      <c r="E501" s="155">
        <v>44778</v>
      </c>
      <c r="F501" s="178">
        <v>6117.1</v>
      </c>
      <c r="G501" s="179">
        <f>Tabla19[[#This Row],[Importe]]-Tabla19[[#This Row],[Pagado]]</f>
        <v>0</v>
      </c>
      <c r="H501" s="153" t="s">
        <v>10</v>
      </c>
    </row>
    <row r="502" spans="1:8" x14ac:dyDescent="0.25">
      <c r="A502" s="73">
        <v>44778</v>
      </c>
      <c r="B502" s="74" t="s">
        <v>25162</v>
      </c>
      <c r="C502" s="75" t="s">
        <v>31</v>
      </c>
      <c r="D502" s="176">
        <v>1212</v>
      </c>
      <c r="E502" s="151">
        <v>44778</v>
      </c>
      <c r="F502" s="176">
        <v>1212</v>
      </c>
      <c r="G502" s="177">
        <f>Tabla19[[#This Row],[Importe]]-Tabla19[[#This Row],[Pagado]]</f>
        <v>0</v>
      </c>
      <c r="H502" s="75" t="s">
        <v>10</v>
      </c>
    </row>
    <row r="503" spans="1:8" x14ac:dyDescent="0.25">
      <c r="A503" s="148">
        <v>44778</v>
      </c>
      <c r="B503" s="149" t="s">
        <v>25163</v>
      </c>
      <c r="C503" s="153" t="s">
        <v>24</v>
      </c>
      <c r="D503" s="178">
        <v>1286.4000000000001</v>
      </c>
      <c r="E503" s="155">
        <v>44778</v>
      </c>
      <c r="F503" s="178">
        <v>1286.4000000000001</v>
      </c>
      <c r="G503" s="179">
        <f>Tabla19[[#This Row],[Importe]]-Tabla19[[#This Row],[Pagado]]</f>
        <v>0</v>
      </c>
      <c r="H503" s="153" t="s">
        <v>10</v>
      </c>
    </row>
    <row r="504" spans="1:8" x14ac:dyDescent="0.25">
      <c r="A504" s="73">
        <v>44778</v>
      </c>
      <c r="B504" s="74" t="s">
        <v>25164</v>
      </c>
      <c r="C504" s="75" t="s">
        <v>698</v>
      </c>
      <c r="D504" s="176">
        <v>5295.2</v>
      </c>
      <c r="E504" s="151">
        <v>44778</v>
      </c>
      <c r="F504" s="176">
        <v>5295.2</v>
      </c>
      <c r="G504" s="177">
        <f>Tabla19[[#This Row],[Importe]]-Tabla19[[#This Row],[Pagado]]</f>
        <v>0</v>
      </c>
      <c r="H504" s="75" t="s">
        <v>10</v>
      </c>
    </row>
    <row r="505" spans="1:8" x14ac:dyDescent="0.25">
      <c r="A505" s="148">
        <v>44778</v>
      </c>
      <c r="B505" s="149" t="s">
        <v>25165</v>
      </c>
      <c r="C505" s="153" t="s">
        <v>698</v>
      </c>
      <c r="D505" s="178">
        <v>262.39999999999998</v>
      </c>
      <c r="E505" s="155">
        <v>44778</v>
      </c>
      <c r="F505" s="178">
        <v>262.39999999999998</v>
      </c>
      <c r="G505" s="179">
        <f>Tabla19[[#This Row],[Importe]]-Tabla19[[#This Row],[Pagado]]</f>
        <v>0</v>
      </c>
      <c r="H505" s="153" t="s">
        <v>10</v>
      </c>
    </row>
    <row r="506" spans="1:8" x14ac:dyDescent="0.25">
      <c r="A506" s="73">
        <v>44778</v>
      </c>
      <c r="B506" s="74" t="s">
        <v>25166</v>
      </c>
      <c r="C506" s="75" t="s">
        <v>31</v>
      </c>
      <c r="D506" s="176">
        <v>3721.4</v>
      </c>
      <c r="E506" s="151">
        <v>44778</v>
      </c>
      <c r="F506" s="176">
        <v>3721.4</v>
      </c>
      <c r="G506" s="177">
        <f>Tabla19[[#This Row],[Importe]]-Tabla19[[#This Row],[Pagado]]</f>
        <v>0</v>
      </c>
      <c r="H506" s="75" t="s">
        <v>10</v>
      </c>
    </row>
    <row r="507" spans="1:8" x14ac:dyDescent="0.25">
      <c r="A507" s="148">
        <v>44778</v>
      </c>
      <c r="B507" s="149" t="s">
        <v>25167</v>
      </c>
      <c r="C507" s="153" t="s">
        <v>857</v>
      </c>
      <c r="D507" s="178">
        <v>1552.8</v>
      </c>
      <c r="E507" s="155">
        <v>44778</v>
      </c>
      <c r="F507" s="178">
        <v>1552.8</v>
      </c>
      <c r="G507" s="179">
        <f>Tabla19[[#This Row],[Importe]]-Tabla19[[#This Row],[Pagado]]</f>
        <v>0</v>
      </c>
      <c r="H507" s="153" t="s">
        <v>10</v>
      </c>
    </row>
    <row r="508" spans="1:8" x14ac:dyDescent="0.25">
      <c r="A508" s="73">
        <v>44778</v>
      </c>
      <c r="B508" s="74" t="s">
        <v>25168</v>
      </c>
      <c r="C508" s="75" t="s">
        <v>442</v>
      </c>
      <c r="D508" s="176">
        <v>21801</v>
      </c>
      <c r="E508" s="151">
        <v>44778</v>
      </c>
      <c r="F508" s="176">
        <v>21801</v>
      </c>
      <c r="G508" s="177">
        <f>Tabla19[[#This Row],[Importe]]-Tabla19[[#This Row],[Pagado]]</f>
        <v>0</v>
      </c>
      <c r="H508" s="75" t="s">
        <v>10</v>
      </c>
    </row>
    <row r="509" spans="1:8" x14ac:dyDescent="0.25">
      <c r="A509" s="148">
        <v>44778</v>
      </c>
      <c r="B509" s="149" t="s">
        <v>25169</v>
      </c>
      <c r="C509" s="153" t="s">
        <v>5694</v>
      </c>
      <c r="D509" s="178">
        <v>4959</v>
      </c>
      <c r="E509" s="155">
        <v>44778</v>
      </c>
      <c r="F509" s="178">
        <v>4959</v>
      </c>
      <c r="G509" s="179">
        <f>Tabla19[[#This Row],[Importe]]-Tabla19[[#This Row],[Pagado]]</f>
        <v>0</v>
      </c>
      <c r="H509" s="153" t="s">
        <v>10</v>
      </c>
    </row>
    <row r="510" spans="1:8" x14ac:dyDescent="0.25">
      <c r="A510" s="73">
        <v>44778</v>
      </c>
      <c r="B510" s="74" t="s">
        <v>25170</v>
      </c>
      <c r="C510" s="75" t="s">
        <v>22</v>
      </c>
      <c r="D510" s="176">
        <v>5478.4</v>
      </c>
      <c r="E510" s="151">
        <v>44780</v>
      </c>
      <c r="F510" s="176">
        <v>5478.4</v>
      </c>
      <c r="G510" s="177">
        <f>Tabla19[[#This Row],[Importe]]-Tabla19[[#This Row],[Pagado]]</f>
        <v>0</v>
      </c>
      <c r="H510" s="75" t="s">
        <v>10</v>
      </c>
    </row>
    <row r="511" spans="1:8" x14ac:dyDescent="0.25">
      <c r="A511" s="148">
        <v>44778</v>
      </c>
      <c r="B511" s="149" t="s">
        <v>25171</v>
      </c>
      <c r="C511" s="153" t="s">
        <v>296</v>
      </c>
      <c r="D511" s="178">
        <v>4470.3999999999996</v>
      </c>
      <c r="E511" s="155">
        <v>44778</v>
      </c>
      <c r="F511" s="178">
        <v>4470.3999999999996</v>
      </c>
      <c r="G511" s="179">
        <f>Tabla19[[#This Row],[Importe]]-Tabla19[[#This Row],[Pagado]]</f>
        <v>0</v>
      </c>
      <c r="H511" s="153" t="s">
        <v>10</v>
      </c>
    </row>
    <row r="512" spans="1:8" x14ac:dyDescent="0.25">
      <c r="A512" s="73">
        <v>44778</v>
      </c>
      <c r="B512" s="74" t="s">
        <v>25172</v>
      </c>
      <c r="C512" s="75" t="s">
        <v>31</v>
      </c>
      <c r="D512" s="176">
        <v>3393.4</v>
      </c>
      <c r="E512" s="151">
        <v>44778</v>
      </c>
      <c r="F512" s="176">
        <v>3393.4</v>
      </c>
      <c r="G512" s="177">
        <f>Tabla19[[#This Row],[Importe]]-Tabla19[[#This Row],[Pagado]]</f>
        <v>0</v>
      </c>
      <c r="H512" s="75" t="s">
        <v>10</v>
      </c>
    </row>
    <row r="513" spans="1:8" x14ac:dyDescent="0.25">
      <c r="A513" s="148">
        <v>44779</v>
      </c>
      <c r="B513" s="149" t="s">
        <v>25173</v>
      </c>
      <c r="C513" s="153" t="s">
        <v>887</v>
      </c>
      <c r="D513" s="178">
        <v>27310.799999999999</v>
      </c>
      <c r="E513" s="155">
        <v>44779</v>
      </c>
      <c r="F513" s="178">
        <v>27310.799999999999</v>
      </c>
      <c r="G513" s="179">
        <f>Tabla19[[#This Row],[Importe]]-Tabla19[[#This Row],[Pagado]]</f>
        <v>0</v>
      </c>
      <c r="H513" s="153" t="s">
        <v>10</v>
      </c>
    </row>
    <row r="514" spans="1:8" x14ac:dyDescent="0.25">
      <c r="A514" s="73">
        <v>44779</v>
      </c>
      <c r="B514" s="74" t="s">
        <v>25174</v>
      </c>
      <c r="C514" s="75" t="s">
        <v>887</v>
      </c>
      <c r="D514" s="176">
        <v>241.9</v>
      </c>
      <c r="E514" s="151">
        <v>44779</v>
      </c>
      <c r="F514" s="176">
        <v>241.9</v>
      </c>
      <c r="G514" s="177">
        <f>Tabla19[[#This Row],[Importe]]-Tabla19[[#This Row],[Pagado]]</f>
        <v>0</v>
      </c>
      <c r="H514" s="75" t="s">
        <v>10</v>
      </c>
    </row>
    <row r="515" spans="1:8" x14ac:dyDescent="0.25">
      <c r="A515" s="148">
        <v>44779</v>
      </c>
      <c r="B515" s="149" t="s">
        <v>25175</v>
      </c>
      <c r="C515" s="153" t="s">
        <v>75</v>
      </c>
      <c r="D515" s="178">
        <v>19870.8</v>
      </c>
      <c r="E515" s="155">
        <v>44779</v>
      </c>
      <c r="F515" s="178">
        <v>19870.8</v>
      </c>
      <c r="G515" s="179">
        <f>Tabla19[[#This Row],[Importe]]-Tabla19[[#This Row],[Pagado]]</f>
        <v>0</v>
      </c>
      <c r="H515" s="153" t="s">
        <v>10</v>
      </c>
    </row>
    <row r="516" spans="1:8" ht="31.5" x14ac:dyDescent="0.25">
      <c r="A516" s="73">
        <v>44779</v>
      </c>
      <c r="B516" s="74" t="s">
        <v>25176</v>
      </c>
      <c r="C516" s="75" t="s">
        <v>475</v>
      </c>
      <c r="D516" s="176">
        <v>92478.399999999994</v>
      </c>
      <c r="E516" s="147" t="s">
        <v>25177</v>
      </c>
      <c r="F516" s="176">
        <f>40000+52478.4</f>
        <v>92478.399999999994</v>
      </c>
      <c r="G516" s="177">
        <f>Tabla19[[#This Row],[Importe]]-Tabla19[[#This Row],[Pagado]]</f>
        <v>0</v>
      </c>
      <c r="H516" s="75" t="s">
        <v>10</v>
      </c>
    </row>
    <row r="517" spans="1:8" x14ac:dyDescent="0.25">
      <c r="A517" s="148">
        <v>44779</v>
      </c>
      <c r="B517" s="149" t="s">
        <v>25178</v>
      </c>
      <c r="C517" s="153" t="s">
        <v>463</v>
      </c>
      <c r="D517" s="178">
        <v>550</v>
      </c>
      <c r="E517" s="155">
        <v>44782</v>
      </c>
      <c r="F517" s="178">
        <v>550</v>
      </c>
      <c r="G517" s="179">
        <f>Tabla19[[#This Row],[Importe]]-Tabla19[[#This Row],[Pagado]]</f>
        <v>0</v>
      </c>
      <c r="H517" s="153" t="s">
        <v>10</v>
      </c>
    </row>
    <row r="518" spans="1:8" x14ac:dyDescent="0.25">
      <c r="A518" s="73">
        <v>44779</v>
      </c>
      <c r="B518" s="74" t="s">
        <v>25179</v>
      </c>
      <c r="C518" s="75" t="s">
        <v>459</v>
      </c>
      <c r="D518" s="176">
        <v>213</v>
      </c>
      <c r="E518" s="151">
        <v>44779</v>
      </c>
      <c r="F518" s="176">
        <v>213</v>
      </c>
      <c r="G518" s="177">
        <f>Tabla19[[#This Row],[Importe]]-Tabla19[[#This Row],[Pagado]]</f>
        <v>0</v>
      </c>
      <c r="H518" s="75" t="s">
        <v>10</v>
      </c>
    </row>
    <row r="519" spans="1:8" x14ac:dyDescent="0.25">
      <c r="A519" s="148">
        <v>44779</v>
      </c>
      <c r="B519" s="149" t="s">
        <v>25180</v>
      </c>
      <c r="C519" s="153" t="s">
        <v>457</v>
      </c>
      <c r="D519" s="178">
        <v>198</v>
      </c>
      <c r="E519" s="155">
        <v>44779</v>
      </c>
      <c r="F519" s="178">
        <v>198</v>
      </c>
      <c r="G519" s="179">
        <f>Tabla19[[#This Row],[Importe]]-Tabla19[[#This Row],[Pagado]]</f>
        <v>0</v>
      </c>
      <c r="H519" s="153" t="s">
        <v>10</v>
      </c>
    </row>
    <row r="520" spans="1:8" x14ac:dyDescent="0.25">
      <c r="A520" s="73">
        <v>44779</v>
      </c>
      <c r="B520" s="74" t="s">
        <v>25181</v>
      </c>
      <c r="C520" s="75" t="s">
        <v>461</v>
      </c>
      <c r="D520" s="176">
        <v>394</v>
      </c>
      <c r="E520" s="151">
        <v>44779</v>
      </c>
      <c r="F520" s="176">
        <v>394</v>
      </c>
      <c r="G520" s="177">
        <f>Tabla19[[#This Row],[Importe]]-Tabla19[[#This Row],[Pagado]]</f>
        <v>0</v>
      </c>
      <c r="H520" s="75" t="s">
        <v>10</v>
      </c>
    </row>
    <row r="521" spans="1:8" x14ac:dyDescent="0.25">
      <c r="A521" s="148">
        <v>44779</v>
      </c>
      <c r="B521" s="149" t="s">
        <v>25182</v>
      </c>
      <c r="C521" s="153" t="s">
        <v>518</v>
      </c>
      <c r="D521" s="178">
        <v>1615.8</v>
      </c>
      <c r="E521" s="155">
        <v>44779</v>
      </c>
      <c r="F521" s="178">
        <v>1615.8</v>
      </c>
      <c r="G521" s="179">
        <f>Tabla19[[#This Row],[Importe]]-Tabla19[[#This Row],[Pagado]]</f>
        <v>0</v>
      </c>
      <c r="H521" s="153" t="s">
        <v>10</v>
      </c>
    </row>
    <row r="522" spans="1:8" x14ac:dyDescent="0.25">
      <c r="A522" s="73">
        <v>44779</v>
      </c>
      <c r="B522" s="74" t="s">
        <v>25183</v>
      </c>
      <c r="C522" s="75" t="s">
        <v>111</v>
      </c>
      <c r="D522" s="176">
        <v>11360</v>
      </c>
      <c r="E522" s="151">
        <v>44781</v>
      </c>
      <c r="F522" s="176">
        <v>11360</v>
      </c>
      <c r="G522" s="177">
        <f>Tabla19[[#This Row],[Importe]]-Tabla19[[#This Row],[Pagado]]</f>
        <v>0</v>
      </c>
      <c r="H522" s="75" t="s">
        <v>10</v>
      </c>
    </row>
    <row r="523" spans="1:8" x14ac:dyDescent="0.25">
      <c r="A523" s="148">
        <v>44779</v>
      </c>
      <c r="B523" s="149" t="s">
        <v>25184</v>
      </c>
      <c r="C523" s="153" t="s">
        <v>520</v>
      </c>
      <c r="D523" s="178">
        <v>7060.42</v>
      </c>
      <c r="E523" s="155">
        <v>44779</v>
      </c>
      <c r="F523" s="178">
        <v>7060.42</v>
      </c>
      <c r="G523" s="179">
        <f>Tabla19[[#This Row],[Importe]]-Tabla19[[#This Row],[Pagado]]</f>
        <v>0</v>
      </c>
      <c r="H523" s="153" t="s">
        <v>10</v>
      </c>
    </row>
    <row r="524" spans="1:8" x14ac:dyDescent="0.25">
      <c r="A524" s="73">
        <v>44779</v>
      </c>
      <c r="B524" s="74" t="s">
        <v>25185</v>
      </c>
      <c r="C524" s="75" t="s">
        <v>319</v>
      </c>
      <c r="D524" s="176">
        <v>12206.2</v>
      </c>
      <c r="E524" s="151">
        <v>44779</v>
      </c>
      <c r="F524" s="176">
        <v>12206.2</v>
      </c>
      <c r="G524" s="177">
        <f>Tabla19[[#This Row],[Importe]]-Tabla19[[#This Row],[Pagado]]</f>
        <v>0</v>
      </c>
      <c r="H524" s="75" t="s">
        <v>10</v>
      </c>
    </row>
    <row r="525" spans="1:8" x14ac:dyDescent="0.25">
      <c r="A525" s="148">
        <v>44779</v>
      </c>
      <c r="B525" s="149" t="s">
        <v>25186</v>
      </c>
      <c r="C525" s="153" t="s">
        <v>966</v>
      </c>
      <c r="D525" s="178">
        <v>6107.3</v>
      </c>
      <c r="E525" s="155">
        <v>44779</v>
      </c>
      <c r="F525" s="178">
        <v>6107.3</v>
      </c>
      <c r="G525" s="179">
        <f>Tabla19[[#This Row],[Importe]]-Tabla19[[#This Row],[Pagado]]</f>
        <v>0</v>
      </c>
      <c r="H525" s="153" t="s">
        <v>10</v>
      </c>
    </row>
    <row r="526" spans="1:8" x14ac:dyDescent="0.25">
      <c r="A526" s="73">
        <v>44779</v>
      </c>
      <c r="B526" s="74" t="s">
        <v>25187</v>
      </c>
      <c r="C526" s="75" t="s">
        <v>159</v>
      </c>
      <c r="D526" s="176">
        <v>2091.6999999999998</v>
      </c>
      <c r="E526" s="151">
        <v>44779</v>
      </c>
      <c r="F526" s="176">
        <v>2091.6999999999998</v>
      </c>
      <c r="G526" s="177">
        <f>Tabla19[[#This Row],[Importe]]-Tabla19[[#This Row],[Pagado]]</f>
        <v>0</v>
      </c>
      <c r="H526" s="75" t="s">
        <v>10</v>
      </c>
    </row>
    <row r="527" spans="1:8" x14ac:dyDescent="0.25">
      <c r="A527" s="148">
        <v>44779</v>
      </c>
      <c r="B527" s="149" t="s">
        <v>25188</v>
      </c>
      <c r="C527" s="153" t="s">
        <v>934</v>
      </c>
      <c r="D527" s="178">
        <v>3977.04</v>
      </c>
      <c r="E527" s="155">
        <v>44779</v>
      </c>
      <c r="F527" s="178">
        <v>3977.04</v>
      </c>
      <c r="G527" s="179">
        <f>Tabla19[[#This Row],[Importe]]-Tabla19[[#This Row],[Pagado]]</f>
        <v>0</v>
      </c>
      <c r="H527" s="153" t="s">
        <v>10</v>
      </c>
    </row>
    <row r="528" spans="1:8" x14ac:dyDescent="0.25">
      <c r="A528" s="73">
        <v>44779</v>
      </c>
      <c r="B528" s="74" t="s">
        <v>25189</v>
      </c>
      <c r="C528" s="75" t="s">
        <v>157</v>
      </c>
      <c r="D528" s="176">
        <v>8810.6</v>
      </c>
      <c r="E528" s="151">
        <v>44779</v>
      </c>
      <c r="F528" s="176">
        <v>8810.6</v>
      </c>
      <c r="G528" s="177">
        <f>Tabla19[[#This Row],[Importe]]-Tabla19[[#This Row],[Pagado]]</f>
        <v>0</v>
      </c>
      <c r="H528" s="75" t="s">
        <v>10</v>
      </c>
    </row>
    <row r="529" spans="1:8" x14ac:dyDescent="0.25">
      <c r="A529" s="148">
        <v>44779</v>
      </c>
      <c r="B529" s="149" t="s">
        <v>25190</v>
      </c>
      <c r="C529" s="153" t="s">
        <v>9</v>
      </c>
      <c r="D529" s="178">
        <v>10727.9</v>
      </c>
      <c r="E529" s="155">
        <v>44779</v>
      </c>
      <c r="F529" s="178">
        <v>10727.9</v>
      </c>
      <c r="G529" s="179">
        <f>Tabla19[[#This Row],[Importe]]-Tabla19[[#This Row],[Pagado]]</f>
        <v>0</v>
      </c>
      <c r="H529" s="153" t="s">
        <v>10</v>
      </c>
    </row>
    <row r="530" spans="1:8" x14ac:dyDescent="0.25">
      <c r="A530" s="73">
        <v>44779</v>
      </c>
      <c r="B530" s="74" t="s">
        <v>25191</v>
      </c>
      <c r="C530" s="75" t="s">
        <v>105</v>
      </c>
      <c r="D530" s="176">
        <v>20806.2</v>
      </c>
      <c r="E530" s="151">
        <v>44781</v>
      </c>
      <c r="F530" s="176">
        <v>20806.2</v>
      </c>
      <c r="G530" s="177">
        <f>Tabla19[[#This Row],[Importe]]-Tabla19[[#This Row],[Pagado]]</f>
        <v>0</v>
      </c>
      <c r="H530" s="75" t="s">
        <v>10</v>
      </c>
    </row>
    <row r="531" spans="1:8" ht="31.5" x14ac:dyDescent="0.25">
      <c r="A531" s="148">
        <v>44779</v>
      </c>
      <c r="B531" s="149" t="s">
        <v>25192</v>
      </c>
      <c r="C531" s="153" t="s">
        <v>93</v>
      </c>
      <c r="D531" s="178">
        <v>26698.6</v>
      </c>
      <c r="E531" s="150" t="s">
        <v>25193</v>
      </c>
      <c r="F531" s="178">
        <f>7000+10000+9698.6</f>
        <v>26698.6</v>
      </c>
      <c r="G531" s="179">
        <f>Tabla19[[#This Row],[Importe]]-Tabla19[[#This Row],[Pagado]]</f>
        <v>0</v>
      </c>
      <c r="H531" s="153" t="s">
        <v>10</v>
      </c>
    </row>
    <row r="532" spans="1:8" x14ac:dyDescent="0.25">
      <c r="A532" s="73">
        <v>44779</v>
      </c>
      <c r="B532" s="74" t="s">
        <v>25194</v>
      </c>
      <c r="C532" s="75" t="s">
        <v>348</v>
      </c>
      <c r="D532" s="176">
        <v>12415.1</v>
      </c>
      <c r="E532" s="151">
        <v>44779</v>
      </c>
      <c r="F532" s="176">
        <v>12415.1</v>
      </c>
      <c r="G532" s="177">
        <f>Tabla19[[#This Row],[Importe]]-Tabla19[[#This Row],[Pagado]]</f>
        <v>0</v>
      </c>
      <c r="H532" s="75" t="s">
        <v>10</v>
      </c>
    </row>
    <row r="533" spans="1:8" ht="31.5" x14ac:dyDescent="0.25">
      <c r="A533" s="148">
        <v>44779</v>
      </c>
      <c r="B533" s="149" t="s">
        <v>25195</v>
      </c>
      <c r="C533" s="153" t="s">
        <v>99</v>
      </c>
      <c r="D533" s="178">
        <v>15876.2</v>
      </c>
      <c r="E533" s="150" t="s">
        <v>25196</v>
      </c>
      <c r="F533" s="178">
        <f>11000+4000+876.2</f>
        <v>15876.2</v>
      </c>
      <c r="G533" s="179">
        <f>Tabla19[[#This Row],[Importe]]-Tabla19[[#This Row],[Pagado]]</f>
        <v>0</v>
      </c>
      <c r="H533" s="153" t="s">
        <v>10</v>
      </c>
    </row>
    <row r="534" spans="1:8" x14ac:dyDescent="0.25">
      <c r="A534" s="73">
        <v>44779</v>
      </c>
      <c r="B534" s="74" t="s">
        <v>25197</v>
      </c>
      <c r="C534" s="75" t="s">
        <v>97</v>
      </c>
      <c r="D534" s="176">
        <v>10236.6</v>
      </c>
      <c r="E534" s="151">
        <v>44781</v>
      </c>
      <c r="F534" s="176">
        <v>10236.6</v>
      </c>
      <c r="G534" s="177">
        <f>Tabla19[[#This Row],[Importe]]-Tabla19[[#This Row],[Pagado]]</f>
        <v>0</v>
      </c>
      <c r="H534" s="75" t="s">
        <v>10</v>
      </c>
    </row>
    <row r="535" spans="1:8" x14ac:dyDescent="0.25">
      <c r="A535" s="148">
        <v>44779</v>
      </c>
      <c r="B535" s="149" t="s">
        <v>25198</v>
      </c>
      <c r="C535" s="153" t="s">
        <v>64</v>
      </c>
      <c r="D535" s="178">
        <v>10949.4</v>
      </c>
      <c r="E535" s="155">
        <v>44782</v>
      </c>
      <c r="F535" s="178">
        <v>10949.4</v>
      </c>
      <c r="G535" s="179">
        <f>Tabla19[[#This Row],[Importe]]-Tabla19[[#This Row],[Pagado]]</f>
        <v>0</v>
      </c>
      <c r="H535" s="153" t="s">
        <v>10</v>
      </c>
    </row>
    <row r="536" spans="1:8" x14ac:dyDescent="0.25">
      <c r="A536" s="73">
        <v>44779</v>
      </c>
      <c r="B536" s="74" t="s">
        <v>25199</v>
      </c>
      <c r="C536" s="75" t="s">
        <v>1187</v>
      </c>
      <c r="D536" s="176">
        <v>1073.8</v>
      </c>
      <c r="E536" s="151">
        <v>44779</v>
      </c>
      <c r="F536" s="176">
        <v>1073.8</v>
      </c>
      <c r="G536" s="177">
        <f>Tabla19[[#This Row],[Importe]]-Tabla19[[#This Row],[Pagado]]</f>
        <v>0</v>
      </c>
      <c r="H536" s="75" t="s">
        <v>10</v>
      </c>
    </row>
    <row r="537" spans="1:8" ht="31.5" x14ac:dyDescent="0.25">
      <c r="A537" s="148">
        <v>44779</v>
      </c>
      <c r="B537" s="149" t="s">
        <v>25200</v>
      </c>
      <c r="C537" s="153" t="s">
        <v>345</v>
      </c>
      <c r="D537" s="178">
        <v>6461.4</v>
      </c>
      <c r="E537" s="150" t="s">
        <v>25062</v>
      </c>
      <c r="F537" s="178">
        <f>3500+2961.4</f>
        <v>6461.4</v>
      </c>
      <c r="G537" s="179">
        <f>Tabla19[[#This Row],[Importe]]-Tabla19[[#This Row],[Pagado]]</f>
        <v>0</v>
      </c>
      <c r="H537" s="153" t="s">
        <v>10</v>
      </c>
    </row>
    <row r="538" spans="1:8" x14ac:dyDescent="0.25">
      <c r="A538" s="73">
        <v>44779</v>
      </c>
      <c r="B538" s="74" t="s">
        <v>25201</v>
      </c>
      <c r="C538" s="75" t="s">
        <v>2563</v>
      </c>
      <c r="D538" s="176">
        <v>4950</v>
      </c>
      <c r="E538" s="151">
        <v>44781</v>
      </c>
      <c r="F538" s="176">
        <v>4950</v>
      </c>
      <c r="G538" s="177">
        <f>Tabla19[[#This Row],[Importe]]-Tabla19[[#This Row],[Pagado]]</f>
        <v>0</v>
      </c>
      <c r="H538" s="75" t="s">
        <v>10</v>
      </c>
    </row>
    <row r="539" spans="1:8" x14ac:dyDescent="0.25">
      <c r="A539" s="148">
        <v>44779</v>
      </c>
      <c r="B539" s="149" t="s">
        <v>25202</v>
      </c>
      <c r="C539" s="153" t="s">
        <v>89</v>
      </c>
      <c r="D539" s="178">
        <v>19966</v>
      </c>
      <c r="E539" s="155">
        <v>44781</v>
      </c>
      <c r="F539" s="178">
        <v>19966</v>
      </c>
      <c r="G539" s="179">
        <f>Tabla19[[#This Row],[Importe]]-Tabla19[[#This Row],[Pagado]]</f>
        <v>0</v>
      </c>
      <c r="H539" s="153" t="s">
        <v>10</v>
      </c>
    </row>
    <row r="540" spans="1:8" ht="31.5" x14ac:dyDescent="0.25">
      <c r="A540" s="73">
        <v>44779</v>
      </c>
      <c r="B540" s="74" t="s">
        <v>25203</v>
      </c>
      <c r="C540" s="75" t="s">
        <v>22</v>
      </c>
      <c r="D540" s="176">
        <v>85995.6</v>
      </c>
      <c r="E540" s="147" t="s">
        <v>25177</v>
      </c>
      <c r="F540" s="176">
        <f>70000+15995.6</f>
        <v>85995.6</v>
      </c>
      <c r="G540" s="177">
        <f>Tabla19[[#This Row],[Importe]]-Tabla19[[#This Row],[Pagado]]</f>
        <v>0</v>
      </c>
      <c r="H540" s="75" t="s">
        <v>10</v>
      </c>
    </row>
    <row r="541" spans="1:8" x14ac:dyDescent="0.25">
      <c r="A541" s="148">
        <v>44779</v>
      </c>
      <c r="B541" s="149" t="s">
        <v>25204</v>
      </c>
      <c r="C541" s="153" t="s">
        <v>22</v>
      </c>
      <c r="D541" s="178">
        <v>12743.4</v>
      </c>
      <c r="E541" s="155">
        <v>44780</v>
      </c>
      <c r="F541" s="178">
        <v>12743.4</v>
      </c>
      <c r="G541" s="179">
        <f>Tabla19[[#This Row],[Importe]]-Tabla19[[#This Row],[Pagado]]</f>
        <v>0</v>
      </c>
      <c r="H541" s="153" t="s">
        <v>10</v>
      </c>
    </row>
    <row r="542" spans="1:8" x14ac:dyDescent="0.25">
      <c r="A542" s="73">
        <v>44779</v>
      </c>
      <c r="B542" s="74" t="s">
        <v>25205</v>
      </c>
      <c r="C542" s="75" t="s">
        <v>326</v>
      </c>
      <c r="D542" s="176">
        <v>15866.4</v>
      </c>
      <c r="E542" s="151">
        <v>44781</v>
      </c>
      <c r="F542" s="176">
        <v>15866.4</v>
      </c>
      <c r="G542" s="177">
        <f>Tabla19[[#This Row],[Importe]]-Tabla19[[#This Row],[Pagado]]</f>
        <v>0</v>
      </c>
      <c r="H542" s="75" t="s">
        <v>10</v>
      </c>
    </row>
    <row r="543" spans="1:8" x14ac:dyDescent="0.25">
      <c r="A543" s="148">
        <v>44779</v>
      </c>
      <c r="B543" s="149" t="s">
        <v>25206</v>
      </c>
      <c r="C543" s="153" t="s">
        <v>2151</v>
      </c>
      <c r="D543" s="178">
        <v>40344.199999999997</v>
      </c>
      <c r="E543" s="155">
        <v>68</v>
      </c>
      <c r="F543" s="178">
        <v>40344.199999999997</v>
      </c>
      <c r="G543" s="179">
        <f>Tabla19[[#This Row],[Importe]]-Tabla19[[#This Row],[Pagado]]</f>
        <v>0</v>
      </c>
      <c r="H543" s="153" t="s">
        <v>10</v>
      </c>
    </row>
    <row r="544" spans="1:8" x14ac:dyDescent="0.25">
      <c r="A544" s="73">
        <v>44779</v>
      </c>
      <c r="B544" s="74" t="s">
        <v>25207</v>
      </c>
      <c r="C544" s="75" t="s">
        <v>109</v>
      </c>
      <c r="D544" s="176">
        <v>5203.2</v>
      </c>
      <c r="E544" s="151">
        <v>44781</v>
      </c>
      <c r="F544" s="176">
        <v>5203.2</v>
      </c>
      <c r="G544" s="177">
        <f>Tabla19[[#This Row],[Importe]]-Tabla19[[#This Row],[Pagado]]</f>
        <v>0</v>
      </c>
      <c r="H544" s="75" t="s">
        <v>10</v>
      </c>
    </row>
    <row r="545" spans="1:8" x14ac:dyDescent="0.25">
      <c r="A545" s="148">
        <v>44779</v>
      </c>
      <c r="B545" s="149" t="s">
        <v>25208</v>
      </c>
      <c r="C545" s="153" t="s">
        <v>5043</v>
      </c>
      <c r="D545" s="178">
        <v>10797.6</v>
      </c>
      <c r="E545" s="155">
        <v>44781</v>
      </c>
      <c r="F545" s="178">
        <v>10797.6</v>
      </c>
      <c r="G545" s="179">
        <f>Tabla19[[#This Row],[Importe]]-Tabla19[[#This Row],[Pagado]]</f>
        <v>0</v>
      </c>
      <c r="H545" s="153" t="s">
        <v>10</v>
      </c>
    </row>
    <row r="546" spans="1:8" x14ac:dyDescent="0.25">
      <c r="A546" s="73">
        <v>44779</v>
      </c>
      <c r="B546" s="74" t="s">
        <v>25209</v>
      </c>
      <c r="C546" s="75" t="s">
        <v>555</v>
      </c>
      <c r="D546" s="176">
        <v>20731.2</v>
      </c>
      <c r="E546" s="151">
        <v>44779</v>
      </c>
      <c r="F546" s="176">
        <v>20731.2</v>
      </c>
      <c r="G546" s="177">
        <f>Tabla19[[#This Row],[Importe]]-Tabla19[[#This Row],[Pagado]]</f>
        <v>0</v>
      </c>
      <c r="H546" s="75" t="s">
        <v>10</v>
      </c>
    </row>
    <row r="547" spans="1:8" x14ac:dyDescent="0.25">
      <c r="A547" s="148">
        <v>44779</v>
      </c>
      <c r="B547" s="149" t="s">
        <v>25210</v>
      </c>
      <c r="C547" s="153" t="s">
        <v>273</v>
      </c>
      <c r="D547" s="178">
        <v>15972</v>
      </c>
      <c r="E547" s="155">
        <v>44782</v>
      </c>
      <c r="F547" s="178">
        <v>15972</v>
      </c>
      <c r="G547" s="179">
        <f>Tabla19[[#This Row],[Importe]]-Tabla19[[#This Row],[Pagado]]</f>
        <v>0</v>
      </c>
      <c r="H547" s="153" t="s">
        <v>10</v>
      </c>
    </row>
    <row r="548" spans="1:8" x14ac:dyDescent="0.25">
      <c r="A548" s="73">
        <v>44779</v>
      </c>
      <c r="B548" s="74" t="s">
        <v>25211</v>
      </c>
      <c r="C548" s="75" t="s">
        <v>151</v>
      </c>
      <c r="D548" s="176">
        <v>14344.5</v>
      </c>
      <c r="E548" s="151">
        <v>44779</v>
      </c>
      <c r="F548" s="176">
        <v>14344.5</v>
      </c>
      <c r="G548" s="177">
        <f>Tabla19[[#This Row],[Importe]]-Tabla19[[#This Row],[Pagado]]</f>
        <v>0</v>
      </c>
      <c r="H548" s="75" t="s">
        <v>10</v>
      </c>
    </row>
    <row r="549" spans="1:8" x14ac:dyDescent="0.25">
      <c r="A549" s="148">
        <v>44779</v>
      </c>
      <c r="B549" s="149" t="s">
        <v>25212</v>
      </c>
      <c r="C549" s="153" t="s">
        <v>114</v>
      </c>
      <c r="D549" s="178">
        <v>11500.8</v>
      </c>
      <c r="E549" s="155">
        <v>44781</v>
      </c>
      <c r="F549" s="178">
        <v>11500.8</v>
      </c>
      <c r="G549" s="179">
        <f>Tabla19[[#This Row],[Importe]]-Tabla19[[#This Row],[Pagado]]</f>
        <v>0</v>
      </c>
      <c r="H549" s="153" t="s">
        <v>10</v>
      </c>
    </row>
    <row r="550" spans="1:8" x14ac:dyDescent="0.25">
      <c r="A550" s="73">
        <v>44779</v>
      </c>
      <c r="B550" s="74" t="s">
        <v>25213</v>
      </c>
      <c r="C550" s="75" t="s">
        <v>29</v>
      </c>
      <c r="D550" s="176">
        <v>9013.2000000000007</v>
      </c>
      <c r="E550" s="151">
        <v>44779</v>
      </c>
      <c r="F550" s="176">
        <v>9013.2000000000007</v>
      </c>
      <c r="G550" s="177">
        <f>Tabla19[[#This Row],[Importe]]-Tabla19[[#This Row],[Pagado]]</f>
        <v>0</v>
      </c>
      <c r="H550" s="75" t="s">
        <v>10</v>
      </c>
    </row>
    <row r="551" spans="1:8" x14ac:dyDescent="0.25">
      <c r="A551" s="148">
        <v>44779</v>
      </c>
      <c r="B551" s="149" t="s">
        <v>25214</v>
      </c>
      <c r="C551" s="153" t="s">
        <v>142</v>
      </c>
      <c r="D551" s="178">
        <v>109154.04</v>
      </c>
      <c r="E551" s="155">
        <v>44837</v>
      </c>
      <c r="F551" s="178">
        <v>109154.04</v>
      </c>
      <c r="G551" s="179">
        <f>Tabla19[[#This Row],[Importe]]-Tabla19[[#This Row],[Pagado]]</f>
        <v>0</v>
      </c>
      <c r="H551" s="153" t="s">
        <v>10</v>
      </c>
    </row>
    <row r="552" spans="1:8" x14ac:dyDescent="0.25">
      <c r="A552" s="73">
        <v>44779</v>
      </c>
      <c r="B552" s="74" t="s">
        <v>25215</v>
      </c>
      <c r="C552" s="75" t="s">
        <v>181</v>
      </c>
      <c r="D552" s="176">
        <v>11647.9</v>
      </c>
      <c r="E552" s="151">
        <v>44779</v>
      </c>
      <c r="F552" s="176">
        <v>11647.9</v>
      </c>
      <c r="G552" s="177">
        <f>Tabla19[[#This Row],[Importe]]-Tabla19[[#This Row],[Pagado]]</f>
        <v>0</v>
      </c>
      <c r="H552" s="75" t="s">
        <v>10</v>
      </c>
    </row>
    <row r="553" spans="1:8" x14ac:dyDescent="0.25">
      <c r="A553" s="148">
        <v>44779</v>
      </c>
      <c r="B553" s="149" t="s">
        <v>25216</v>
      </c>
      <c r="C553" s="153" t="s">
        <v>16</v>
      </c>
      <c r="D553" s="178">
        <v>6874.6</v>
      </c>
      <c r="E553" s="155">
        <v>44779</v>
      </c>
      <c r="F553" s="178">
        <v>6874.6</v>
      </c>
      <c r="G553" s="179">
        <f>Tabla19[[#This Row],[Importe]]-Tabla19[[#This Row],[Pagado]]</f>
        <v>0</v>
      </c>
      <c r="H553" s="153" t="s">
        <v>10</v>
      </c>
    </row>
    <row r="554" spans="1:8" x14ac:dyDescent="0.25">
      <c r="A554" s="73">
        <v>44779</v>
      </c>
      <c r="B554" s="74" t="s">
        <v>25217</v>
      </c>
      <c r="C554" s="75" t="s">
        <v>11033</v>
      </c>
      <c r="D554" s="176">
        <v>3315</v>
      </c>
      <c r="E554" s="151">
        <v>44779</v>
      </c>
      <c r="F554" s="176">
        <v>3315</v>
      </c>
      <c r="G554" s="177">
        <f>Tabla19[[#This Row],[Importe]]-Tabla19[[#This Row],[Pagado]]</f>
        <v>0</v>
      </c>
      <c r="H554" s="75" t="s">
        <v>10</v>
      </c>
    </row>
    <row r="555" spans="1:8" x14ac:dyDescent="0.25">
      <c r="A555" s="148">
        <v>44779</v>
      </c>
      <c r="B555" s="149" t="s">
        <v>25218</v>
      </c>
      <c r="C555" s="153" t="s">
        <v>348</v>
      </c>
      <c r="D555" s="178">
        <v>5660.9</v>
      </c>
      <c r="E555" s="155">
        <v>44779</v>
      </c>
      <c r="F555" s="178">
        <v>5660.9</v>
      </c>
      <c r="G555" s="179">
        <f>Tabla19[[#This Row],[Importe]]-Tabla19[[#This Row],[Pagado]]</f>
        <v>0</v>
      </c>
      <c r="H555" s="153" t="s">
        <v>10</v>
      </c>
    </row>
    <row r="556" spans="1:8" x14ac:dyDescent="0.25">
      <c r="A556" s="73">
        <v>44779</v>
      </c>
      <c r="B556" s="74" t="s">
        <v>25219</v>
      </c>
      <c r="C556" s="75" t="s">
        <v>87</v>
      </c>
      <c r="D556" s="176">
        <v>5428.7</v>
      </c>
      <c r="E556" s="151">
        <v>44779</v>
      </c>
      <c r="F556" s="176">
        <v>5428.7</v>
      </c>
      <c r="G556" s="177">
        <f>Tabla19[[#This Row],[Importe]]-Tabla19[[#This Row],[Pagado]]</f>
        <v>0</v>
      </c>
      <c r="H556" s="75" t="s">
        <v>10</v>
      </c>
    </row>
    <row r="557" spans="1:8" x14ac:dyDescent="0.25">
      <c r="A557" s="148">
        <v>44779</v>
      </c>
      <c r="B557" s="149" t="s">
        <v>25220</v>
      </c>
      <c r="C557" s="153" t="s">
        <v>31</v>
      </c>
      <c r="D557" s="178">
        <v>4420</v>
      </c>
      <c r="E557" s="155">
        <v>44779</v>
      </c>
      <c r="F557" s="178">
        <v>4420</v>
      </c>
      <c r="G557" s="179">
        <f>Tabla19[[#This Row],[Importe]]-Tabla19[[#This Row],[Pagado]]</f>
        <v>0</v>
      </c>
      <c r="H557" s="153" t="s">
        <v>10</v>
      </c>
    </row>
    <row r="558" spans="1:8" x14ac:dyDescent="0.25">
      <c r="A558" s="73">
        <v>44779</v>
      </c>
      <c r="B558" s="74" t="s">
        <v>25221</v>
      </c>
      <c r="C558" s="75" t="s">
        <v>314</v>
      </c>
      <c r="D558" s="176">
        <v>6708.1</v>
      </c>
      <c r="E558" s="151">
        <v>44779</v>
      </c>
      <c r="F558" s="176">
        <v>6708.1</v>
      </c>
      <c r="G558" s="177">
        <f>Tabla19[[#This Row],[Importe]]-Tabla19[[#This Row],[Pagado]]</f>
        <v>0</v>
      </c>
      <c r="H558" s="75" t="s">
        <v>10</v>
      </c>
    </row>
    <row r="559" spans="1:8" x14ac:dyDescent="0.25">
      <c r="A559" s="148">
        <v>44779</v>
      </c>
      <c r="B559" s="149" t="s">
        <v>25222</v>
      </c>
      <c r="C559" s="153" t="s">
        <v>127</v>
      </c>
      <c r="D559" s="178">
        <v>5389.1</v>
      </c>
      <c r="E559" s="155">
        <v>44779</v>
      </c>
      <c r="F559" s="178">
        <v>5389.1</v>
      </c>
      <c r="G559" s="179">
        <f>Tabla19[[#This Row],[Importe]]-Tabla19[[#This Row],[Pagado]]</f>
        <v>0</v>
      </c>
      <c r="H559" s="153" t="s">
        <v>10</v>
      </c>
    </row>
    <row r="560" spans="1:8" x14ac:dyDescent="0.25">
      <c r="A560" s="73">
        <v>44779</v>
      </c>
      <c r="B560" s="74" t="s">
        <v>25223</v>
      </c>
      <c r="C560" s="75" t="s">
        <v>37</v>
      </c>
      <c r="D560" s="176">
        <v>3848.8</v>
      </c>
      <c r="E560" s="151">
        <v>44779</v>
      </c>
      <c r="F560" s="176">
        <v>3848.8</v>
      </c>
      <c r="G560" s="177">
        <f>Tabla19[[#This Row],[Importe]]-Tabla19[[#This Row],[Pagado]]</f>
        <v>0</v>
      </c>
      <c r="H560" s="75" t="s">
        <v>10</v>
      </c>
    </row>
    <row r="561" spans="1:8" x14ac:dyDescent="0.25">
      <c r="A561" s="148">
        <v>44779</v>
      </c>
      <c r="B561" s="149" t="s">
        <v>25224</v>
      </c>
      <c r="C561" s="153" t="s">
        <v>31</v>
      </c>
      <c r="D561" s="178">
        <v>1372.8</v>
      </c>
      <c r="E561" s="155">
        <v>44779</v>
      </c>
      <c r="F561" s="178">
        <v>1372.8</v>
      </c>
      <c r="G561" s="179">
        <f>Tabla19[[#This Row],[Importe]]-Tabla19[[#This Row],[Pagado]]</f>
        <v>0</v>
      </c>
      <c r="H561" s="153" t="s">
        <v>10</v>
      </c>
    </row>
    <row r="562" spans="1:8" x14ac:dyDescent="0.25">
      <c r="A562" s="73">
        <v>44779</v>
      </c>
      <c r="B562" s="74" t="s">
        <v>25225</v>
      </c>
      <c r="C562" s="75" t="s">
        <v>140</v>
      </c>
      <c r="D562" s="176">
        <v>3942.4</v>
      </c>
      <c r="E562" s="151">
        <v>44779</v>
      </c>
      <c r="F562" s="176">
        <v>3942.4</v>
      </c>
      <c r="G562" s="177">
        <f>Tabla19[[#This Row],[Importe]]-Tabla19[[#This Row],[Pagado]]</f>
        <v>0</v>
      </c>
      <c r="H562" s="75" t="s">
        <v>10</v>
      </c>
    </row>
    <row r="563" spans="1:8" x14ac:dyDescent="0.25">
      <c r="A563" s="148">
        <v>44779</v>
      </c>
      <c r="B563" s="149" t="s">
        <v>25226</v>
      </c>
      <c r="C563" s="153" t="s">
        <v>161</v>
      </c>
      <c r="D563" s="178">
        <v>4535.3</v>
      </c>
      <c r="E563" s="155">
        <v>44779</v>
      </c>
      <c r="F563" s="178">
        <v>4535.3</v>
      </c>
      <c r="G563" s="179">
        <f>Tabla19[[#This Row],[Importe]]-Tabla19[[#This Row],[Pagado]]</f>
        <v>0</v>
      </c>
      <c r="H563" s="153" t="s">
        <v>10</v>
      </c>
    </row>
    <row r="564" spans="1:8" x14ac:dyDescent="0.25">
      <c r="A564" s="73">
        <v>44779</v>
      </c>
      <c r="B564" s="74" t="s">
        <v>25227</v>
      </c>
      <c r="C564" s="75" t="s">
        <v>15876</v>
      </c>
      <c r="D564" s="176">
        <v>0</v>
      </c>
      <c r="E564" s="157" t="s">
        <v>189</v>
      </c>
      <c r="F564" s="176">
        <v>0</v>
      </c>
      <c r="G564" s="177">
        <f>Tabla19[[#This Row],[Importe]]-Tabla19[[#This Row],[Pagado]]</f>
        <v>0</v>
      </c>
      <c r="H564" s="75" t="s">
        <v>189</v>
      </c>
    </row>
    <row r="565" spans="1:8" x14ac:dyDescent="0.25">
      <c r="A565" s="148">
        <v>44779</v>
      </c>
      <c r="B565" s="149" t="s">
        <v>25228</v>
      </c>
      <c r="C565" s="153" t="s">
        <v>224</v>
      </c>
      <c r="D565" s="178">
        <v>624.79999999999995</v>
      </c>
      <c r="E565" s="155">
        <v>44779</v>
      </c>
      <c r="F565" s="178">
        <v>624.79999999999995</v>
      </c>
      <c r="G565" s="179">
        <f>Tabla19[[#This Row],[Importe]]-Tabla19[[#This Row],[Pagado]]</f>
        <v>0</v>
      </c>
      <c r="H565" s="153" t="s">
        <v>10</v>
      </c>
    </row>
    <row r="566" spans="1:8" x14ac:dyDescent="0.25">
      <c r="A566" s="73">
        <v>44779</v>
      </c>
      <c r="B566" s="74" t="s">
        <v>25229</v>
      </c>
      <c r="C566" s="75" t="s">
        <v>45</v>
      </c>
      <c r="D566" s="176">
        <v>11352.9</v>
      </c>
      <c r="E566" s="151">
        <v>44779</v>
      </c>
      <c r="F566" s="176">
        <v>11352.9</v>
      </c>
      <c r="G566" s="177">
        <f>Tabla19[[#This Row],[Importe]]-Tabla19[[#This Row],[Pagado]]</f>
        <v>0</v>
      </c>
      <c r="H566" s="75" t="s">
        <v>10</v>
      </c>
    </row>
    <row r="567" spans="1:8" x14ac:dyDescent="0.25">
      <c r="A567" s="148">
        <v>44779</v>
      </c>
      <c r="B567" s="149" t="s">
        <v>25230</v>
      </c>
      <c r="C567" s="153" t="s">
        <v>382</v>
      </c>
      <c r="D567" s="178">
        <v>5080.8</v>
      </c>
      <c r="E567" s="155">
        <v>44779</v>
      </c>
      <c r="F567" s="178">
        <v>5080.8</v>
      </c>
      <c r="G567" s="179">
        <f>Tabla19[[#This Row],[Importe]]-Tabla19[[#This Row],[Pagado]]</f>
        <v>0</v>
      </c>
      <c r="H567" s="153" t="s">
        <v>10</v>
      </c>
    </row>
    <row r="568" spans="1:8" x14ac:dyDescent="0.25">
      <c r="A568" s="73">
        <v>44779</v>
      </c>
      <c r="B568" s="74" t="s">
        <v>25231</v>
      </c>
      <c r="C568" s="75" t="s">
        <v>289</v>
      </c>
      <c r="D568" s="176">
        <v>16381.4</v>
      </c>
      <c r="E568" s="151">
        <v>44779</v>
      </c>
      <c r="F568" s="176">
        <v>16381.4</v>
      </c>
      <c r="G568" s="177">
        <f>Tabla19[[#This Row],[Importe]]-Tabla19[[#This Row],[Pagado]]</f>
        <v>0</v>
      </c>
      <c r="H568" s="75" t="s">
        <v>10</v>
      </c>
    </row>
    <row r="569" spans="1:8" x14ac:dyDescent="0.25">
      <c r="A569" s="148">
        <v>44779</v>
      </c>
      <c r="B569" s="149" t="s">
        <v>25232</v>
      </c>
      <c r="C569" s="153" t="s">
        <v>1003</v>
      </c>
      <c r="D569" s="178">
        <v>8277</v>
      </c>
      <c r="E569" s="155">
        <v>44780</v>
      </c>
      <c r="F569" s="178">
        <v>8277</v>
      </c>
      <c r="G569" s="179">
        <f>Tabla19[[#This Row],[Importe]]-Tabla19[[#This Row],[Pagado]]</f>
        <v>0</v>
      </c>
      <c r="H569" s="153" t="s">
        <v>10</v>
      </c>
    </row>
    <row r="570" spans="1:8" x14ac:dyDescent="0.25">
      <c r="A570" s="73">
        <v>44779</v>
      </c>
      <c r="B570" s="74" t="s">
        <v>25233</v>
      </c>
      <c r="C570" s="75" t="s">
        <v>698</v>
      </c>
      <c r="D570" s="176">
        <v>4127.3999999999996</v>
      </c>
      <c r="E570" s="151">
        <v>44779</v>
      </c>
      <c r="F570" s="176">
        <v>4127.3999999999996</v>
      </c>
      <c r="G570" s="177">
        <f>Tabla19[[#This Row],[Importe]]-Tabla19[[#This Row],[Pagado]]</f>
        <v>0</v>
      </c>
      <c r="H570" s="75" t="s">
        <v>10</v>
      </c>
    </row>
    <row r="571" spans="1:8" ht="31.5" x14ac:dyDescent="0.25">
      <c r="A571" s="148">
        <v>44779</v>
      </c>
      <c r="B571" s="149" t="s">
        <v>25234</v>
      </c>
      <c r="C571" s="160" t="s">
        <v>25235</v>
      </c>
      <c r="D571" s="178">
        <v>0</v>
      </c>
      <c r="E571" s="158" t="s">
        <v>189</v>
      </c>
      <c r="F571" s="178">
        <v>0</v>
      </c>
      <c r="G571" s="179">
        <f>Tabla19[[#This Row],[Importe]]-Tabla19[[#This Row],[Pagado]]</f>
        <v>0</v>
      </c>
      <c r="H571" s="153" t="s">
        <v>189</v>
      </c>
    </row>
    <row r="572" spans="1:8" x14ac:dyDescent="0.25">
      <c r="A572" s="73">
        <v>44779</v>
      </c>
      <c r="B572" s="74" t="s">
        <v>25236</v>
      </c>
      <c r="C572" s="75" t="s">
        <v>62</v>
      </c>
      <c r="D572" s="176">
        <v>4266.6000000000004</v>
      </c>
      <c r="E572" s="151">
        <v>44779</v>
      </c>
      <c r="F572" s="176">
        <v>4266.6000000000004</v>
      </c>
      <c r="G572" s="177">
        <f>Tabla19[[#This Row],[Importe]]-Tabla19[[#This Row],[Pagado]]</f>
        <v>0</v>
      </c>
      <c r="H572" s="75" t="s">
        <v>10</v>
      </c>
    </row>
    <row r="573" spans="1:8" x14ac:dyDescent="0.25">
      <c r="A573" s="148">
        <v>44779</v>
      </c>
      <c r="B573" s="149" t="s">
        <v>25237</v>
      </c>
      <c r="C573" s="153" t="s">
        <v>31</v>
      </c>
      <c r="D573" s="178">
        <v>1728</v>
      </c>
      <c r="E573" s="155">
        <v>44779</v>
      </c>
      <c r="F573" s="178">
        <v>1728</v>
      </c>
      <c r="G573" s="179">
        <f>Tabla19[[#This Row],[Importe]]-Tabla19[[#This Row],[Pagado]]</f>
        <v>0</v>
      </c>
      <c r="H573" s="153" t="s">
        <v>10</v>
      </c>
    </row>
    <row r="574" spans="1:8" x14ac:dyDescent="0.25">
      <c r="A574" s="73">
        <v>44779</v>
      </c>
      <c r="B574" s="74" t="s">
        <v>25238</v>
      </c>
      <c r="C574" s="75" t="s">
        <v>31</v>
      </c>
      <c r="D574" s="176">
        <v>268.8</v>
      </c>
      <c r="E574" s="151">
        <v>44779</v>
      </c>
      <c r="F574" s="176">
        <v>268.8</v>
      </c>
      <c r="G574" s="177">
        <f>Tabla19[[#This Row],[Importe]]-Tabla19[[#This Row],[Pagado]]</f>
        <v>0</v>
      </c>
      <c r="H574" s="75" t="s">
        <v>10</v>
      </c>
    </row>
    <row r="575" spans="1:8" x14ac:dyDescent="0.25">
      <c r="A575" s="148">
        <v>44779</v>
      </c>
      <c r="B575" s="149" t="s">
        <v>25239</v>
      </c>
      <c r="C575" s="153" t="s">
        <v>414</v>
      </c>
      <c r="D575" s="178">
        <v>26187</v>
      </c>
      <c r="E575" s="155">
        <v>44784</v>
      </c>
      <c r="F575" s="178">
        <v>26187</v>
      </c>
      <c r="G575" s="179">
        <f>Tabla19[[#This Row],[Importe]]-Tabla19[[#This Row],[Pagado]]</f>
        <v>0</v>
      </c>
      <c r="H575" s="153" t="s">
        <v>10</v>
      </c>
    </row>
    <row r="576" spans="1:8" x14ac:dyDescent="0.25">
      <c r="A576" s="73">
        <v>44779</v>
      </c>
      <c r="B576" s="74" t="s">
        <v>25240</v>
      </c>
      <c r="C576" s="75" t="s">
        <v>407</v>
      </c>
      <c r="D576" s="176">
        <v>14709</v>
      </c>
      <c r="E576" s="151">
        <v>44779</v>
      </c>
      <c r="F576" s="176">
        <v>14709</v>
      </c>
      <c r="G576" s="177">
        <f>Tabla19[[#This Row],[Importe]]-Tabla19[[#This Row],[Pagado]]</f>
        <v>0</v>
      </c>
      <c r="H576" s="75" t="s">
        <v>10</v>
      </c>
    </row>
    <row r="577" spans="1:8" x14ac:dyDescent="0.25">
      <c r="A577" s="148">
        <v>44779</v>
      </c>
      <c r="B577" s="149" t="s">
        <v>25241</v>
      </c>
      <c r="C577" s="153" t="s">
        <v>31</v>
      </c>
      <c r="D577" s="178">
        <v>433.6</v>
      </c>
      <c r="E577" s="155">
        <v>44779</v>
      </c>
      <c r="F577" s="178">
        <v>433.6</v>
      </c>
      <c r="G577" s="179">
        <f>Tabla19[[#This Row],[Importe]]-Tabla19[[#This Row],[Pagado]]</f>
        <v>0</v>
      </c>
      <c r="H577" s="153" t="s">
        <v>10</v>
      </c>
    </row>
    <row r="578" spans="1:8" x14ac:dyDescent="0.25">
      <c r="A578" s="73">
        <v>44779</v>
      </c>
      <c r="B578" s="74" t="s">
        <v>25242</v>
      </c>
      <c r="C578" s="75" t="s">
        <v>484</v>
      </c>
      <c r="D578" s="176">
        <v>4560</v>
      </c>
      <c r="E578" s="151">
        <v>44779</v>
      </c>
      <c r="F578" s="176">
        <v>4560</v>
      </c>
      <c r="G578" s="177">
        <f>Tabla19[[#This Row],[Importe]]-Tabla19[[#This Row],[Pagado]]</f>
        <v>0</v>
      </c>
      <c r="H578" s="75" t="s">
        <v>10</v>
      </c>
    </row>
    <row r="579" spans="1:8" x14ac:dyDescent="0.25">
      <c r="A579" s="148">
        <v>44779</v>
      </c>
      <c r="B579" s="149" t="s">
        <v>25243</v>
      </c>
      <c r="C579" s="153" t="s">
        <v>51</v>
      </c>
      <c r="D579" s="178">
        <v>4820</v>
      </c>
      <c r="E579" s="155">
        <v>44779</v>
      </c>
      <c r="F579" s="178">
        <v>4820</v>
      </c>
      <c r="G579" s="179">
        <f>Tabla19[[#This Row],[Importe]]-Tabla19[[#This Row],[Pagado]]</f>
        <v>0</v>
      </c>
      <c r="H579" s="153" t="s">
        <v>10</v>
      </c>
    </row>
    <row r="580" spans="1:8" x14ac:dyDescent="0.25">
      <c r="A580" s="73">
        <v>44779</v>
      </c>
      <c r="B580" s="74" t="s">
        <v>25244</v>
      </c>
      <c r="C580" s="75" t="s">
        <v>31</v>
      </c>
      <c r="D580" s="176">
        <v>1230</v>
      </c>
      <c r="E580" s="151">
        <v>44779</v>
      </c>
      <c r="F580" s="176">
        <v>1230</v>
      </c>
      <c r="G580" s="177">
        <f>Tabla19[[#This Row],[Importe]]-Tabla19[[#This Row],[Pagado]]</f>
        <v>0</v>
      </c>
      <c r="H580" s="75" t="s">
        <v>10</v>
      </c>
    </row>
    <row r="581" spans="1:8" x14ac:dyDescent="0.25">
      <c r="A581" s="148">
        <v>44779</v>
      </c>
      <c r="B581" s="149" t="s">
        <v>25245</v>
      </c>
      <c r="C581" s="153" t="s">
        <v>31</v>
      </c>
      <c r="D581" s="178">
        <v>1827</v>
      </c>
      <c r="E581" s="155">
        <v>44779</v>
      </c>
      <c r="F581" s="178">
        <v>1827</v>
      </c>
      <c r="G581" s="179">
        <f>Tabla19[[#This Row],[Importe]]-Tabla19[[#This Row],[Pagado]]</f>
        <v>0</v>
      </c>
      <c r="H581" s="153" t="s">
        <v>10</v>
      </c>
    </row>
    <row r="582" spans="1:8" x14ac:dyDescent="0.25">
      <c r="A582" s="73">
        <v>44779</v>
      </c>
      <c r="B582" s="74" t="s">
        <v>25246</v>
      </c>
      <c r="C582" s="75" t="s">
        <v>22</v>
      </c>
      <c r="D582" s="176">
        <v>5913.6</v>
      </c>
      <c r="E582" s="151">
        <v>44781</v>
      </c>
      <c r="F582" s="176">
        <v>5913.6</v>
      </c>
      <c r="G582" s="177">
        <f>Tabla19[[#This Row],[Importe]]-Tabla19[[#This Row],[Pagado]]</f>
        <v>0</v>
      </c>
      <c r="H582" s="75" t="s">
        <v>10</v>
      </c>
    </row>
    <row r="583" spans="1:8" x14ac:dyDescent="0.25">
      <c r="A583" s="148">
        <v>44779</v>
      </c>
      <c r="B583" s="149" t="s">
        <v>25247</v>
      </c>
      <c r="C583" s="153" t="s">
        <v>9</v>
      </c>
      <c r="D583" s="178">
        <v>3594.3</v>
      </c>
      <c r="E583" s="155">
        <v>44779</v>
      </c>
      <c r="F583" s="178">
        <v>3594.3</v>
      </c>
      <c r="G583" s="179">
        <f>Tabla19[[#This Row],[Importe]]-Tabla19[[#This Row],[Pagado]]</f>
        <v>0</v>
      </c>
      <c r="H583" s="153" t="s">
        <v>10</v>
      </c>
    </row>
    <row r="584" spans="1:8" x14ac:dyDescent="0.25">
      <c r="A584" s="73">
        <v>44779</v>
      </c>
      <c r="B584" s="74" t="s">
        <v>25248</v>
      </c>
      <c r="C584" s="75" t="s">
        <v>24</v>
      </c>
      <c r="D584" s="176">
        <v>636</v>
      </c>
      <c r="E584" s="151">
        <v>44779</v>
      </c>
      <c r="F584" s="176">
        <v>636</v>
      </c>
      <c r="G584" s="177">
        <f>Tabla19[[#This Row],[Importe]]-Tabla19[[#This Row],[Pagado]]</f>
        <v>0</v>
      </c>
      <c r="H584" s="75" t="s">
        <v>10</v>
      </c>
    </row>
    <row r="585" spans="1:8" x14ac:dyDescent="0.25">
      <c r="A585" s="148">
        <v>44779</v>
      </c>
      <c r="B585" s="149" t="s">
        <v>25249</v>
      </c>
      <c r="C585" s="153" t="s">
        <v>16</v>
      </c>
      <c r="D585" s="178">
        <v>2096.9</v>
      </c>
      <c r="E585" s="155">
        <v>44779</v>
      </c>
      <c r="F585" s="178">
        <v>2096.9</v>
      </c>
      <c r="G585" s="179">
        <f>Tabla19[[#This Row],[Importe]]-Tabla19[[#This Row],[Pagado]]</f>
        <v>0</v>
      </c>
      <c r="H585" s="153" t="s">
        <v>10</v>
      </c>
    </row>
    <row r="586" spans="1:8" x14ac:dyDescent="0.25">
      <c r="A586" s="73">
        <v>44779</v>
      </c>
      <c r="B586" s="74" t="s">
        <v>25250</v>
      </c>
      <c r="C586" s="75" t="s">
        <v>9827</v>
      </c>
      <c r="D586" s="176">
        <v>7823.7</v>
      </c>
      <c r="E586" s="151">
        <v>44779</v>
      </c>
      <c r="F586" s="176">
        <v>7823.7</v>
      </c>
      <c r="G586" s="177">
        <f>Tabla19[[#This Row],[Importe]]-Tabla19[[#This Row],[Pagado]]</f>
        <v>0</v>
      </c>
      <c r="H586" s="75" t="s">
        <v>10</v>
      </c>
    </row>
    <row r="587" spans="1:8" x14ac:dyDescent="0.25">
      <c r="A587" s="148">
        <v>44779</v>
      </c>
      <c r="B587" s="149" t="s">
        <v>25251</v>
      </c>
      <c r="C587" s="153" t="s">
        <v>67</v>
      </c>
      <c r="D587" s="178">
        <v>4837.2</v>
      </c>
      <c r="E587" s="155">
        <v>44779</v>
      </c>
      <c r="F587" s="178">
        <v>4837.2</v>
      </c>
      <c r="G587" s="179">
        <f>Tabla19[[#This Row],[Importe]]-Tabla19[[#This Row],[Pagado]]</f>
        <v>0</v>
      </c>
      <c r="H587" s="153" t="s">
        <v>10</v>
      </c>
    </row>
    <row r="588" spans="1:8" x14ac:dyDescent="0.25">
      <c r="A588" s="73">
        <v>44779</v>
      </c>
      <c r="B588" s="74" t="s">
        <v>25252</v>
      </c>
      <c r="C588" s="75" t="s">
        <v>1174</v>
      </c>
      <c r="D588" s="176">
        <v>26254.799999999999</v>
      </c>
      <c r="E588" s="151">
        <v>44779</v>
      </c>
      <c r="F588" s="176">
        <v>26254.799999999999</v>
      </c>
      <c r="G588" s="177">
        <f>Tabla19[[#This Row],[Importe]]-Tabla19[[#This Row],[Pagado]]</f>
        <v>0</v>
      </c>
      <c r="H588" s="75" t="s">
        <v>10</v>
      </c>
    </row>
    <row r="589" spans="1:8" x14ac:dyDescent="0.25">
      <c r="A589" s="148">
        <v>44779</v>
      </c>
      <c r="B589" s="149" t="s">
        <v>25253</v>
      </c>
      <c r="C589" s="153" t="s">
        <v>31</v>
      </c>
      <c r="D589" s="178">
        <v>4481.3999999999996</v>
      </c>
      <c r="E589" s="155">
        <v>44779</v>
      </c>
      <c r="F589" s="178">
        <v>4481.3999999999996</v>
      </c>
      <c r="G589" s="179">
        <f>Tabla19[[#This Row],[Importe]]-Tabla19[[#This Row],[Pagado]]</f>
        <v>0</v>
      </c>
      <c r="H589" s="153" t="s">
        <v>10</v>
      </c>
    </row>
    <row r="590" spans="1:8" x14ac:dyDescent="0.25">
      <c r="A590" s="73">
        <v>44779</v>
      </c>
      <c r="B590" s="74" t="s">
        <v>25254</v>
      </c>
      <c r="C590" s="75" t="s">
        <v>296</v>
      </c>
      <c r="D590" s="176">
        <v>4478.2</v>
      </c>
      <c r="E590" s="151">
        <v>44779</v>
      </c>
      <c r="F590" s="176">
        <v>4478.2</v>
      </c>
      <c r="G590" s="177">
        <f>Tabla19[[#This Row],[Importe]]-Tabla19[[#This Row],[Pagado]]</f>
        <v>0</v>
      </c>
      <c r="H590" s="75" t="s">
        <v>10</v>
      </c>
    </row>
    <row r="591" spans="1:8" x14ac:dyDescent="0.25">
      <c r="A591" s="148">
        <v>44779</v>
      </c>
      <c r="B591" s="149" t="s">
        <v>25255</v>
      </c>
      <c r="C591" s="153" t="s">
        <v>296</v>
      </c>
      <c r="D591" s="178">
        <v>88</v>
      </c>
      <c r="E591" s="155">
        <v>44779</v>
      </c>
      <c r="F591" s="178">
        <v>88</v>
      </c>
      <c r="G591" s="179">
        <f>Tabla19[[#This Row],[Importe]]-Tabla19[[#This Row],[Pagado]]</f>
        <v>0</v>
      </c>
      <c r="H591" s="153" t="s">
        <v>10</v>
      </c>
    </row>
    <row r="592" spans="1:8" x14ac:dyDescent="0.25">
      <c r="A592" s="73">
        <v>44779</v>
      </c>
      <c r="B592" s="74" t="s">
        <v>25256</v>
      </c>
      <c r="C592" s="75" t="s">
        <v>214</v>
      </c>
      <c r="D592" s="176">
        <v>1740</v>
      </c>
      <c r="E592" s="151">
        <v>44779</v>
      </c>
      <c r="F592" s="176">
        <v>1740</v>
      </c>
      <c r="G592" s="177">
        <f>Tabla19[[#This Row],[Importe]]-Tabla19[[#This Row],[Pagado]]</f>
        <v>0</v>
      </c>
      <c r="H592" s="75" t="s">
        <v>10</v>
      </c>
    </row>
    <row r="593" spans="1:8" x14ac:dyDescent="0.25">
      <c r="A593" s="148">
        <v>44779</v>
      </c>
      <c r="B593" s="149" t="s">
        <v>25257</v>
      </c>
      <c r="C593" s="153" t="s">
        <v>31</v>
      </c>
      <c r="D593" s="178">
        <v>5226</v>
      </c>
      <c r="E593" s="155">
        <v>44779</v>
      </c>
      <c r="F593" s="178">
        <v>5226</v>
      </c>
      <c r="G593" s="179">
        <f>Tabla19[[#This Row],[Importe]]-Tabla19[[#This Row],[Pagado]]</f>
        <v>0</v>
      </c>
      <c r="H593" s="153" t="s">
        <v>10</v>
      </c>
    </row>
    <row r="594" spans="1:8" x14ac:dyDescent="0.25">
      <c r="A594" s="73">
        <v>44779</v>
      </c>
      <c r="B594" s="74" t="s">
        <v>25258</v>
      </c>
      <c r="C594" s="75" t="s">
        <v>56</v>
      </c>
      <c r="D594" s="176">
        <v>10037.4</v>
      </c>
      <c r="E594" s="151">
        <v>44779</v>
      </c>
      <c r="F594" s="176">
        <v>10037.4</v>
      </c>
      <c r="G594" s="177">
        <f>Tabla19[[#This Row],[Importe]]-Tabla19[[#This Row],[Pagado]]</f>
        <v>0</v>
      </c>
      <c r="H594" s="75" t="s">
        <v>10</v>
      </c>
    </row>
    <row r="595" spans="1:8" x14ac:dyDescent="0.25">
      <c r="A595" s="148">
        <v>44779</v>
      </c>
      <c r="B595" s="149" t="s">
        <v>25259</v>
      </c>
      <c r="C595" s="153" t="s">
        <v>25260</v>
      </c>
      <c r="D595" s="178">
        <v>0</v>
      </c>
      <c r="E595" s="158" t="s">
        <v>189</v>
      </c>
      <c r="F595" s="178">
        <v>0</v>
      </c>
      <c r="G595" s="179">
        <f>Tabla19[[#This Row],[Importe]]-Tabla19[[#This Row],[Pagado]]</f>
        <v>0</v>
      </c>
      <c r="H595" s="153" t="s">
        <v>189</v>
      </c>
    </row>
    <row r="596" spans="1:8" x14ac:dyDescent="0.25">
      <c r="A596" s="73">
        <v>44779</v>
      </c>
      <c r="B596" s="74" t="s">
        <v>25261</v>
      </c>
      <c r="C596" s="75" t="s">
        <v>284</v>
      </c>
      <c r="D596" s="176">
        <v>22254.6</v>
      </c>
      <c r="E596" s="151">
        <v>44780</v>
      </c>
      <c r="F596" s="176">
        <v>22254.6</v>
      </c>
      <c r="G596" s="177">
        <f>Tabla19[[#This Row],[Importe]]-Tabla19[[#This Row],[Pagado]]</f>
        <v>0</v>
      </c>
      <c r="H596" s="75" t="s">
        <v>10</v>
      </c>
    </row>
    <row r="597" spans="1:8" x14ac:dyDescent="0.25">
      <c r="A597" s="148">
        <v>44779</v>
      </c>
      <c r="B597" s="149" t="s">
        <v>25262</v>
      </c>
      <c r="C597" s="153" t="s">
        <v>282</v>
      </c>
      <c r="D597" s="178">
        <v>13137</v>
      </c>
      <c r="E597" s="155">
        <v>44780</v>
      </c>
      <c r="F597" s="178">
        <v>13137</v>
      </c>
      <c r="G597" s="179">
        <f>Tabla19[[#This Row],[Importe]]-Tabla19[[#This Row],[Pagado]]</f>
        <v>0</v>
      </c>
      <c r="H597" s="153" t="s">
        <v>10</v>
      </c>
    </row>
    <row r="598" spans="1:8" x14ac:dyDescent="0.25">
      <c r="A598" s="73">
        <v>44779</v>
      </c>
      <c r="B598" s="74" t="s">
        <v>25263</v>
      </c>
      <c r="C598" s="75" t="s">
        <v>280</v>
      </c>
      <c r="D598" s="176">
        <v>5046</v>
      </c>
      <c r="E598" s="151">
        <v>44780</v>
      </c>
      <c r="F598" s="176">
        <v>5046</v>
      </c>
      <c r="G598" s="177">
        <f>Tabla19[[#This Row],[Importe]]-Tabla19[[#This Row],[Pagado]]</f>
        <v>0</v>
      </c>
      <c r="H598" s="75" t="s">
        <v>10</v>
      </c>
    </row>
    <row r="599" spans="1:8" x14ac:dyDescent="0.25">
      <c r="A599" s="148">
        <v>44779</v>
      </c>
      <c r="B599" s="149" t="s">
        <v>25264</v>
      </c>
      <c r="C599" s="153" t="s">
        <v>10819</v>
      </c>
      <c r="D599" s="178">
        <v>1583.4</v>
      </c>
      <c r="E599" s="155">
        <v>44780</v>
      </c>
      <c r="F599" s="178">
        <v>1583.4</v>
      </c>
      <c r="G599" s="179">
        <f>Tabla19[[#This Row],[Importe]]-Tabla19[[#This Row],[Pagado]]</f>
        <v>0</v>
      </c>
      <c r="H599" s="153" t="s">
        <v>10</v>
      </c>
    </row>
    <row r="600" spans="1:8" x14ac:dyDescent="0.25">
      <c r="A600" s="73">
        <v>44779</v>
      </c>
      <c r="B600" s="74" t="s">
        <v>25265</v>
      </c>
      <c r="C600" s="75" t="s">
        <v>10819</v>
      </c>
      <c r="D600" s="176">
        <v>40</v>
      </c>
      <c r="E600" s="151">
        <v>44780</v>
      </c>
      <c r="F600" s="176">
        <v>40</v>
      </c>
      <c r="G600" s="177">
        <f>Tabla19[[#This Row],[Importe]]-Tabla19[[#This Row],[Pagado]]</f>
        <v>0</v>
      </c>
      <c r="H600" s="75" t="s">
        <v>10</v>
      </c>
    </row>
    <row r="601" spans="1:8" x14ac:dyDescent="0.25">
      <c r="A601" s="148">
        <v>44779</v>
      </c>
      <c r="B601" s="149" t="s">
        <v>25266</v>
      </c>
      <c r="C601" s="153" t="s">
        <v>107</v>
      </c>
      <c r="D601" s="178">
        <v>34314.199999999997</v>
      </c>
      <c r="E601" s="155">
        <v>44780</v>
      </c>
      <c r="F601" s="178">
        <v>34314.199999999997</v>
      </c>
      <c r="G601" s="179">
        <f>Tabla19[[#This Row],[Importe]]-Tabla19[[#This Row],[Pagado]]</f>
        <v>0</v>
      </c>
      <c r="H601" s="153" t="s">
        <v>10</v>
      </c>
    </row>
    <row r="602" spans="1:8" x14ac:dyDescent="0.25">
      <c r="A602" s="73">
        <v>44779</v>
      </c>
      <c r="B602" s="74" t="s">
        <v>25267</v>
      </c>
      <c r="C602" s="75" t="s">
        <v>69</v>
      </c>
      <c r="D602" s="176">
        <v>3599.2</v>
      </c>
      <c r="E602" s="151">
        <v>44779</v>
      </c>
      <c r="F602" s="176">
        <v>3599.2</v>
      </c>
      <c r="G602" s="177">
        <f>Tabla19[[#This Row],[Importe]]-Tabla19[[#This Row],[Pagado]]</f>
        <v>0</v>
      </c>
      <c r="H602" s="75" t="s">
        <v>10</v>
      </c>
    </row>
    <row r="603" spans="1:8" x14ac:dyDescent="0.25">
      <c r="A603" s="148">
        <v>44779</v>
      </c>
      <c r="B603" s="149" t="s">
        <v>25268</v>
      </c>
      <c r="C603" s="153" t="s">
        <v>16</v>
      </c>
      <c r="D603" s="178">
        <v>1903.2</v>
      </c>
      <c r="E603" s="155">
        <v>44779</v>
      </c>
      <c r="F603" s="178">
        <v>1903.2</v>
      </c>
      <c r="G603" s="179">
        <f>Tabla19[[#This Row],[Importe]]-Tabla19[[#This Row],[Pagado]]</f>
        <v>0</v>
      </c>
      <c r="H603" s="153" t="s">
        <v>10</v>
      </c>
    </row>
    <row r="604" spans="1:8" x14ac:dyDescent="0.25">
      <c r="A604" s="73">
        <v>44779</v>
      </c>
      <c r="B604" s="74" t="s">
        <v>25269</v>
      </c>
      <c r="C604" s="75" t="s">
        <v>1421</v>
      </c>
      <c r="D604" s="176">
        <v>54689.599999999999</v>
      </c>
      <c r="E604" s="151">
        <v>44779</v>
      </c>
      <c r="F604" s="176">
        <v>54689.599999999999</v>
      </c>
      <c r="G604" s="177">
        <f>Tabla19[[#This Row],[Importe]]-Tabla19[[#This Row],[Pagado]]</f>
        <v>0</v>
      </c>
      <c r="H604" s="75" t="s">
        <v>10</v>
      </c>
    </row>
    <row r="605" spans="1:8" x14ac:dyDescent="0.25">
      <c r="A605" s="148">
        <v>44779</v>
      </c>
      <c r="B605" s="149" t="s">
        <v>25270</v>
      </c>
      <c r="C605" s="153" t="s">
        <v>1421</v>
      </c>
      <c r="D605" s="178">
        <v>414</v>
      </c>
      <c r="E605" s="155">
        <v>44779</v>
      </c>
      <c r="F605" s="178">
        <v>414</v>
      </c>
      <c r="G605" s="179">
        <f>Tabla19[[#This Row],[Importe]]-Tabla19[[#This Row],[Pagado]]</f>
        <v>0</v>
      </c>
      <c r="H605" s="153" t="s">
        <v>10</v>
      </c>
    </row>
    <row r="606" spans="1:8" x14ac:dyDescent="0.25">
      <c r="A606" s="73">
        <v>44779</v>
      </c>
      <c r="B606" s="74" t="s">
        <v>25271</v>
      </c>
      <c r="C606" s="75" t="s">
        <v>10840</v>
      </c>
      <c r="D606" s="176">
        <v>5093.8</v>
      </c>
      <c r="E606" s="151">
        <v>44779</v>
      </c>
      <c r="F606" s="176">
        <v>5093.8</v>
      </c>
      <c r="G606" s="177">
        <f>Tabla19[[#This Row],[Importe]]-Tabla19[[#This Row],[Pagado]]</f>
        <v>0</v>
      </c>
      <c r="H606" s="75" t="s">
        <v>10</v>
      </c>
    </row>
    <row r="607" spans="1:8" x14ac:dyDescent="0.25">
      <c r="A607" s="148">
        <v>44779</v>
      </c>
      <c r="B607" s="149" t="s">
        <v>25272</v>
      </c>
      <c r="C607" s="153" t="s">
        <v>224</v>
      </c>
      <c r="D607" s="178">
        <v>1290</v>
      </c>
      <c r="E607" s="155">
        <v>44779</v>
      </c>
      <c r="F607" s="178">
        <v>1290</v>
      </c>
      <c r="G607" s="179">
        <f>Tabla19[[#This Row],[Importe]]-Tabla19[[#This Row],[Pagado]]</f>
        <v>0</v>
      </c>
      <c r="H607" s="153" t="s">
        <v>10</v>
      </c>
    </row>
    <row r="608" spans="1:8" ht="31.5" x14ac:dyDescent="0.25">
      <c r="A608" s="73">
        <v>44779</v>
      </c>
      <c r="B608" s="74" t="s">
        <v>25273</v>
      </c>
      <c r="C608" s="181" t="s">
        <v>11504</v>
      </c>
      <c r="D608" s="176">
        <v>0</v>
      </c>
      <c r="E608" s="157" t="s">
        <v>189</v>
      </c>
      <c r="F608" s="176">
        <v>0</v>
      </c>
      <c r="G608" s="177">
        <f>Tabla19[[#This Row],[Importe]]-Tabla19[[#This Row],[Pagado]]</f>
        <v>0</v>
      </c>
      <c r="H608" s="75" t="s">
        <v>189</v>
      </c>
    </row>
    <row r="609" spans="1:8" x14ac:dyDescent="0.25">
      <c r="A609" s="148">
        <v>44779</v>
      </c>
      <c r="B609" s="149" t="s">
        <v>25274</v>
      </c>
      <c r="C609" s="153" t="s">
        <v>31</v>
      </c>
      <c r="D609" s="178">
        <v>1292</v>
      </c>
      <c r="E609" s="155">
        <v>44779</v>
      </c>
      <c r="F609" s="178">
        <v>1292</v>
      </c>
      <c r="G609" s="179">
        <f>Tabla19[[#This Row],[Importe]]-Tabla19[[#This Row],[Pagado]]</f>
        <v>0</v>
      </c>
      <c r="H609" s="153" t="s">
        <v>10</v>
      </c>
    </row>
    <row r="610" spans="1:8" x14ac:dyDescent="0.25">
      <c r="A610" s="73">
        <v>44779</v>
      </c>
      <c r="B610" s="74" t="s">
        <v>25275</v>
      </c>
      <c r="C610" s="75" t="s">
        <v>470</v>
      </c>
      <c r="D610" s="176">
        <v>10407.6</v>
      </c>
      <c r="E610" s="151">
        <v>44781</v>
      </c>
      <c r="F610" s="176">
        <v>10407.6</v>
      </c>
      <c r="G610" s="177">
        <f>Tabla19[[#This Row],[Importe]]-Tabla19[[#This Row],[Pagado]]</f>
        <v>0</v>
      </c>
      <c r="H610" s="75" t="s">
        <v>10</v>
      </c>
    </row>
    <row r="611" spans="1:8" x14ac:dyDescent="0.25">
      <c r="A611" s="148">
        <v>44779</v>
      </c>
      <c r="B611" s="149" t="s">
        <v>25276</v>
      </c>
      <c r="C611" s="153" t="s">
        <v>31</v>
      </c>
      <c r="D611" s="178">
        <v>2565</v>
      </c>
      <c r="E611" s="155">
        <v>44779</v>
      </c>
      <c r="F611" s="178">
        <v>2565</v>
      </c>
      <c r="G611" s="179">
        <f>Tabla19[[#This Row],[Importe]]-Tabla19[[#This Row],[Pagado]]</f>
        <v>0</v>
      </c>
      <c r="H611" s="153" t="s">
        <v>10</v>
      </c>
    </row>
    <row r="612" spans="1:8" x14ac:dyDescent="0.25">
      <c r="A612" s="73">
        <v>44779</v>
      </c>
      <c r="B612" s="74" t="s">
        <v>25277</v>
      </c>
      <c r="C612" s="75" t="s">
        <v>442</v>
      </c>
      <c r="D612" s="176">
        <v>18197.599999999999</v>
      </c>
      <c r="E612" s="151">
        <v>44779</v>
      </c>
      <c r="F612" s="176">
        <v>18197.599999999999</v>
      </c>
      <c r="G612" s="177">
        <f>Tabla19[[#This Row],[Importe]]-Tabla19[[#This Row],[Pagado]]</f>
        <v>0</v>
      </c>
      <c r="H612" s="75" t="s">
        <v>10</v>
      </c>
    </row>
    <row r="613" spans="1:8" x14ac:dyDescent="0.25">
      <c r="A613" s="148">
        <v>44779</v>
      </c>
      <c r="B613" s="149" t="s">
        <v>25278</v>
      </c>
      <c r="C613" s="153" t="s">
        <v>35</v>
      </c>
      <c r="D613" s="178">
        <v>3319.6</v>
      </c>
      <c r="E613" s="155">
        <v>44779</v>
      </c>
      <c r="F613" s="178">
        <v>3319.6</v>
      </c>
      <c r="G613" s="179">
        <f>Tabla19[[#This Row],[Importe]]-Tabla19[[#This Row],[Pagado]]</f>
        <v>0</v>
      </c>
      <c r="H613" s="153" t="s">
        <v>10</v>
      </c>
    </row>
    <row r="614" spans="1:8" x14ac:dyDescent="0.25">
      <c r="A614" s="73">
        <v>44779</v>
      </c>
      <c r="B614" s="74" t="s">
        <v>25279</v>
      </c>
      <c r="C614" s="75" t="s">
        <v>1362</v>
      </c>
      <c r="D614" s="176">
        <v>8580</v>
      </c>
      <c r="E614" s="151">
        <v>44781</v>
      </c>
      <c r="F614" s="176">
        <v>8580</v>
      </c>
      <c r="G614" s="177">
        <f>Tabla19[[#This Row],[Importe]]-Tabla19[[#This Row],[Pagado]]</f>
        <v>0</v>
      </c>
      <c r="H614" s="75" t="s">
        <v>10</v>
      </c>
    </row>
    <row r="615" spans="1:8" x14ac:dyDescent="0.25">
      <c r="A615" s="148">
        <v>44779</v>
      </c>
      <c r="B615" s="149" t="s">
        <v>25280</v>
      </c>
      <c r="C615" s="153" t="s">
        <v>31</v>
      </c>
      <c r="D615" s="178">
        <v>519.20000000000005</v>
      </c>
      <c r="E615" s="155">
        <v>44779</v>
      </c>
      <c r="F615" s="178">
        <v>519.20000000000005</v>
      </c>
      <c r="G615" s="179">
        <f>Tabla19[[#This Row],[Importe]]-Tabla19[[#This Row],[Pagado]]</f>
        <v>0</v>
      </c>
      <c r="H615" s="153" t="s">
        <v>10</v>
      </c>
    </row>
    <row r="616" spans="1:8" x14ac:dyDescent="0.25">
      <c r="A616" s="73">
        <v>44779</v>
      </c>
      <c r="B616" s="74" t="s">
        <v>25281</v>
      </c>
      <c r="C616" s="75" t="s">
        <v>296</v>
      </c>
      <c r="D616" s="176">
        <v>1469.6</v>
      </c>
      <c r="E616" s="151">
        <v>44779</v>
      </c>
      <c r="F616" s="176">
        <v>1469.6</v>
      </c>
      <c r="G616" s="177">
        <f>Tabla19[[#This Row],[Importe]]-Tabla19[[#This Row],[Pagado]]</f>
        <v>0</v>
      </c>
      <c r="H616" s="75" t="s">
        <v>10</v>
      </c>
    </row>
    <row r="617" spans="1:8" x14ac:dyDescent="0.25">
      <c r="A617" s="148">
        <v>44779</v>
      </c>
      <c r="B617" s="149" t="s">
        <v>25282</v>
      </c>
      <c r="C617" s="153" t="s">
        <v>31</v>
      </c>
      <c r="D617" s="178">
        <v>130.19999999999999</v>
      </c>
      <c r="E617" s="155">
        <v>44779</v>
      </c>
      <c r="F617" s="178">
        <v>130.19999999999999</v>
      </c>
      <c r="G617" s="179">
        <f>Tabla19[[#This Row],[Importe]]-Tabla19[[#This Row],[Pagado]]</f>
        <v>0</v>
      </c>
      <c r="H617" s="153" t="s">
        <v>10</v>
      </c>
    </row>
    <row r="618" spans="1:8" x14ac:dyDescent="0.25">
      <c r="A618" s="73">
        <v>44779</v>
      </c>
      <c r="B618" s="74" t="s">
        <v>25283</v>
      </c>
      <c r="C618" s="75" t="s">
        <v>31</v>
      </c>
      <c r="D618" s="176">
        <v>156</v>
      </c>
      <c r="E618" s="151">
        <v>44779</v>
      </c>
      <c r="F618" s="176">
        <v>156</v>
      </c>
      <c r="G618" s="177">
        <f>Tabla19[[#This Row],[Importe]]-Tabla19[[#This Row],[Pagado]]</f>
        <v>0</v>
      </c>
      <c r="H618" s="75" t="s">
        <v>10</v>
      </c>
    </row>
    <row r="619" spans="1:8" x14ac:dyDescent="0.25">
      <c r="A619" s="148">
        <v>44779</v>
      </c>
      <c r="B619" s="149" t="s">
        <v>25284</v>
      </c>
      <c r="C619" s="153" t="s">
        <v>167</v>
      </c>
      <c r="D619" s="178">
        <v>229870.3</v>
      </c>
      <c r="E619" s="155">
        <v>44779</v>
      </c>
      <c r="F619" s="178">
        <v>229870.3</v>
      </c>
      <c r="G619" s="179">
        <f>Tabla19[[#This Row],[Importe]]-Tabla19[[#This Row],[Pagado]]</f>
        <v>0</v>
      </c>
      <c r="H619" s="153" t="s">
        <v>10</v>
      </c>
    </row>
    <row r="620" spans="1:8" x14ac:dyDescent="0.25">
      <c r="A620" s="73">
        <v>44779</v>
      </c>
      <c r="B620" s="74" t="s">
        <v>25285</v>
      </c>
      <c r="C620" s="75" t="s">
        <v>196</v>
      </c>
      <c r="D620" s="176">
        <v>133227.72</v>
      </c>
      <c r="E620" s="151">
        <v>44786</v>
      </c>
      <c r="F620" s="176">
        <v>133227.72</v>
      </c>
      <c r="G620" s="177">
        <f>Tabla19[[#This Row],[Importe]]-Tabla19[[#This Row],[Pagado]]</f>
        <v>0</v>
      </c>
      <c r="H620" s="75" t="s">
        <v>10</v>
      </c>
    </row>
    <row r="621" spans="1:8" x14ac:dyDescent="0.25">
      <c r="A621" s="148">
        <v>44780</v>
      </c>
      <c r="B621" s="149" t="s">
        <v>25286</v>
      </c>
      <c r="C621" s="153" t="s">
        <v>1187</v>
      </c>
      <c r="D621" s="178">
        <v>3671.8</v>
      </c>
      <c r="E621" s="155">
        <v>44780</v>
      </c>
      <c r="F621" s="178">
        <v>3671.8</v>
      </c>
      <c r="G621" s="179">
        <f>Tabla19[[#This Row],[Importe]]-Tabla19[[#This Row],[Pagado]]</f>
        <v>0</v>
      </c>
      <c r="H621" s="153" t="s">
        <v>10</v>
      </c>
    </row>
    <row r="622" spans="1:8" x14ac:dyDescent="0.25">
      <c r="A622" s="73">
        <v>44780</v>
      </c>
      <c r="B622" s="74" t="s">
        <v>25287</v>
      </c>
      <c r="C622" s="75" t="s">
        <v>9</v>
      </c>
      <c r="D622" s="176">
        <v>9911.1</v>
      </c>
      <c r="E622" s="151">
        <v>44780</v>
      </c>
      <c r="F622" s="176">
        <v>9911.1</v>
      </c>
      <c r="G622" s="177">
        <f>Tabla19[[#This Row],[Importe]]-Tabla19[[#This Row],[Pagado]]</f>
        <v>0</v>
      </c>
      <c r="H622" s="75" t="s">
        <v>10</v>
      </c>
    </row>
    <row r="623" spans="1:8" x14ac:dyDescent="0.25">
      <c r="A623" s="148">
        <v>44780</v>
      </c>
      <c r="B623" s="149" t="s">
        <v>25288</v>
      </c>
      <c r="C623" s="153" t="s">
        <v>12</v>
      </c>
      <c r="D623" s="178">
        <v>20019.849999999999</v>
      </c>
      <c r="E623" s="155">
        <v>44780</v>
      </c>
      <c r="F623" s="178">
        <v>20019.849999999999</v>
      </c>
      <c r="G623" s="179">
        <f>Tabla19[[#This Row],[Importe]]-Tabla19[[#This Row],[Pagado]]</f>
        <v>0</v>
      </c>
      <c r="H623" s="153" t="s">
        <v>10</v>
      </c>
    </row>
    <row r="624" spans="1:8" x14ac:dyDescent="0.25">
      <c r="A624" s="73">
        <v>44780</v>
      </c>
      <c r="B624" s="74" t="s">
        <v>25289</v>
      </c>
      <c r="C624" s="75" t="s">
        <v>167</v>
      </c>
      <c r="D624" s="176">
        <v>4297.6000000000004</v>
      </c>
      <c r="E624" s="151">
        <v>44780</v>
      </c>
      <c r="F624" s="176">
        <v>4297.6000000000004</v>
      </c>
      <c r="G624" s="177">
        <f>Tabla19[[#This Row],[Importe]]-Tabla19[[#This Row],[Pagado]]</f>
        <v>0</v>
      </c>
      <c r="H624" s="75" t="s">
        <v>10</v>
      </c>
    </row>
    <row r="625" spans="1:8" x14ac:dyDescent="0.25">
      <c r="A625" s="148">
        <v>44780</v>
      </c>
      <c r="B625" s="149" t="s">
        <v>25290</v>
      </c>
      <c r="C625" s="153" t="s">
        <v>49</v>
      </c>
      <c r="D625" s="178">
        <v>4644.3999999999996</v>
      </c>
      <c r="E625" s="155">
        <v>44780</v>
      </c>
      <c r="F625" s="178">
        <v>4644.3999999999996</v>
      </c>
      <c r="G625" s="179">
        <f>Tabla19[[#This Row],[Importe]]-Tabla19[[#This Row],[Pagado]]</f>
        <v>0</v>
      </c>
      <c r="H625" s="153" t="s">
        <v>10</v>
      </c>
    </row>
    <row r="626" spans="1:8" x14ac:dyDescent="0.25">
      <c r="A626" s="73">
        <v>44780</v>
      </c>
      <c r="B626" s="74" t="s">
        <v>25291</v>
      </c>
      <c r="C626" s="75" t="s">
        <v>475</v>
      </c>
      <c r="D626" s="176">
        <v>51634</v>
      </c>
      <c r="E626" s="151">
        <v>44781</v>
      </c>
      <c r="F626" s="176">
        <v>51634</v>
      </c>
      <c r="G626" s="177">
        <f>Tabla19[[#This Row],[Importe]]-Tabla19[[#This Row],[Pagado]]</f>
        <v>0</v>
      </c>
      <c r="H626" s="75" t="s">
        <v>10</v>
      </c>
    </row>
    <row r="627" spans="1:8" x14ac:dyDescent="0.25">
      <c r="A627" s="148">
        <v>44780</v>
      </c>
      <c r="B627" s="149" t="s">
        <v>25292</v>
      </c>
      <c r="C627" s="153" t="s">
        <v>16</v>
      </c>
      <c r="D627" s="178">
        <v>11527.6</v>
      </c>
      <c r="E627" s="155">
        <v>44780</v>
      </c>
      <c r="F627" s="178">
        <v>11527.6</v>
      </c>
      <c r="G627" s="179">
        <f>Tabla19[[#This Row],[Importe]]-Tabla19[[#This Row],[Pagado]]</f>
        <v>0</v>
      </c>
      <c r="H627" s="153" t="s">
        <v>10</v>
      </c>
    </row>
    <row r="628" spans="1:8" x14ac:dyDescent="0.25">
      <c r="A628" s="73">
        <v>44780</v>
      </c>
      <c r="B628" s="74" t="s">
        <v>25293</v>
      </c>
      <c r="C628" s="75" t="s">
        <v>29</v>
      </c>
      <c r="D628" s="176">
        <v>9909.2999999999993</v>
      </c>
      <c r="E628" s="151">
        <v>44780</v>
      </c>
      <c r="F628" s="176">
        <v>9909.2999999999993</v>
      </c>
      <c r="G628" s="177">
        <f>Tabla19[[#This Row],[Importe]]-Tabla19[[#This Row],[Pagado]]</f>
        <v>0</v>
      </c>
      <c r="H628" s="75" t="s">
        <v>10</v>
      </c>
    </row>
    <row r="629" spans="1:8" x14ac:dyDescent="0.25">
      <c r="A629" s="148">
        <v>44780</v>
      </c>
      <c r="B629" s="149" t="s">
        <v>25294</v>
      </c>
      <c r="C629" s="153" t="s">
        <v>27</v>
      </c>
      <c r="D629" s="178">
        <v>744</v>
      </c>
      <c r="E629" s="155">
        <v>44780</v>
      </c>
      <c r="F629" s="178">
        <v>744</v>
      </c>
      <c r="G629" s="179">
        <f>Tabla19[[#This Row],[Importe]]-Tabla19[[#This Row],[Pagado]]</f>
        <v>0</v>
      </c>
      <c r="H629" s="153" t="s">
        <v>10</v>
      </c>
    </row>
    <row r="630" spans="1:8" x14ac:dyDescent="0.25">
      <c r="A630" s="73">
        <v>44780</v>
      </c>
      <c r="B630" s="74" t="s">
        <v>25295</v>
      </c>
      <c r="C630" s="75" t="s">
        <v>37</v>
      </c>
      <c r="D630" s="176">
        <v>3783.6</v>
      </c>
      <c r="E630" s="151">
        <v>44780</v>
      </c>
      <c r="F630" s="176">
        <v>3783.6</v>
      </c>
      <c r="G630" s="177">
        <f>Tabla19[[#This Row],[Importe]]-Tabla19[[#This Row],[Pagado]]</f>
        <v>0</v>
      </c>
      <c r="H630" s="75" t="s">
        <v>10</v>
      </c>
    </row>
    <row r="631" spans="1:8" ht="31.5" x14ac:dyDescent="0.25">
      <c r="A631" s="148">
        <v>44780</v>
      </c>
      <c r="B631" s="149" t="s">
        <v>25296</v>
      </c>
      <c r="C631" s="153" t="s">
        <v>22</v>
      </c>
      <c r="D631" s="178">
        <v>72813.899999999994</v>
      </c>
      <c r="E631" s="150" t="s">
        <v>25193</v>
      </c>
      <c r="F631" s="178">
        <f>55000+17813.9</f>
        <v>72813.899999999994</v>
      </c>
      <c r="G631" s="179">
        <f>Tabla19[[#This Row],[Importe]]-Tabla19[[#This Row],[Pagado]]</f>
        <v>0</v>
      </c>
      <c r="H631" s="153" t="s">
        <v>10</v>
      </c>
    </row>
    <row r="632" spans="1:8" x14ac:dyDescent="0.25">
      <c r="A632" s="73">
        <v>44780</v>
      </c>
      <c r="B632" s="74" t="s">
        <v>25297</v>
      </c>
      <c r="C632" s="75" t="s">
        <v>49</v>
      </c>
      <c r="D632" s="176">
        <v>761.6</v>
      </c>
      <c r="E632" s="151">
        <v>44780</v>
      </c>
      <c r="F632" s="176">
        <v>761.6</v>
      </c>
      <c r="G632" s="177">
        <f>Tabla19[[#This Row],[Importe]]-Tabla19[[#This Row],[Pagado]]</f>
        <v>0</v>
      </c>
      <c r="H632" s="75" t="s">
        <v>10</v>
      </c>
    </row>
    <row r="633" spans="1:8" x14ac:dyDescent="0.25">
      <c r="A633" s="148">
        <v>44780</v>
      </c>
      <c r="B633" s="149" t="s">
        <v>25298</v>
      </c>
      <c r="C633" s="153" t="s">
        <v>224</v>
      </c>
      <c r="D633" s="178">
        <v>5885.8</v>
      </c>
      <c r="E633" s="155">
        <v>44780</v>
      </c>
      <c r="F633" s="178">
        <v>5885.8</v>
      </c>
      <c r="G633" s="179">
        <f>Tabla19[[#This Row],[Importe]]-Tabla19[[#This Row],[Pagado]]</f>
        <v>0</v>
      </c>
      <c r="H633" s="153" t="s">
        <v>10</v>
      </c>
    </row>
    <row r="634" spans="1:8" x14ac:dyDescent="0.25">
      <c r="A634" s="73">
        <v>44780</v>
      </c>
      <c r="B634" s="74" t="s">
        <v>25299</v>
      </c>
      <c r="C634" s="75" t="s">
        <v>31</v>
      </c>
      <c r="D634" s="176">
        <v>3490.4</v>
      </c>
      <c r="E634" s="151">
        <v>44780</v>
      </c>
      <c r="F634" s="176">
        <v>3490.4</v>
      </c>
      <c r="G634" s="177">
        <f>Tabla19[[#This Row],[Importe]]-Tabla19[[#This Row],[Pagado]]</f>
        <v>0</v>
      </c>
      <c r="H634" s="75" t="s">
        <v>10</v>
      </c>
    </row>
    <row r="635" spans="1:8" x14ac:dyDescent="0.25">
      <c r="A635" s="148">
        <v>44780</v>
      </c>
      <c r="B635" s="149" t="s">
        <v>25300</v>
      </c>
      <c r="C635" s="153" t="s">
        <v>20</v>
      </c>
      <c r="D635" s="178">
        <v>10886.8</v>
      </c>
      <c r="E635" s="155">
        <v>44780</v>
      </c>
      <c r="F635" s="178">
        <v>10886.8</v>
      </c>
      <c r="G635" s="179">
        <f>Tabla19[[#This Row],[Importe]]-Tabla19[[#This Row],[Pagado]]</f>
        <v>0</v>
      </c>
      <c r="H635" s="153" t="s">
        <v>10</v>
      </c>
    </row>
    <row r="636" spans="1:8" x14ac:dyDescent="0.25">
      <c r="A636" s="73">
        <v>44780</v>
      </c>
      <c r="B636" s="74" t="s">
        <v>25301</v>
      </c>
      <c r="C636" s="75" t="s">
        <v>111</v>
      </c>
      <c r="D636" s="176">
        <v>1418.1</v>
      </c>
      <c r="E636" s="151">
        <v>44780</v>
      </c>
      <c r="F636" s="176">
        <v>1418.1</v>
      </c>
      <c r="G636" s="177">
        <f>Tabla19[[#This Row],[Importe]]-Tabla19[[#This Row],[Pagado]]</f>
        <v>0</v>
      </c>
      <c r="H636" s="75" t="s">
        <v>10</v>
      </c>
    </row>
    <row r="637" spans="1:8" x14ac:dyDescent="0.25">
      <c r="A637" s="148">
        <v>44780</v>
      </c>
      <c r="B637" s="149" t="s">
        <v>25302</v>
      </c>
      <c r="C637" s="153" t="s">
        <v>31</v>
      </c>
      <c r="D637" s="178">
        <v>2610</v>
      </c>
      <c r="E637" s="155">
        <v>44780</v>
      </c>
      <c r="F637" s="178">
        <v>2610</v>
      </c>
      <c r="G637" s="179">
        <f>Tabla19[[#This Row],[Importe]]-Tabla19[[#This Row],[Pagado]]</f>
        <v>0</v>
      </c>
      <c r="H637" s="153" t="s">
        <v>10</v>
      </c>
    </row>
    <row r="638" spans="1:8" x14ac:dyDescent="0.25">
      <c r="A638" s="73">
        <v>44780</v>
      </c>
      <c r="B638" s="74" t="s">
        <v>25303</v>
      </c>
      <c r="C638" s="75" t="s">
        <v>45</v>
      </c>
      <c r="D638" s="176">
        <v>8500.9</v>
      </c>
      <c r="E638" s="151">
        <v>44780</v>
      </c>
      <c r="F638" s="176">
        <v>8500.9</v>
      </c>
      <c r="G638" s="177">
        <f>Tabla19[[#This Row],[Importe]]-Tabla19[[#This Row],[Pagado]]</f>
        <v>0</v>
      </c>
      <c r="H638" s="75" t="s">
        <v>10</v>
      </c>
    </row>
    <row r="639" spans="1:8" x14ac:dyDescent="0.25">
      <c r="A639" s="148">
        <v>44780</v>
      </c>
      <c r="B639" s="149" t="s">
        <v>25304</v>
      </c>
      <c r="C639" s="153" t="s">
        <v>1003</v>
      </c>
      <c r="D639" s="178">
        <v>13445.9</v>
      </c>
      <c r="E639" s="155">
        <v>44785</v>
      </c>
      <c r="F639" s="178">
        <v>13445.9</v>
      </c>
      <c r="G639" s="179">
        <f>Tabla19[[#This Row],[Importe]]-Tabla19[[#This Row],[Pagado]]</f>
        <v>0</v>
      </c>
      <c r="H639" s="153" t="s">
        <v>10</v>
      </c>
    </row>
    <row r="640" spans="1:8" x14ac:dyDescent="0.25">
      <c r="A640" s="73">
        <v>44780</v>
      </c>
      <c r="B640" s="74" t="s">
        <v>25305</v>
      </c>
      <c r="C640" s="75" t="s">
        <v>31</v>
      </c>
      <c r="D640" s="176">
        <v>80</v>
      </c>
      <c r="E640" s="151">
        <v>44780</v>
      </c>
      <c r="F640" s="176">
        <v>80</v>
      </c>
      <c r="G640" s="177">
        <f>Tabla19[[#This Row],[Importe]]-Tabla19[[#This Row],[Pagado]]</f>
        <v>0</v>
      </c>
      <c r="H640" s="75" t="s">
        <v>10</v>
      </c>
    </row>
    <row r="641" spans="1:8" x14ac:dyDescent="0.25">
      <c r="A641" s="148">
        <v>44780</v>
      </c>
      <c r="B641" s="149" t="s">
        <v>25306</v>
      </c>
      <c r="C641" s="153" t="s">
        <v>12</v>
      </c>
      <c r="D641" s="178">
        <v>11446</v>
      </c>
      <c r="E641" s="155">
        <v>44780</v>
      </c>
      <c r="F641" s="178">
        <v>11446</v>
      </c>
      <c r="G641" s="179">
        <f>Tabla19[[#This Row],[Importe]]-Tabla19[[#This Row],[Pagado]]</f>
        <v>0</v>
      </c>
      <c r="H641" s="153" t="s">
        <v>10</v>
      </c>
    </row>
    <row r="642" spans="1:8" x14ac:dyDescent="0.25">
      <c r="A642" s="73">
        <v>44780</v>
      </c>
      <c r="B642" s="74" t="s">
        <v>25307</v>
      </c>
      <c r="C642" s="75" t="s">
        <v>24</v>
      </c>
      <c r="D642" s="176">
        <v>1521.6</v>
      </c>
      <c r="E642" s="151">
        <v>44780</v>
      </c>
      <c r="F642" s="176">
        <v>1521.6</v>
      </c>
      <c r="G642" s="177">
        <f>Tabla19[[#This Row],[Importe]]-Tabla19[[#This Row],[Pagado]]</f>
        <v>0</v>
      </c>
      <c r="H642" s="75" t="s">
        <v>10</v>
      </c>
    </row>
    <row r="643" spans="1:8" x14ac:dyDescent="0.25">
      <c r="A643" s="148">
        <v>44780</v>
      </c>
      <c r="B643" s="149" t="s">
        <v>25308</v>
      </c>
      <c r="C643" s="153" t="s">
        <v>35</v>
      </c>
      <c r="D643" s="178">
        <v>638.4</v>
      </c>
      <c r="E643" s="155">
        <v>44780</v>
      </c>
      <c r="F643" s="178">
        <v>638.4</v>
      </c>
      <c r="G643" s="179">
        <f>Tabla19[[#This Row],[Importe]]-Tabla19[[#This Row],[Pagado]]</f>
        <v>0</v>
      </c>
      <c r="H643" s="153" t="s">
        <v>10</v>
      </c>
    </row>
    <row r="644" spans="1:8" x14ac:dyDescent="0.25">
      <c r="A644" s="73">
        <v>44780</v>
      </c>
      <c r="B644" s="74" t="s">
        <v>25309</v>
      </c>
      <c r="C644" s="75" t="s">
        <v>35</v>
      </c>
      <c r="D644" s="176">
        <v>105.6</v>
      </c>
      <c r="E644" s="151">
        <v>44780</v>
      </c>
      <c r="F644" s="176">
        <v>105.6</v>
      </c>
      <c r="G644" s="177">
        <f>Tabla19[[#This Row],[Importe]]-Tabla19[[#This Row],[Pagado]]</f>
        <v>0</v>
      </c>
      <c r="H644" s="75" t="s">
        <v>10</v>
      </c>
    </row>
    <row r="645" spans="1:8" x14ac:dyDescent="0.25">
      <c r="A645" s="148">
        <v>44780</v>
      </c>
      <c r="B645" s="149" t="s">
        <v>25310</v>
      </c>
      <c r="C645" s="153" t="s">
        <v>216</v>
      </c>
      <c r="D645" s="178">
        <v>2314.1999999999998</v>
      </c>
      <c r="E645" s="155">
        <v>44780</v>
      </c>
      <c r="F645" s="178">
        <v>2314.1999999999998</v>
      </c>
      <c r="G645" s="179">
        <f>Tabla19[[#This Row],[Importe]]-Tabla19[[#This Row],[Pagado]]</f>
        <v>0</v>
      </c>
      <c r="H645" s="153" t="s">
        <v>10</v>
      </c>
    </row>
    <row r="646" spans="1:8" x14ac:dyDescent="0.25">
      <c r="A646" s="73">
        <v>44780</v>
      </c>
      <c r="B646" s="74" t="s">
        <v>25311</v>
      </c>
      <c r="C646" s="75" t="s">
        <v>56</v>
      </c>
      <c r="D646" s="176">
        <v>10585</v>
      </c>
      <c r="E646" s="151">
        <v>44780</v>
      </c>
      <c r="F646" s="176">
        <v>10585</v>
      </c>
      <c r="G646" s="177">
        <f>Tabla19[[#This Row],[Importe]]-Tabla19[[#This Row],[Pagado]]</f>
        <v>0</v>
      </c>
      <c r="H646" s="75" t="s">
        <v>10</v>
      </c>
    </row>
    <row r="647" spans="1:8" x14ac:dyDescent="0.25">
      <c r="A647" s="148">
        <v>44780</v>
      </c>
      <c r="B647" s="149" t="s">
        <v>25312</v>
      </c>
      <c r="C647" s="153" t="s">
        <v>9827</v>
      </c>
      <c r="D647" s="178">
        <v>3549.6</v>
      </c>
      <c r="E647" s="155">
        <v>44780</v>
      </c>
      <c r="F647" s="178">
        <v>3549.6</v>
      </c>
      <c r="G647" s="179">
        <f>Tabla19[[#This Row],[Importe]]-Tabla19[[#This Row],[Pagado]]</f>
        <v>0</v>
      </c>
      <c r="H647" s="153" t="s">
        <v>10</v>
      </c>
    </row>
    <row r="648" spans="1:8" x14ac:dyDescent="0.25">
      <c r="A648" s="73">
        <v>44780</v>
      </c>
      <c r="B648" s="74" t="s">
        <v>25313</v>
      </c>
      <c r="C648" s="75" t="s">
        <v>214</v>
      </c>
      <c r="D648" s="176">
        <v>2201.1</v>
      </c>
      <c r="E648" s="151">
        <v>44780</v>
      </c>
      <c r="F648" s="176">
        <v>2201.1</v>
      </c>
      <c r="G648" s="177">
        <f>Tabla19[[#This Row],[Importe]]-Tabla19[[#This Row],[Pagado]]</f>
        <v>0</v>
      </c>
      <c r="H648" s="75" t="s">
        <v>10</v>
      </c>
    </row>
    <row r="649" spans="1:8" x14ac:dyDescent="0.25">
      <c r="A649" s="148">
        <v>44780</v>
      </c>
      <c r="B649" s="149" t="s">
        <v>25314</v>
      </c>
      <c r="C649" s="153" t="s">
        <v>4136</v>
      </c>
      <c r="D649" s="178">
        <v>1629.9</v>
      </c>
      <c r="E649" s="155">
        <v>44780</v>
      </c>
      <c r="F649" s="178">
        <v>1629.9</v>
      </c>
      <c r="G649" s="179">
        <f>Tabla19[[#This Row],[Importe]]-Tabla19[[#This Row],[Pagado]]</f>
        <v>0</v>
      </c>
      <c r="H649" s="153" t="s">
        <v>10</v>
      </c>
    </row>
    <row r="650" spans="1:8" x14ac:dyDescent="0.25">
      <c r="A650" s="73">
        <v>44780</v>
      </c>
      <c r="B650" s="74" t="s">
        <v>25315</v>
      </c>
      <c r="C650" s="75" t="s">
        <v>296</v>
      </c>
      <c r="D650" s="176">
        <v>1425.6</v>
      </c>
      <c r="E650" s="151">
        <v>44780</v>
      </c>
      <c r="F650" s="176">
        <v>1425.6</v>
      </c>
      <c r="G650" s="177">
        <f>Tabla19[[#This Row],[Importe]]-Tabla19[[#This Row],[Pagado]]</f>
        <v>0</v>
      </c>
      <c r="H650" s="75" t="s">
        <v>10</v>
      </c>
    </row>
    <row r="651" spans="1:8" x14ac:dyDescent="0.25">
      <c r="A651" s="148">
        <v>44780</v>
      </c>
      <c r="B651" s="149" t="s">
        <v>25316</v>
      </c>
      <c r="C651" s="153" t="s">
        <v>58</v>
      </c>
      <c r="D651" s="178">
        <v>2726.9</v>
      </c>
      <c r="E651" s="155">
        <v>44780</v>
      </c>
      <c r="F651" s="178">
        <v>2726.9</v>
      </c>
      <c r="G651" s="179">
        <f>Tabla19[[#This Row],[Importe]]-Tabla19[[#This Row],[Pagado]]</f>
        <v>0</v>
      </c>
      <c r="H651" s="153" t="s">
        <v>10</v>
      </c>
    </row>
    <row r="652" spans="1:8" x14ac:dyDescent="0.25">
      <c r="A652" s="73">
        <v>44780</v>
      </c>
      <c r="B652" s="74" t="s">
        <v>25317</v>
      </c>
      <c r="C652" s="75" t="s">
        <v>53</v>
      </c>
      <c r="D652" s="176">
        <v>1572.8</v>
      </c>
      <c r="E652" s="151">
        <v>44780</v>
      </c>
      <c r="F652" s="176">
        <v>1572.8</v>
      </c>
      <c r="G652" s="177">
        <f>Tabla19[[#This Row],[Importe]]-Tabla19[[#This Row],[Pagado]]</f>
        <v>0</v>
      </c>
      <c r="H652" s="75" t="s">
        <v>10</v>
      </c>
    </row>
    <row r="653" spans="1:8" x14ac:dyDescent="0.25">
      <c r="A653" s="148">
        <v>44780</v>
      </c>
      <c r="B653" s="149" t="s">
        <v>25318</v>
      </c>
      <c r="C653" s="153" t="s">
        <v>24284</v>
      </c>
      <c r="D653" s="178">
        <v>1548.6</v>
      </c>
      <c r="E653" s="155">
        <v>44780</v>
      </c>
      <c r="F653" s="178">
        <v>1548.6</v>
      </c>
      <c r="G653" s="179">
        <f>Tabla19[[#This Row],[Importe]]-Tabla19[[#This Row],[Pagado]]</f>
        <v>0</v>
      </c>
      <c r="H653" s="153" t="s">
        <v>10</v>
      </c>
    </row>
    <row r="654" spans="1:8" x14ac:dyDescent="0.25">
      <c r="A654" s="73">
        <v>44780</v>
      </c>
      <c r="B654" s="74" t="s">
        <v>25319</v>
      </c>
      <c r="C654" s="75" t="s">
        <v>994</v>
      </c>
      <c r="D654" s="176">
        <v>2585.9</v>
      </c>
      <c r="E654" s="151">
        <v>44780</v>
      </c>
      <c r="F654" s="176">
        <v>2585.9</v>
      </c>
      <c r="G654" s="177">
        <f>Tabla19[[#This Row],[Importe]]-Tabla19[[#This Row],[Pagado]]</f>
        <v>0</v>
      </c>
      <c r="H654" s="75" t="s">
        <v>10</v>
      </c>
    </row>
    <row r="655" spans="1:8" x14ac:dyDescent="0.25">
      <c r="A655" s="148">
        <v>44780</v>
      </c>
      <c r="B655" s="149" t="s">
        <v>25320</v>
      </c>
      <c r="C655" s="153" t="s">
        <v>31</v>
      </c>
      <c r="D655" s="178">
        <v>3865.4</v>
      </c>
      <c r="E655" s="155">
        <v>44780</v>
      </c>
      <c r="F655" s="178">
        <v>3865.4</v>
      </c>
      <c r="G655" s="179">
        <f>Tabla19[[#This Row],[Importe]]-Tabla19[[#This Row],[Pagado]]</f>
        <v>0</v>
      </c>
      <c r="H655" s="153" t="s">
        <v>10</v>
      </c>
    </row>
    <row r="656" spans="1:8" x14ac:dyDescent="0.25">
      <c r="A656" s="73">
        <v>44780</v>
      </c>
      <c r="B656" s="74" t="s">
        <v>25321</v>
      </c>
      <c r="C656" s="75" t="s">
        <v>71</v>
      </c>
      <c r="D656" s="176">
        <v>1761.2</v>
      </c>
      <c r="E656" s="151">
        <v>44780</v>
      </c>
      <c r="F656" s="176">
        <v>1761.2</v>
      </c>
      <c r="G656" s="177">
        <f>Tabla19[[#This Row],[Importe]]-Tabla19[[#This Row],[Pagado]]</f>
        <v>0</v>
      </c>
      <c r="H656" s="75" t="s">
        <v>10</v>
      </c>
    </row>
    <row r="657" spans="1:8" x14ac:dyDescent="0.25">
      <c r="A657" s="148">
        <v>44780</v>
      </c>
      <c r="B657" s="149" t="s">
        <v>25322</v>
      </c>
      <c r="C657" s="153" t="s">
        <v>857</v>
      </c>
      <c r="D657" s="178">
        <v>528</v>
      </c>
      <c r="E657" s="155">
        <v>44780</v>
      </c>
      <c r="F657" s="178">
        <v>528</v>
      </c>
      <c r="G657" s="179">
        <f>Tabla19[[#This Row],[Importe]]-Tabla19[[#This Row],[Pagado]]</f>
        <v>0</v>
      </c>
      <c r="H657" s="153" t="s">
        <v>10</v>
      </c>
    </row>
    <row r="658" spans="1:8" x14ac:dyDescent="0.25">
      <c r="A658" s="73">
        <v>44780</v>
      </c>
      <c r="B658" s="74" t="s">
        <v>25323</v>
      </c>
      <c r="C658" s="75" t="s">
        <v>35</v>
      </c>
      <c r="D658" s="176">
        <v>188</v>
      </c>
      <c r="E658" s="151">
        <v>44780</v>
      </c>
      <c r="F658" s="176">
        <v>188</v>
      </c>
      <c r="G658" s="177">
        <f>Tabla19[[#This Row],[Importe]]-Tabla19[[#This Row],[Pagado]]</f>
        <v>0</v>
      </c>
      <c r="H658" s="75" t="s">
        <v>10</v>
      </c>
    </row>
    <row r="659" spans="1:8" x14ac:dyDescent="0.25">
      <c r="A659" s="148">
        <v>44780</v>
      </c>
      <c r="B659" s="149" t="s">
        <v>25324</v>
      </c>
      <c r="C659" s="153" t="s">
        <v>22</v>
      </c>
      <c r="D659" s="178">
        <v>5867.4</v>
      </c>
      <c r="E659" s="155">
        <v>44781</v>
      </c>
      <c r="F659" s="178">
        <v>5867.4</v>
      </c>
      <c r="G659" s="179">
        <f>Tabla19[[#This Row],[Importe]]-Tabla19[[#This Row],[Pagado]]</f>
        <v>0</v>
      </c>
      <c r="H659" s="153" t="s">
        <v>10</v>
      </c>
    </row>
    <row r="660" spans="1:8" x14ac:dyDescent="0.25">
      <c r="A660" s="73">
        <v>44780</v>
      </c>
      <c r="B660" s="74" t="s">
        <v>25325</v>
      </c>
      <c r="C660" s="75" t="s">
        <v>16</v>
      </c>
      <c r="D660" s="176">
        <v>1938</v>
      </c>
      <c r="E660" s="151">
        <v>44780</v>
      </c>
      <c r="F660" s="176">
        <v>1938</v>
      </c>
      <c r="G660" s="177">
        <f>Tabla19[[#This Row],[Importe]]-Tabla19[[#This Row],[Pagado]]</f>
        <v>0</v>
      </c>
      <c r="H660" s="75" t="s">
        <v>10</v>
      </c>
    </row>
    <row r="661" spans="1:8" x14ac:dyDescent="0.25">
      <c r="A661" s="148">
        <v>44780</v>
      </c>
      <c r="B661" s="149" t="s">
        <v>25326</v>
      </c>
      <c r="C661" s="153" t="s">
        <v>69</v>
      </c>
      <c r="D661" s="178">
        <v>2081.1</v>
      </c>
      <c r="E661" s="155">
        <v>44780</v>
      </c>
      <c r="F661" s="178">
        <v>2081.1</v>
      </c>
      <c r="G661" s="179">
        <f>Tabla19[[#This Row],[Importe]]-Tabla19[[#This Row],[Pagado]]</f>
        <v>0</v>
      </c>
      <c r="H661" s="153" t="s">
        <v>10</v>
      </c>
    </row>
    <row r="662" spans="1:8" x14ac:dyDescent="0.25">
      <c r="A662" s="73">
        <v>44780</v>
      </c>
      <c r="B662" s="74" t="s">
        <v>25327</v>
      </c>
      <c r="C662" s="75" t="s">
        <v>196</v>
      </c>
      <c r="D662" s="176">
        <v>11673.2</v>
      </c>
      <c r="E662" s="151">
        <v>44786</v>
      </c>
      <c r="F662" s="176">
        <v>11673.2</v>
      </c>
      <c r="G662" s="177">
        <f>Tabla19[[#This Row],[Importe]]-Tabla19[[#This Row],[Pagado]]</f>
        <v>0</v>
      </c>
      <c r="H662" s="75" t="s">
        <v>10</v>
      </c>
    </row>
    <row r="663" spans="1:8" x14ac:dyDescent="0.25">
      <c r="A663" s="148">
        <v>44780</v>
      </c>
      <c r="B663" s="149" t="s">
        <v>25328</v>
      </c>
      <c r="C663" s="153" t="s">
        <v>296</v>
      </c>
      <c r="D663" s="178">
        <v>3008.9</v>
      </c>
      <c r="E663" s="155">
        <v>44780</v>
      </c>
      <c r="F663" s="178">
        <v>3008.9</v>
      </c>
      <c r="G663" s="179">
        <f>Tabla19[[#This Row],[Importe]]-Tabla19[[#This Row],[Pagado]]</f>
        <v>0</v>
      </c>
      <c r="H663" s="153" t="s">
        <v>10</v>
      </c>
    </row>
    <row r="664" spans="1:8" x14ac:dyDescent="0.25">
      <c r="A664" s="73">
        <v>44780</v>
      </c>
      <c r="B664" s="74" t="s">
        <v>25329</v>
      </c>
      <c r="C664" s="75" t="s">
        <v>31</v>
      </c>
      <c r="D664" s="176">
        <v>2278</v>
      </c>
      <c r="E664" s="151">
        <v>44780</v>
      </c>
      <c r="F664" s="176">
        <v>2278</v>
      </c>
      <c r="G664" s="177">
        <f>Tabla19[[#This Row],[Importe]]-Tabla19[[#This Row],[Pagado]]</f>
        <v>0</v>
      </c>
      <c r="H664" s="75" t="s">
        <v>10</v>
      </c>
    </row>
    <row r="665" spans="1:8" x14ac:dyDescent="0.25">
      <c r="A665" s="148">
        <v>44780</v>
      </c>
      <c r="B665" s="149" t="s">
        <v>25330</v>
      </c>
      <c r="C665" s="153" t="s">
        <v>67</v>
      </c>
      <c r="D665" s="178">
        <v>294</v>
      </c>
      <c r="E665" s="155">
        <v>44780</v>
      </c>
      <c r="F665" s="178">
        <v>294</v>
      </c>
      <c r="G665" s="179">
        <f>Tabla19[[#This Row],[Importe]]-Tabla19[[#This Row],[Pagado]]</f>
        <v>0</v>
      </c>
      <c r="H665" s="153" t="s">
        <v>10</v>
      </c>
    </row>
    <row r="666" spans="1:8" x14ac:dyDescent="0.25">
      <c r="A666" s="73">
        <v>44780</v>
      </c>
      <c r="B666" s="74" t="s">
        <v>25331</v>
      </c>
      <c r="C666" s="75" t="s">
        <v>16</v>
      </c>
      <c r="D666" s="176">
        <v>1740.8</v>
      </c>
      <c r="E666" s="151">
        <v>44780</v>
      </c>
      <c r="F666" s="176">
        <v>1740.8</v>
      </c>
      <c r="G666" s="177">
        <f>Tabla19[[#This Row],[Importe]]-Tabla19[[#This Row],[Pagado]]</f>
        <v>0</v>
      </c>
      <c r="H666" s="75" t="s">
        <v>10</v>
      </c>
    </row>
    <row r="667" spans="1:8" x14ac:dyDescent="0.25">
      <c r="A667" s="148">
        <v>44780</v>
      </c>
      <c r="B667" s="149" t="s">
        <v>25332</v>
      </c>
      <c r="C667" s="153" t="s">
        <v>75</v>
      </c>
      <c r="D667" s="178">
        <v>8630.4</v>
      </c>
      <c r="E667" s="155">
        <v>44780</v>
      </c>
      <c r="F667" s="178">
        <v>8630.4</v>
      </c>
      <c r="G667" s="179">
        <f>Tabla19[[#This Row],[Importe]]-Tabla19[[#This Row],[Pagado]]</f>
        <v>0</v>
      </c>
      <c r="H667" s="153" t="s">
        <v>10</v>
      </c>
    </row>
    <row r="668" spans="1:8" x14ac:dyDescent="0.25">
      <c r="A668" s="73">
        <v>44780</v>
      </c>
      <c r="B668" s="74" t="s">
        <v>25333</v>
      </c>
      <c r="C668" s="75" t="s">
        <v>226</v>
      </c>
      <c r="D668" s="176">
        <v>17138.599999999999</v>
      </c>
      <c r="E668" s="151">
        <v>44780</v>
      </c>
      <c r="F668" s="176">
        <v>17138.599999999999</v>
      </c>
      <c r="G668" s="177">
        <f>Tabla19[[#This Row],[Importe]]-Tabla19[[#This Row],[Pagado]]</f>
        <v>0</v>
      </c>
      <c r="H668" s="75" t="s">
        <v>10</v>
      </c>
    </row>
    <row r="669" spans="1:8" x14ac:dyDescent="0.25">
      <c r="A669" s="148">
        <v>44780</v>
      </c>
      <c r="B669" s="149" t="s">
        <v>25334</v>
      </c>
      <c r="C669" s="153" t="s">
        <v>296</v>
      </c>
      <c r="D669" s="178">
        <v>678.6</v>
      </c>
      <c r="E669" s="155">
        <v>44780</v>
      </c>
      <c r="F669" s="178">
        <v>678.6</v>
      </c>
      <c r="G669" s="179">
        <f>Tabla19[[#This Row],[Importe]]-Tabla19[[#This Row],[Pagado]]</f>
        <v>0</v>
      </c>
      <c r="H669" s="153" t="s">
        <v>10</v>
      </c>
    </row>
    <row r="670" spans="1:8" x14ac:dyDescent="0.25">
      <c r="A670" s="73">
        <v>44781</v>
      </c>
      <c r="B670" s="74" t="s">
        <v>25335</v>
      </c>
      <c r="C670" s="75" t="s">
        <v>887</v>
      </c>
      <c r="D670" s="176">
        <v>11208.6</v>
      </c>
      <c r="E670" s="151">
        <v>44781</v>
      </c>
      <c r="F670" s="176">
        <v>11208.6</v>
      </c>
      <c r="G670" s="177">
        <f>Tabla19[[#This Row],[Importe]]-Tabla19[[#This Row],[Pagado]]</f>
        <v>0</v>
      </c>
      <c r="H670" s="75" t="s">
        <v>10</v>
      </c>
    </row>
    <row r="671" spans="1:8" ht="31.5" x14ac:dyDescent="0.25">
      <c r="A671" s="148">
        <v>44781</v>
      </c>
      <c r="B671" s="149" t="s">
        <v>25336</v>
      </c>
      <c r="C671" s="153" t="s">
        <v>475</v>
      </c>
      <c r="D671" s="178">
        <v>118743.8</v>
      </c>
      <c r="E671" s="150" t="s">
        <v>25337</v>
      </c>
      <c r="F671" s="178">
        <f>105900+12843.8</f>
        <v>118743.8</v>
      </c>
      <c r="G671" s="179">
        <f>Tabla19[[#This Row],[Importe]]-Tabla19[[#This Row],[Pagado]]</f>
        <v>0</v>
      </c>
      <c r="H671" s="153" t="s">
        <v>10</v>
      </c>
    </row>
    <row r="672" spans="1:8" x14ac:dyDescent="0.25">
      <c r="A672" s="73">
        <v>44781</v>
      </c>
      <c r="B672" s="74" t="s">
        <v>25338</v>
      </c>
      <c r="C672" s="75" t="s">
        <v>31</v>
      </c>
      <c r="D672" s="176">
        <v>8543.4</v>
      </c>
      <c r="E672" s="151">
        <v>44781</v>
      </c>
      <c r="F672" s="176">
        <v>8543.4</v>
      </c>
      <c r="G672" s="177">
        <f>Tabla19[[#This Row],[Importe]]-Tabla19[[#This Row],[Pagado]]</f>
        <v>0</v>
      </c>
      <c r="H672" s="75" t="s">
        <v>10</v>
      </c>
    </row>
    <row r="673" spans="1:8" x14ac:dyDescent="0.25">
      <c r="A673" s="148">
        <v>44781</v>
      </c>
      <c r="B673" s="149" t="s">
        <v>25339</v>
      </c>
      <c r="C673" s="153" t="s">
        <v>473</v>
      </c>
      <c r="D673" s="178">
        <v>4970.8</v>
      </c>
      <c r="E673" s="155">
        <v>44781</v>
      </c>
      <c r="F673" s="178">
        <v>4970.8</v>
      </c>
      <c r="G673" s="179">
        <f>Tabla19[[#This Row],[Importe]]-Tabla19[[#This Row],[Pagado]]</f>
        <v>0</v>
      </c>
      <c r="H673" s="153" t="s">
        <v>10</v>
      </c>
    </row>
    <row r="674" spans="1:8" x14ac:dyDescent="0.25">
      <c r="A674" s="73">
        <v>44781</v>
      </c>
      <c r="B674" s="74" t="s">
        <v>25340</v>
      </c>
      <c r="C674" s="75" t="s">
        <v>11383</v>
      </c>
      <c r="D674" s="176">
        <v>31411.200000000001</v>
      </c>
      <c r="E674" s="151">
        <v>44781</v>
      </c>
      <c r="F674" s="176">
        <v>31411.200000000001</v>
      </c>
      <c r="G674" s="177">
        <f>Tabla19[[#This Row],[Importe]]-Tabla19[[#This Row],[Pagado]]</f>
        <v>0</v>
      </c>
      <c r="H674" s="75" t="s">
        <v>10</v>
      </c>
    </row>
    <row r="675" spans="1:8" x14ac:dyDescent="0.25">
      <c r="A675" s="148">
        <v>44781</v>
      </c>
      <c r="B675" s="149" t="s">
        <v>25341</v>
      </c>
      <c r="C675" s="153" t="s">
        <v>89</v>
      </c>
      <c r="D675" s="178">
        <v>11771.9</v>
      </c>
      <c r="E675" s="155">
        <v>44782</v>
      </c>
      <c r="F675" s="178">
        <v>11771.9</v>
      </c>
      <c r="G675" s="179">
        <f>Tabla19[[#This Row],[Importe]]-Tabla19[[#This Row],[Pagado]]</f>
        <v>0</v>
      </c>
      <c r="H675" s="153" t="s">
        <v>10</v>
      </c>
    </row>
    <row r="676" spans="1:8" x14ac:dyDescent="0.25">
      <c r="A676" s="73">
        <v>44781</v>
      </c>
      <c r="B676" s="74" t="s">
        <v>25342</v>
      </c>
      <c r="C676" s="75" t="s">
        <v>481</v>
      </c>
      <c r="D676" s="176">
        <v>912.8</v>
      </c>
      <c r="E676" s="151">
        <v>44781</v>
      </c>
      <c r="F676" s="176">
        <v>912.8</v>
      </c>
      <c r="G676" s="177">
        <f>Tabla19[[#This Row],[Importe]]-Tabla19[[#This Row],[Pagado]]</f>
        <v>0</v>
      </c>
      <c r="H676" s="75" t="s">
        <v>10</v>
      </c>
    </row>
    <row r="677" spans="1:8" x14ac:dyDescent="0.25">
      <c r="A677" s="148">
        <v>44781</v>
      </c>
      <c r="B677" s="149" t="s">
        <v>25343</v>
      </c>
      <c r="C677" s="153" t="s">
        <v>60</v>
      </c>
      <c r="D677" s="178">
        <v>4243.8</v>
      </c>
      <c r="E677" s="155">
        <v>44785</v>
      </c>
      <c r="F677" s="178">
        <v>4243.8</v>
      </c>
      <c r="G677" s="179">
        <f>Tabla19[[#This Row],[Importe]]-Tabla19[[#This Row],[Pagado]]</f>
        <v>0</v>
      </c>
      <c r="H677" s="153" t="s">
        <v>10</v>
      </c>
    </row>
    <row r="678" spans="1:8" x14ac:dyDescent="0.25">
      <c r="A678" s="73">
        <v>44781</v>
      </c>
      <c r="B678" s="74" t="s">
        <v>25344</v>
      </c>
      <c r="C678" s="75" t="s">
        <v>99</v>
      </c>
      <c r="D678" s="176">
        <v>3879.3</v>
      </c>
      <c r="E678" s="151">
        <v>44783</v>
      </c>
      <c r="F678" s="176">
        <v>3879.3</v>
      </c>
      <c r="G678" s="177">
        <f>Tabla19[[#This Row],[Importe]]-Tabla19[[#This Row],[Pagado]]</f>
        <v>0</v>
      </c>
      <c r="H678" s="75" t="s">
        <v>10</v>
      </c>
    </row>
    <row r="679" spans="1:8" x14ac:dyDescent="0.25">
      <c r="A679" s="148">
        <v>44781</v>
      </c>
      <c r="B679" s="149" t="s">
        <v>25345</v>
      </c>
      <c r="C679" s="153" t="s">
        <v>11383</v>
      </c>
      <c r="D679" s="178">
        <v>3833.7</v>
      </c>
      <c r="E679" s="155">
        <v>44781</v>
      </c>
      <c r="F679" s="178">
        <v>3833.7</v>
      </c>
      <c r="G679" s="179">
        <f>Tabla19[[#This Row],[Importe]]-Tabla19[[#This Row],[Pagado]]</f>
        <v>0</v>
      </c>
      <c r="H679" s="153" t="s">
        <v>10</v>
      </c>
    </row>
    <row r="680" spans="1:8" ht="31.5" x14ac:dyDescent="0.25">
      <c r="A680" s="73">
        <v>44781</v>
      </c>
      <c r="B680" s="74" t="s">
        <v>25346</v>
      </c>
      <c r="C680" s="75" t="s">
        <v>93</v>
      </c>
      <c r="D680" s="176">
        <v>10933.5</v>
      </c>
      <c r="E680" s="147" t="s">
        <v>25337</v>
      </c>
      <c r="F680" s="176">
        <f>8000+2933.5</f>
        <v>10933.5</v>
      </c>
      <c r="G680" s="177">
        <f>Tabla19[[#This Row],[Importe]]-Tabla19[[#This Row],[Pagado]]</f>
        <v>0</v>
      </c>
      <c r="H680" s="75" t="s">
        <v>10</v>
      </c>
    </row>
    <row r="681" spans="1:8" x14ac:dyDescent="0.25">
      <c r="A681" s="148">
        <v>44781</v>
      </c>
      <c r="B681" s="149" t="s">
        <v>25347</v>
      </c>
      <c r="C681" s="153" t="s">
        <v>114</v>
      </c>
      <c r="D681" s="178">
        <v>11795.2</v>
      </c>
      <c r="E681" s="155">
        <v>44782</v>
      </c>
      <c r="F681" s="178">
        <v>11795.2</v>
      </c>
      <c r="G681" s="179">
        <f>Tabla19[[#This Row],[Importe]]-Tabla19[[#This Row],[Pagado]]</f>
        <v>0</v>
      </c>
      <c r="H681" s="153" t="s">
        <v>10</v>
      </c>
    </row>
    <row r="682" spans="1:8" x14ac:dyDescent="0.25">
      <c r="A682" s="73">
        <v>44781</v>
      </c>
      <c r="B682" s="74" t="s">
        <v>25348</v>
      </c>
      <c r="C682" s="75" t="s">
        <v>105</v>
      </c>
      <c r="D682" s="176">
        <v>9275.7000000000007</v>
      </c>
      <c r="E682" s="151">
        <v>44782</v>
      </c>
      <c r="F682" s="176">
        <v>9275.7000000000007</v>
      </c>
      <c r="G682" s="177">
        <f>Tabla19[[#This Row],[Importe]]-Tabla19[[#This Row],[Pagado]]</f>
        <v>0</v>
      </c>
      <c r="H682" s="75" t="s">
        <v>10</v>
      </c>
    </row>
    <row r="683" spans="1:8" x14ac:dyDescent="0.25">
      <c r="A683" s="148">
        <v>44781</v>
      </c>
      <c r="B683" s="149" t="s">
        <v>25349</v>
      </c>
      <c r="C683" s="153" t="s">
        <v>2563</v>
      </c>
      <c r="D683" s="178">
        <v>5464.8</v>
      </c>
      <c r="E683" s="155">
        <v>44782</v>
      </c>
      <c r="F683" s="178">
        <v>5464.8</v>
      </c>
      <c r="G683" s="179">
        <f>Tabla19[[#This Row],[Importe]]-Tabla19[[#This Row],[Pagado]]</f>
        <v>0</v>
      </c>
      <c r="H683" s="153" t="s">
        <v>10</v>
      </c>
    </row>
    <row r="684" spans="1:8" x14ac:dyDescent="0.25">
      <c r="A684" s="73">
        <v>44781</v>
      </c>
      <c r="B684" s="74" t="s">
        <v>25350</v>
      </c>
      <c r="C684" s="75" t="s">
        <v>111</v>
      </c>
      <c r="D684" s="176">
        <v>5344</v>
      </c>
      <c r="E684" s="151">
        <v>44783</v>
      </c>
      <c r="F684" s="176">
        <v>5344</v>
      </c>
      <c r="G684" s="177">
        <f>Tabla19[[#This Row],[Importe]]-Tabla19[[#This Row],[Pagado]]</f>
        <v>0</v>
      </c>
      <c r="H684" s="75" t="s">
        <v>10</v>
      </c>
    </row>
    <row r="685" spans="1:8" x14ac:dyDescent="0.25">
      <c r="A685" s="148">
        <v>44781</v>
      </c>
      <c r="B685" s="149" t="s">
        <v>25351</v>
      </c>
      <c r="C685" s="153" t="s">
        <v>109</v>
      </c>
      <c r="D685" s="178">
        <v>5107.2</v>
      </c>
      <c r="E685" s="155">
        <v>44782</v>
      </c>
      <c r="F685" s="178">
        <v>5107.2</v>
      </c>
      <c r="G685" s="179">
        <f>Tabla19[[#This Row],[Importe]]-Tabla19[[#This Row],[Pagado]]</f>
        <v>0</v>
      </c>
      <c r="H685" s="153" t="s">
        <v>10</v>
      </c>
    </row>
    <row r="686" spans="1:8" x14ac:dyDescent="0.25">
      <c r="A686" s="73">
        <v>44781</v>
      </c>
      <c r="B686" s="74" t="s">
        <v>25352</v>
      </c>
      <c r="C686" s="75" t="s">
        <v>9</v>
      </c>
      <c r="D686" s="176">
        <v>4942.8</v>
      </c>
      <c r="E686" s="151">
        <v>44781</v>
      </c>
      <c r="F686" s="176">
        <v>4942.8</v>
      </c>
      <c r="G686" s="177">
        <f>Tabla19[[#This Row],[Importe]]-Tabla19[[#This Row],[Pagado]]</f>
        <v>0</v>
      </c>
      <c r="H686" s="75" t="s">
        <v>10</v>
      </c>
    </row>
    <row r="687" spans="1:8" x14ac:dyDescent="0.25">
      <c r="A687" s="148">
        <v>44781</v>
      </c>
      <c r="B687" s="149" t="s">
        <v>25353</v>
      </c>
      <c r="C687" s="153" t="s">
        <v>97</v>
      </c>
      <c r="D687" s="178">
        <v>5431.8</v>
      </c>
      <c r="E687" s="155">
        <v>44782</v>
      </c>
      <c r="F687" s="178">
        <v>5431.8</v>
      </c>
      <c r="G687" s="179">
        <f>Tabla19[[#This Row],[Importe]]-Tabla19[[#This Row],[Pagado]]</f>
        <v>0</v>
      </c>
      <c r="H687" s="153" t="s">
        <v>10</v>
      </c>
    </row>
    <row r="688" spans="1:8" x14ac:dyDescent="0.25">
      <c r="A688" s="73">
        <v>44781</v>
      </c>
      <c r="B688" s="74" t="s">
        <v>25354</v>
      </c>
      <c r="C688" s="75" t="s">
        <v>64</v>
      </c>
      <c r="D688" s="176">
        <v>4745.3999999999996</v>
      </c>
      <c r="E688" s="151">
        <v>44782</v>
      </c>
      <c r="F688" s="176">
        <v>4745.3999999999996</v>
      </c>
      <c r="G688" s="177">
        <f>Tabla19[[#This Row],[Importe]]-Tabla19[[#This Row],[Pagado]]</f>
        <v>0</v>
      </c>
      <c r="H688" s="75" t="s">
        <v>10</v>
      </c>
    </row>
    <row r="689" spans="1:8" x14ac:dyDescent="0.25">
      <c r="A689" s="148">
        <v>44781</v>
      </c>
      <c r="B689" s="149" t="s">
        <v>25355</v>
      </c>
      <c r="C689" s="153" t="s">
        <v>2151</v>
      </c>
      <c r="D689" s="178">
        <v>16678.2</v>
      </c>
      <c r="E689" s="155">
        <v>44781</v>
      </c>
      <c r="F689" s="178">
        <v>16678.2</v>
      </c>
      <c r="G689" s="179">
        <f>Tabla19[[#This Row],[Importe]]-Tabla19[[#This Row],[Pagado]]</f>
        <v>0</v>
      </c>
      <c r="H689" s="153" t="s">
        <v>10</v>
      </c>
    </row>
    <row r="690" spans="1:8" x14ac:dyDescent="0.25">
      <c r="A690" s="73">
        <v>44781</v>
      </c>
      <c r="B690" s="74" t="s">
        <v>25356</v>
      </c>
      <c r="C690" s="75" t="s">
        <v>924</v>
      </c>
      <c r="D690" s="176">
        <v>15764.1</v>
      </c>
      <c r="E690" s="151">
        <v>44781</v>
      </c>
      <c r="F690" s="176">
        <v>15764.1</v>
      </c>
      <c r="G690" s="177">
        <f>Tabla19[[#This Row],[Importe]]-Tabla19[[#This Row],[Pagado]]</f>
        <v>0</v>
      </c>
      <c r="H690" s="75" t="s">
        <v>10</v>
      </c>
    </row>
    <row r="691" spans="1:8" x14ac:dyDescent="0.25">
      <c r="A691" s="148">
        <v>44781</v>
      </c>
      <c r="B691" s="149" t="s">
        <v>25357</v>
      </c>
      <c r="C691" s="153" t="s">
        <v>9</v>
      </c>
      <c r="D691" s="178">
        <v>3845.4</v>
      </c>
      <c r="E691" s="155">
        <v>44781</v>
      </c>
      <c r="F691" s="178">
        <v>3845.4</v>
      </c>
      <c r="G691" s="179">
        <f>Tabla19[[#This Row],[Importe]]-Tabla19[[#This Row],[Pagado]]</f>
        <v>0</v>
      </c>
      <c r="H691" s="153" t="s">
        <v>10</v>
      </c>
    </row>
    <row r="692" spans="1:8" x14ac:dyDescent="0.25">
      <c r="A692" s="73">
        <v>44781</v>
      </c>
      <c r="B692" s="74" t="s">
        <v>25358</v>
      </c>
      <c r="C692" s="75" t="s">
        <v>212</v>
      </c>
      <c r="D692" s="176">
        <v>43727.9</v>
      </c>
      <c r="E692" s="151">
        <v>44783</v>
      </c>
      <c r="F692" s="176">
        <v>43727.9</v>
      </c>
      <c r="G692" s="177">
        <f>Tabla19[[#This Row],[Importe]]-Tabla19[[#This Row],[Pagado]]</f>
        <v>0</v>
      </c>
      <c r="H692" s="75" t="s">
        <v>10</v>
      </c>
    </row>
    <row r="693" spans="1:8" x14ac:dyDescent="0.25">
      <c r="A693" s="148">
        <v>44781</v>
      </c>
      <c r="B693" s="149" t="s">
        <v>25359</v>
      </c>
      <c r="C693" s="153" t="s">
        <v>1187</v>
      </c>
      <c r="D693" s="178">
        <v>2961.4</v>
      </c>
      <c r="E693" s="155">
        <v>44781</v>
      </c>
      <c r="F693" s="178">
        <v>2961.4</v>
      </c>
      <c r="G693" s="179">
        <f>Tabla19[[#This Row],[Importe]]-Tabla19[[#This Row],[Pagado]]</f>
        <v>0</v>
      </c>
      <c r="H693" s="153" t="s">
        <v>10</v>
      </c>
    </row>
    <row r="694" spans="1:8" x14ac:dyDescent="0.25">
      <c r="A694" s="73">
        <v>44781</v>
      </c>
      <c r="B694" s="74" t="s">
        <v>25360</v>
      </c>
      <c r="C694" s="75" t="s">
        <v>4707</v>
      </c>
      <c r="D694" s="176">
        <v>0</v>
      </c>
      <c r="E694" s="157" t="s">
        <v>189</v>
      </c>
      <c r="F694" s="176">
        <v>0</v>
      </c>
      <c r="G694" s="177">
        <f>Tabla19[[#This Row],[Importe]]-Tabla19[[#This Row],[Pagado]]</f>
        <v>0</v>
      </c>
      <c r="H694" s="161" t="s">
        <v>25361</v>
      </c>
    </row>
    <row r="695" spans="1:8" x14ac:dyDescent="0.25">
      <c r="A695" s="148">
        <v>44781</v>
      </c>
      <c r="B695" s="149" t="s">
        <v>25362</v>
      </c>
      <c r="C695" s="153" t="s">
        <v>206</v>
      </c>
      <c r="D695" s="178">
        <v>27812.5</v>
      </c>
      <c r="E695" s="155">
        <v>44784</v>
      </c>
      <c r="F695" s="178">
        <v>27812.5</v>
      </c>
      <c r="G695" s="179">
        <f>Tabla19[[#This Row],[Importe]]-Tabla19[[#This Row],[Pagado]]</f>
        <v>0</v>
      </c>
      <c r="H695" s="153" t="s">
        <v>10</v>
      </c>
    </row>
    <row r="696" spans="1:8" x14ac:dyDescent="0.25">
      <c r="A696" s="73">
        <v>44781</v>
      </c>
      <c r="B696" s="74" t="s">
        <v>25363</v>
      </c>
      <c r="C696" s="75" t="s">
        <v>154</v>
      </c>
      <c r="D696" s="176">
        <v>27749.599999999999</v>
      </c>
      <c r="E696" s="151">
        <v>44784</v>
      </c>
      <c r="F696" s="176">
        <v>27749.599999999999</v>
      </c>
      <c r="G696" s="177">
        <f>Tabla19[[#This Row],[Importe]]-Tabla19[[#This Row],[Pagado]]</f>
        <v>0</v>
      </c>
      <c r="H696" s="75" t="s">
        <v>10</v>
      </c>
    </row>
    <row r="697" spans="1:8" x14ac:dyDescent="0.25">
      <c r="A697" s="148">
        <v>44781</v>
      </c>
      <c r="B697" s="149" t="s">
        <v>25364</v>
      </c>
      <c r="C697" s="153" t="s">
        <v>173</v>
      </c>
      <c r="D697" s="178">
        <v>33868</v>
      </c>
      <c r="E697" s="155">
        <v>44782</v>
      </c>
      <c r="F697" s="178">
        <v>33868</v>
      </c>
      <c r="G697" s="179">
        <f>Tabla19[[#This Row],[Importe]]-Tabla19[[#This Row],[Pagado]]</f>
        <v>0</v>
      </c>
      <c r="H697" s="153" t="s">
        <v>10</v>
      </c>
    </row>
    <row r="698" spans="1:8" x14ac:dyDescent="0.25">
      <c r="A698" s="73">
        <v>44781</v>
      </c>
      <c r="B698" s="74" t="s">
        <v>25365</v>
      </c>
      <c r="C698" s="75" t="s">
        <v>348</v>
      </c>
      <c r="D698" s="176">
        <v>4422</v>
      </c>
      <c r="E698" s="151">
        <v>44781</v>
      </c>
      <c r="F698" s="176">
        <v>4422</v>
      </c>
      <c r="G698" s="177">
        <f>Tabla19[[#This Row],[Importe]]-Tabla19[[#This Row],[Pagado]]</f>
        <v>0</v>
      </c>
      <c r="H698" s="75" t="s">
        <v>10</v>
      </c>
    </row>
    <row r="699" spans="1:8" x14ac:dyDescent="0.25">
      <c r="A699" s="148">
        <v>44781</v>
      </c>
      <c r="B699" s="149" t="s">
        <v>25366</v>
      </c>
      <c r="C699" s="153" t="s">
        <v>208</v>
      </c>
      <c r="D699" s="178">
        <v>52306</v>
      </c>
      <c r="E699" s="155">
        <v>44793</v>
      </c>
      <c r="F699" s="178">
        <v>52306</v>
      </c>
      <c r="G699" s="179">
        <f>Tabla19[[#This Row],[Importe]]-Tabla19[[#This Row],[Pagado]]</f>
        <v>0</v>
      </c>
      <c r="H699" s="153" t="s">
        <v>10</v>
      </c>
    </row>
    <row r="700" spans="1:8" ht="31.5" x14ac:dyDescent="0.25">
      <c r="A700" s="73">
        <v>44781</v>
      </c>
      <c r="B700" s="74" t="s">
        <v>25367</v>
      </c>
      <c r="C700" s="75" t="s">
        <v>22</v>
      </c>
      <c r="D700" s="176">
        <v>91394.5</v>
      </c>
      <c r="E700" s="147" t="s">
        <v>25368</v>
      </c>
      <c r="F700" s="176">
        <f>60000+31394.5</f>
        <v>91394.5</v>
      </c>
      <c r="G700" s="177">
        <f>Tabla19[[#This Row],[Importe]]-Tabla19[[#This Row],[Pagado]]</f>
        <v>0</v>
      </c>
      <c r="H700" s="75" t="s">
        <v>10</v>
      </c>
    </row>
    <row r="701" spans="1:8" x14ac:dyDescent="0.25">
      <c r="A701" s="148">
        <v>44781</v>
      </c>
      <c r="B701" s="149" t="s">
        <v>25369</v>
      </c>
      <c r="C701" s="153" t="s">
        <v>16370</v>
      </c>
      <c r="D701" s="178">
        <v>0</v>
      </c>
      <c r="E701" s="158" t="s">
        <v>189</v>
      </c>
      <c r="F701" s="178">
        <v>0</v>
      </c>
      <c r="G701" s="179">
        <f>Tabla19[[#This Row],[Importe]]-Tabla19[[#This Row],[Pagado]]</f>
        <v>0</v>
      </c>
      <c r="H701" s="153" t="s">
        <v>189</v>
      </c>
    </row>
    <row r="702" spans="1:8" x14ac:dyDescent="0.25">
      <c r="A702" s="73">
        <v>44781</v>
      </c>
      <c r="B702" s="74" t="s">
        <v>25370</v>
      </c>
      <c r="C702" s="75" t="s">
        <v>135</v>
      </c>
      <c r="D702" s="176">
        <v>2162.8000000000002</v>
      </c>
      <c r="E702" s="151">
        <v>44781</v>
      </c>
      <c r="F702" s="176">
        <v>2162.8000000000002</v>
      </c>
      <c r="G702" s="177">
        <f>Tabla19[[#This Row],[Importe]]-Tabla19[[#This Row],[Pagado]]</f>
        <v>0</v>
      </c>
      <c r="H702" s="75" t="s">
        <v>10</v>
      </c>
    </row>
    <row r="703" spans="1:8" x14ac:dyDescent="0.25">
      <c r="A703" s="148">
        <v>44781</v>
      </c>
      <c r="B703" s="149" t="s">
        <v>25371</v>
      </c>
      <c r="C703" s="153" t="s">
        <v>27</v>
      </c>
      <c r="D703" s="178">
        <v>3294.6</v>
      </c>
      <c r="E703" s="155">
        <v>44781</v>
      </c>
      <c r="F703" s="178">
        <v>3294.6</v>
      </c>
      <c r="G703" s="179">
        <f>Tabla19[[#This Row],[Importe]]-Tabla19[[#This Row],[Pagado]]</f>
        <v>0</v>
      </c>
      <c r="H703" s="153" t="s">
        <v>10</v>
      </c>
    </row>
    <row r="704" spans="1:8" x14ac:dyDescent="0.25">
      <c r="A704" s="73">
        <v>44781</v>
      </c>
      <c r="B704" s="74" t="s">
        <v>25372</v>
      </c>
      <c r="C704" s="75" t="s">
        <v>16</v>
      </c>
      <c r="D704" s="176">
        <v>6981.4</v>
      </c>
      <c r="E704" s="151">
        <v>44781</v>
      </c>
      <c r="F704" s="176">
        <v>6981.4</v>
      </c>
      <c r="G704" s="177">
        <f>Tabla19[[#This Row],[Importe]]-Tabla19[[#This Row],[Pagado]]</f>
        <v>0</v>
      </c>
      <c r="H704" s="75" t="s">
        <v>10</v>
      </c>
    </row>
    <row r="705" spans="1:8" x14ac:dyDescent="0.25">
      <c r="A705" s="148">
        <v>44781</v>
      </c>
      <c r="B705" s="149" t="s">
        <v>25373</v>
      </c>
      <c r="C705" s="153" t="s">
        <v>144</v>
      </c>
      <c r="D705" s="178">
        <v>2823</v>
      </c>
      <c r="E705" s="155">
        <v>44781</v>
      </c>
      <c r="F705" s="178">
        <v>2823</v>
      </c>
      <c r="G705" s="179">
        <f>Tabla19[[#This Row],[Importe]]-Tabla19[[#This Row],[Pagado]]</f>
        <v>0</v>
      </c>
      <c r="H705" s="153" t="s">
        <v>10</v>
      </c>
    </row>
    <row r="706" spans="1:8" x14ac:dyDescent="0.25">
      <c r="A706" s="73">
        <v>44781</v>
      </c>
      <c r="B706" s="74" t="s">
        <v>25374</v>
      </c>
      <c r="C706" s="75" t="s">
        <v>107</v>
      </c>
      <c r="D706" s="176">
        <v>16256.7</v>
      </c>
      <c r="E706" s="151">
        <v>44781</v>
      </c>
      <c r="F706" s="176">
        <v>16256.7</v>
      </c>
      <c r="G706" s="177">
        <f>Tabla19[[#This Row],[Importe]]-Tabla19[[#This Row],[Pagado]]</f>
        <v>0</v>
      </c>
      <c r="H706" s="75" t="s">
        <v>10</v>
      </c>
    </row>
    <row r="707" spans="1:8" x14ac:dyDescent="0.25">
      <c r="A707" s="148">
        <v>44781</v>
      </c>
      <c r="B707" s="149" t="s">
        <v>25375</v>
      </c>
      <c r="C707" s="153" t="s">
        <v>129</v>
      </c>
      <c r="D707" s="178">
        <v>5943.1</v>
      </c>
      <c r="E707" s="155">
        <v>44781</v>
      </c>
      <c r="F707" s="178">
        <v>5943.1</v>
      </c>
      <c r="G707" s="179">
        <f>Tabla19[[#This Row],[Importe]]-Tabla19[[#This Row],[Pagado]]</f>
        <v>0</v>
      </c>
      <c r="H707" s="153" t="s">
        <v>10</v>
      </c>
    </row>
    <row r="708" spans="1:8" x14ac:dyDescent="0.25">
      <c r="A708" s="73">
        <v>44781</v>
      </c>
      <c r="B708" s="74" t="s">
        <v>25376</v>
      </c>
      <c r="C708" s="75" t="s">
        <v>357</v>
      </c>
      <c r="D708" s="176">
        <v>403</v>
      </c>
      <c r="E708" s="151">
        <v>44781</v>
      </c>
      <c r="F708" s="176">
        <v>403</v>
      </c>
      <c r="G708" s="177">
        <f>Tabla19[[#This Row],[Importe]]-Tabla19[[#This Row],[Pagado]]</f>
        <v>0</v>
      </c>
      <c r="H708" s="75" t="s">
        <v>10</v>
      </c>
    </row>
    <row r="709" spans="1:8" x14ac:dyDescent="0.25">
      <c r="A709" s="148">
        <v>44781</v>
      </c>
      <c r="B709" s="149" t="s">
        <v>25377</v>
      </c>
      <c r="C709" s="153" t="s">
        <v>142</v>
      </c>
      <c r="D709" s="178">
        <v>157421.98000000001</v>
      </c>
      <c r="E709" s="155">
        <v>44837</v>
      </c>
      <c r="F709" s="178">
        <v>0</v>
      </c>
      <c r="G709" s="179">
        <f>Tabla19[[#This Row],[Importe]]-Tabla19[[#This Row],[Pagado]]</f>
        <v>157421.98000000001</v>
      </c>
      <c r="H709" s="153" t="s">
        <v>4814</v>
      </c>
    </row>
    <row r="710" spans="1:8" x14ac:dyDescent="0.25">
      <c r="A710" s="73">
        <v>44781</v>
      </c>
      <c r="B710" s="74" t="s">
        <v>25378</v>
      </c>
      <c r="C710" s="75" t="s">
        <v>56</v>
      </c>
      <c r="D710" s="176">
        <v>5582.7</v>
      </c>
      <c r="E710" s="151">
        <v>44781</v>
      </c>
      <c r="F710" s="176">
        <v>5582.7</v>
      </c>
      <c r="G710" s="177">
        <f>Tabla19[[#This Row],[Importe]]-Tabla19[[#This Row],[Pagado]]</f>
        <v>0</v>
      </c>
      <c r="H710" s="75" t="s">
        <v>10</v>
      </c>
    </row>
    <row r="711" spans="1:8" x14ac:dyDescent="0.25">
      <c r="A711" s="148">
        <v>44781</v>
      </c>
      <c r="B711" s="149" t="s">
        <v>25379</v>
      </c>
      <c r="C711" s="153" t="s">
        <v>45</v>
      </c>
      <c r="D711" s="178">
        <v>10338.5</v>
      </c>
      <c r="E711" s="155">
        <v>44781</v>
      </c>
      <c r="F711" s="178">
        <v>10338.5</v>
      </c>
      <c r="G711" s="179">
        <f>Tabla19[[#This Row],[Importe]]-Tabla19[[#This Row],[Pagado]]</f>
        <v>0</v>
      </c>
      <c r="H711" s="153" t="s">
        <v>10</v>
      </c>
    </row>
    <row r="712" spans="1:8" x14ac:dyDescent="0.25">
      <c r="A712" s="73">
        <v>44781</v>
      </c>
      <c r="B712" s="74" t="s">
        <v>25380</v>
      </c>
      <c r="C712" s="75" t="s">
        <v>127</v>
      </c>
      <c r="D712" s="176">
        <v>6314.7</v>
      </c>
      <c r="E712" s="151">
        <v>44781</v>
      </c>
      <c r="F712" s="176">
        <v>6314.7</v>
      </c>
      <c r="G712" s="177">
        <f>Tabla19[[#This Row],[Importe]]-Tabla19[[#This Row],[Pagado]]</f>
        <v>0</v>
      </c>
      <c r="H712" s="75" t="s">
        <v>10</v>
      </c>
    </row>
    <row r="713" spans="1:8" x14ac:dyDescent="0.25">
      <c r="A713" s="148">
        <v>44781</v>
      </c>
      <c r="B713" s="149" t="s">
        <v>25381</v>
      </c>
      <c r="C713" s="153" t="s">
        <v>83</v>
      </c>
      <c r="D713" s="178">
        <v>12856</v>
      </c>
      <c r="E713" s="155">
        <v>44781</v>
      </c>
      <c r="F713" s="178">
        <v>12856</v>
      </c>
      <c r="G713" s="179">
        <f>Tabla19[[#This Row],[Importe]]-Tabla19[[#This Row],[Pagado]]</f>
        <v>0</v>
      </c>
      <c r="H713" s="153" t="s">
        <v>10</v>
      </c>
    </row>
    <row r="714" spans="1:8" x14ac:dyDescent="0.25">
      <c r="A714" s="73">
        <v>44781</v>
      </c>
      <c r="B714" s="74" t="s">
        <v>25382</v>
      </c>
      <c r="C714" s="75" t="s">
        <v>3971</v>
      </c>
      <c r="D714" s="176">
        <v>3318</v>
      </c>
      <c r="E714" s="151">
        <v>44781</v>
      </c>
      <c r="F714" s="176">
        <v>3318</v>
      </c>
      <c r="G714" s="177">
        <f>Tabla19[[#This Row],[Importe]]-Tabla19[[#This Row],[Pagado]]</f>
        <v>0</v>
      </c>
      <c r="H714" s="75" t="s">
        <v>10</v>
      </c>
    </row>
    <row r="715" spans="1:8" x14ac:dyDescent="0.25">
      <c r="A715" s="148">
        <v>44781</v>
      </c>
      <c r="B715" s="149" t="s">
        <v>25383</v>
      </c>
      <c r="C715" s="153" t="s">
        <v>191</v>
      </c>
      <c r="D715" s="178">
        <v>1445.7</v>
      </c>
      <c r="E715" s="155">
        <v>44781</v>
      </c>
      <c r="F715" s="178">
        <v>1445.7</v>
      </c>
      <c r="G715" s="179">
        <f>Tabla19[[#This Row],[Importe]]-Tabla19[[#This Row],[Pagado]]</f>
        <v>0</v>
      </c>
      <c r="H715" s="153" t="s">
        <v>10</v>
      </c>
    </row>
    <row r="716" spans="1:8" x14ac:dyDescent="0.25">
      <c r="A716" s="73">
        <v>44781</v>
      </c>
      <c r="B716" s="74" t="s">
        <v>25384</v>
      </c>
      <c r="C716" s="75" t="s">
        <v>196</v>
      </c>
      <c r="D716" s="176">
        <v>96756.18</v>
      </c>
      <c r="E716" s="151">
        <v>44786</v>
      </c>
      <c r="F716" s="176">
        <v>96756.18</v>
      </c>
      <c r="G716" s="177">
        <f>Tabla19[[#This Row],[Importe]]-Tabla19[[#This Row],[Pagado]]</f>
        <v>0</v>
      </c>
      <c r="H716" s="75" t="s">
        <v>10</v>
      </c>
    </row>
    <row r="717" spans="1:8" x14ac:dyDescent="0.25">
      <c r="A717" s="148">
        <v>44781</v>
      </c>
      <c r="B717" s="149" t="s">
        <v>25385</v>
      </c>
      <c r="C717" s="153" t="s">
        <v>196</v>
      </c>
      <c r="D717" s="178">
        <v>9469.6</v>
      </c>
      <c r="E717" s="155">
        <v>44786</v>
      </c>
      <c r="F717" s="178">
        <v>9469.6</v>
      </c>
      <c r="G717" s="179">
        <f>Tabla19[[#This Row],[Importe]]-Tabla19[[#This Row],[Pagado]]</f>
        <v>0</v>
      </c>
      <c r="H717" s="153" t="s">
        <v>10</v>
      </c>
    </row>
    <row r="718" spans="1:8" x14ac:dyDescent="0.25">
      <c r="A718" s="73">
        <v>44781</v>
      </c>
      <c r="B718" s="74" t="s">
        <v>25386</v>
      </c>
      <c r="C718" s="75" t="s">
        <v>12</v>
      </c>
      <c r="D718" s="176">
        <v>12516</v>
      </c>
      <c r="E718" s="151">
        <v>44781</v>
      </c>
      <c r="F718" s="176">
        <v>12516</v>
      </c>
      <c r="G718" s="177">
        <f>Tabla19[[#This Row],[Importe]]-Tabla19[[#This Row],[Pagado]]</f>
        <v>0</v>
      </c>
      <c r="H718" s="75" t="s">
        <v>10</v>
      </c>
    </row>
    <row r="719" spans="1:8" x14ac:dyDescent="0.25">
      <c r="A719" s="148">
        <v>44781</v>
      </c>
      <c r="B719" s="149" t="s">
        <v>25387</v>
      </c>
      <c r="C719" s="153" t="s">
        <v>1362</v>
      </c>
      <c r="D719" s="178">
        <v>5942.1</v>
      </c>
      <c r="E719" s="155">
        <v>44781</v>
      </c>
      <c r="F719" s="178">
        <v>5942.1</v>
      </c>
      <c r="G719" s="179">
        <f>Tabla19[[#This Row],[Importe]]-Tabla19[[#This Row],[Pagado]]</f>
        <v>0</v>
      </c>
      <c r="H719" s="153" t="s">
        <v>10</v>
      </c>
    </row>
    <row r="720" spans="1:8" x14ac:dyDescent="0.25">
      <c r="A720" s="73">
        <v>44781</v>
      </c>
      <c r="B720" s="74" t="s">
        <v>25388</v>
      </c>
      <c r="C720" s="75" t="s">
        <v>840</v>
      </c>
      <c r="D720" s="176">
        <v>24161.4</v>
      </c>
      <c r="E720" s="151">
        <v>44781</v>
      </c>
      <c r="F720" s="176">
        <v>24161.4</v>
      </c>
      <c r="G720" s="177">
        <f>Tabla19[[#This Row],[Importe]]-Tabla19[[#This Row],[Pagado]]</f>
        <v>0</v>
      </c>
      <c r="H720" s="75" t="s">
        <v>10</v>
      </c>
    </row>
    <row r="721" spans="1:8" x14ac:dyDescent="0.25">
      <c r="A721" s="148">
        <v>44781</v>
      </c>
      <c r="B721" s="149" t="s">
        <v>25389</v>
      </c>
      <c r="C721" s="153" t="s">
        <v>51</v>
      </c>
      <c r="D721" s="178">
        <v>712.8</v>
      </c>
      <c r="E721" s="155">
        <v>44781</v>
      </c>
      <c r="F721" s="178">
        <v>712.8</v>
      </c>
      <c r="G721" s="179">
        <f>Tabla19[[#This Row],[Importe]]-Tabla19[[#This Row],[Pagado]]</f>
        <v>0</v>
      </c>
      <c r="H721" s="153" t="s">
        <v>10</v>
      </c>
    </row>
    <row r="722" spans="1:8" x14ac:dyDescent="0.25">
      <c r="A722" s="73">
        <v>44781</v>
      </c>
      <c r="B722" s="74" t="s">
        <v>25390</v>
      </c>
      <c r="C722" s="75" t="s">
        <v>664</v>
      </c>
      <c r="D722" s="176">
        <v>4837.2</v>
      </c>
      <c r="E722" s="151">
        <v>44781</v>
      </c>
      <c r="F722" s="176">
        <v>4837.2</v>
      </c>
      <c r="G722" s="177">
        <f>Tabla19[[#This Row],[Importe]]-Tabla19[[#This Row],[Pagado]]</f>
        <v>0</v>
      </c>
      <c r="H722" s="75" t="s">
        <v>10</v>
      </c>
    </row>
    <row r="723" spans="1:8" x14ac:dyDescent="0.25">
      <c r="A723" s="148">
        <v>44781</v>
      </c>
      <c r="B723" s="149" t="s">
        <v>25391</v>
      </c>
      <c r="C723" s="153" t="s">
        <v>3747</v>
      </c>
      <c r="D723" s="178">
        <v>54236</v>
      </c>
      <c r="E723" s="155">
        <v>44781</v>
      </c>
      <c r="F723" s="178">
        <v>54236</v>
      </c>
      <c r="G723" s="179">
        <f>Tabla19[[#This Row],[Importe]]-Tabla19[[#This Row],[Pagado]]</f>
        <v>0</v>
      </c>
      <c r="H723" s="153" t="s">
        <v>10</v>
      </c>
    </row>
    <row r="724" spans="1:8" x14ac:dyDescent="0.25">
      <c r="A724" s="73">
        <v>44781</v>
      </c>
      <c r="B724" s="74" t="s">
        <v>25392</v>
      </c>
      <c r="C724" s="75" t="s">
        <v>31</v>
      </c>
      <c r="D724" s="176">
        <v>783</v>
      </c>
      <c r="E724" s="151">
        <v>44781</v>
      </c>
      <c r="F724" s="176">
        <v>783</v>
      </c>
      <c r="G724" s="177">
        <f>Tabla19[[#This Row],[Importe]]-Tabla19[[#This Row],[Pagado]]</f>
        <v>0</v>
      </c>
      <c r="H724" s="75" t="s">
        <v>10</v>
      </c>
    </row>
    <row r="725" spans="1:8" x14ac:dyDescent="0.25">
      <c r="A725" s="148">
        <v>44781</v>
      </c>
      <c r="B725" s="149" t="s">
        <v>25393</v>
      </c>
      <c r="C725" s="153" t="s">
        <v>181</v>
      </c>
      <c r="D725" s="178">
        <v>14312.2</v>
      </c>
      <c r="E725" s="155">
        <v>44782</v>
      </c>
      <c r="F725" s="178">
        <v>14312.2</v>
      </c>
      <c r="G725" s="179">
        <f>Tabla19[[#This Row],[Importe]]-Tabla19[[#This Row],[Pagado]]</f>
        <v>0</v>
      </c>
      <c r="H725" s="153" t="s">
        <v>10</v>
      </c>
    </row>
    <row r="726" spans="1:8" x14ac:dyDescent="0.25">
      <c r="A726" s="73">
        <v>44781</v>
      </c>
      <c r="B726" s="74" t="s">
        <v>25394</v>
      </c>
      <c r="C726" s="75" t="s">
        <v>222</v>
      </c>
      <c r="D726" s="176">
        <v>10073.6</v>
      </c>
      <c r="E726" s="151">
        <v>44781</v>
      </c>
      <c r="F726" s="176">
        <v>10073.6</v>
      </c>
      <c r="G726" s="177">
        <f>Tabla19[[#This Row],[Importe]]-Tabla19[[#This Row],[Pagado]]</f>
        <v>0</v>
      </c>
      <c r="H726" s="75" t="s">
        <v>10</v>
      </c>
    </row>
    <row r="727" spans="1:8" x14ac:dyDescent="0.25">
      <c r="A727" s="148">
        <v>44781</v>
      </c>
      <c r="B727" s="149" t="s">
        <v>25395</v>
      </c>
      <c r="C727" s="153" t="s">
        <v>312</v>
      </c>
      <c r="D727" s="178">
        <v>5206.8</v>
      </c>
      <c r="E727" s="155">
        <v>44782</v>
      </c>
      <c r="F727" s="178">
        <v>5206.8</v>
      </c>
      <c r="G727" s="179">
        <f>Tabla19[[#This Row],[Importe]]-Tabla19[[#This Row],[Pagado]]</f>
        <v>0</v>
      </c>
      <c r="H727" s="153" t="s">
        <v>10</v>
      </c>
    </row>
    <row r="728" spans="1:8" x14ac:dyDescent="0.25">
      <c r="A728" s="73">
        <v>44781</v>
      </c>
      <c r="B728" s="74" t="s">
        <v>25396</v>
      </c>
      <c r="C728" s="75" t="s">
        <v>244</v>
      </c>
      <c r="D728" s="176">
        <v>4026</v>
      </c>
      <c r="E728" s="151">
        <v>44781</v>
      </c>
      <c r="F728" s="176">
        <v>4026</v>
      </c>
      <c r="G728" s="177">
        <f>Tabla19[[#This Row],[Importe]]-Tabla19[[#This Row],[Pagado]]</f>
        <v>0</v>
      </c>
      <c r="H728" s="75" t="s">
        <v>10</v>
      </c>
    </row>
    <row r="729" spans="1:8" x14ac:dyDescent="0.25">
      <c r="A729" s="148">
        <v>44781</v>
      </c>
      <c r="B729" s="149" t="s">
        <v>25397</v>
      </c>
      <c r="C729" s="153" t="s">
        <v>244</v>
      </c>
      <c r="D729" s="178">
        <v>752.4</v>
      </c>
      <c r="E729" s="155">
        <v>44781</v>
      </c>
      <c r="F729" s="178">
        <v>752.4</v>
      </c>
      <c r="G729" s="179">
        <f>Tabla19[[#This Row],[Importe]]-Tabla19[[#This Row],[Pagado]]</f>
        <v>0</v>
      </c>
      <c r="H729" s="153" t="s">
        <v>10</v>
      </c>
    </row>
    <row r="730" spans="1:8" x14ac:dyDescent="0.25">
      <c r="A730" s="73">
        <v>44781</v>
      </c>
      <c r="B730" s="74" t="s">
        <v>25398</v>
      </c>
      <c r="C730" s="75" t="s">
        <v>222</v>
      </c>
      <c r="D730" s="176">
        <v>2085</v>
      </c>
      <c r="E730" s="151">
        <v>44781</v>
      </c>
      <c r="F730" s="176">
        <v>2085</v>
      </c>
      <c r="G730" s="177">
        <f>Tabla19[[#This Row],[Importe]]-Tabla19[[#This Row],[Pagado]]</f>
        <v>0</v>
      </c>
      <c r="H730" s="75" t="s">
        <v>10</v>
      </c>
    </row>
    <row r="731" spans="1:8" x14ac:dyDescent="0.25">
      <c r="A731" s="148">
        <v>44781</v>
      </c>
      <c r="B731" s="149" t="s">
        <v>25399</v>
      </c>
      <c r="C731" s="153" t="s">
        <v>296</v>
      </c>
      <c r="D731" s="178">
        <v>4157.3999999999996</v>
      </c>
      <c r="E731" s="155">
        <v>44781</v>
      </c>
      <c r="F731" s="178">
        <v>4157.3999999999996</v>
      </c>
      <c r="G731" s="179">
        <f>Tabla19[[#This Row],[Importe]]-Tabla19[[#This Row],[Pagado]]</f>
        <v>0</v>
      </c>
      <c r="H731" s="153" t="s">
        <v>10</v>
      </c>
    </row>
    <row r="732" spans="1:8" x14ac:dyDescent="0.25">
      <c r="A732" s="73">
        <v>44781</v>
      </c>
      <c r="B732" s="74" t="s">
        <v>25400</v>
      </c>
      <c r="C732" s="75" t="s">
        <v>240</v>
      </c>
      <c r="D732" s="176">
        <v>14376</v>
      </c>
      <c r="E732" s="151">
        <v>44781</v>
      </c>
      <c r="F732" s="176">
        <v>14376</v>
      </c>
      <c r="G732" s="177">
        <f>Tabla19[[#This Row],[Importe]]-Tabla19[[#This Row],[Pagado]]</f>
        <v>0</v>
      </c>
      <c r="H732" s="75" t="s">
        <v>10</v>
      </c>
    </row>
    <row r="733" spans="1:8" x14ac:dyDescent="0.25">
      <c r="A733" s="148">
        <v>44781</v>
      </c>
      <c r="B733" s="149" t="s">
        <v>25401</v>
      </c>
      <c r="C733" s="153" t="s">
        <v>359</v>
      </c>
      <c r="D733" s="178">
        <v>1176.7</v>
      </c>
      <c r="E733" s="155">
        <v>44782</v>
      </c>
      <c r="F733" s="178">
        <v>1176.7</v>
      </c>
      <c r="G733" s="179">
        <f>Tabla19[[#This Row],[Importe]]-Tabla19[[#This Row],[Pagado]]</f>
        <v>0</v>
      </c>
      <c r="H733" s="153" t="s">
        <v>10</v>
      </c>
    </row>
    <row r="734" spans="1:8" x14ac:dyDescent="0.25">
      <c r="A734" s="73">
        <v>44781</v>
      </c>
      <c r="B734" s="74" t="s">
        <v>25402</v>
      </c>
      <c r="C734" s="75" t="s">
        <v>1481</v>
      </c>
      <c r="D734" s="176">
        <v>797.3</v>
      </c>
      <c r="E734" s="151">
        <v>44782</v>
      </c>
      <c r="F734" s="176">
        <v>797.3</v>
      </c>
      <c r="G734" s="177">
        <f>Tabla19[[#This Row],[Importe]]-Tabla19[[#This Row],[Pagado]]</f>
        <v>0</v>
      </c>
      <c r="H734" s="75" t="s">
        <v>10</v>
      </c>
    </row>
    <row r="735" spans="1:8" x14ac:dyDescent="0.25">
      <c r="A735" s="148">
        <v>44781</v>
      </c>
      <c r="B735" s="149" t="s">
        <v>25403</v>
      </c>
      <c r="C735" s="153" t="s">
        <v>3747</v>
      </c>
      <c r="D735" s="178">
        <v>6162</v>
      </c>
      <c r="E735" s="155">
        <v>44781</v>
      </c>
      <c r="F735" s="178">
        <v>6162</v>
      </c>
      <c r="G735" s="179">
        <f>Tabla19[[#This Row],[Importe]]-Tabla19[[#This Row],[Pagado]]</f>
        <v>0</v>
      </c>
      <c r="H735" s="153" t="s">
        <v>10</v>
      </c>
    </row>
    <row r="736" spans="1:8" x14ac:dyDescent="0.25">
      <c r="A736" s="73">
        <v>44781</v>
      </c>
      <c r="B736" s="74" t="s">
        <v>25404</v>
      </c>
      <c r="C736" s="75" t="s">
        <v>426</v>
      </c>
      <c r="D736" s="176">
        <v>8940.7999999999993</v>
      </c>
      <c r="E736" s="151">
        <v>44782</v>
      </c>
      <c r="F736" s="176">
        <v>8940.7999999999993</v>
      </c>
      <c r="G736" s="177">
        <f>Tabla19[[#This Row],[Importe]]-Tabla19[[#This Row],[Pagado]]</f>
        <v>0</v>
      </c>
      <c r="H736" s="75" t="s">
        <v>10</v>
      </c>
    </row>
    <row r="737" spans="1:8" x14ac:dyDescent="0.25">
      <c r="A737" s="148">
        <v>44781</v>
      </c>
      <c r="B737" s="149" t="s">
        <v>25405</v>
      </c>
      <c r="C737" s="153" t="s">
        <v>698</v>
      </c>
      <c r="D737" s="178">
        <v>7122.5</v>
      </c>
      <c r="E737" s="155">
        <v>44781</v>
      </c>
      <c r="F737" s="178">
        <v>7122.5</v>
      </c>
      <c r="G737" s="179">
        <f>Tabla19[[#This Row],[Importe]]-Tabla19[[#This Row],[Pagado]]</f>
        <v>0</v>
      </c>
      <c r="H737" s="153" t="s">
        <v>10</v>
      </c>
    </row>
    <row r="738" spans="1:8" x14ac:dyDescent="0.25">
      <c r="A738" s="73">
        <v>44781</v>
      </c>
      <c r="B738" s="74" t="s">
        <v>25406</v>
      </c>
      <c r="C738" s="75" t="s">
        <v>10819</v>
      </c>
      <c r="D738" s="176">
        <v>1522.5</v>
      </c>
      <c r="E738" s="151">
        <v>44782</v>
      </c>
      <c r="F738" s="176">
        <v>1522.5</v>
      </c>
      <c r="G738" s="177">
        <f>Tabla19[[#This Row],[Importe]]-Tabla19[[#This Row],[Pagado]]</f>
        <v>0</v>
      </c>
      <c r="H738" s="75" t="s">
        <v>10</v>
      </c>
    </row>
    <row r="739" spans="1:8" x14ac:dyDescent="0.25">
      <c r="A739" s="148">
        <v>44781</v>
      </c>
      <c r="B739" s="149" t="s">
        <v>25407</v>
      </c>
      <c r="C739" s="153" t="s">
        <v>67</v>
      </c>
      <c r="D739" s="178">
        <v>3212.2</v>
      </c>
      <c r="E739" s="155">
        <v>44781</v>
      </c>
      <c r="F739" s="178">
        <v>3212.2</v>
      </c>
      <c r="G739" s="179">
        <f>Tabla19[[#This Row],[Importe]]-Tabla19[[#This Row],[Pagado]]</f>
        <v>0</v>
      </c>
      <c r="H739" s="153" t="s">
        <v>10</v>
      </c>
    </row>
    <row r="740" spans="1:8" x14ac:dyDescent="0.25">
      <c r="A740" s="73">
        <v>44781</v>
      </c>
      <c r="B740" s="74" t="s">
        <v>25408</v>
      </c>
      <c r="C740" s="75" t="s">
        <v>284</v>
      </c>
      <c r="D740" s="176">
        <v>8743.5</v>
      </c>
      <c r="E740" s="151">
        <v>44782</v>
      </c>
      <c r="F740" s="176">
        <v>8743.5</v>
      </c>
      <c r="G740" s="177">
        <f>Tabla19[[#This Row],[Importe]]-Tabla19[[#This Row],[Pagado]]</f>
        <v>0</v>
      </c>
      <c r="H740" s="75" t="s">
        <v>10</v>
      </c>
    </row>
    <row r="741" spans="1:8" x14ac:dyDescent="0.25">
      <c r="A741" s="148">
        <v>44781</v>
      </c>
      <c r="B741" s="149" t="s">
        <v>25409</v>
      </c>
      <c r="C741" s="153" t="s">
        <v>282</v>
      </c>
      <c r="D741" s="178">
        <v>1661.7</v>
      </c>
      <c r="E741" s="155">
        <v>44782</v>
      </c>
      <c r="F741" s="178">
        <v>1661.7</v>
      </c>
      <c r="G741" s="179">
        <f>Tabla19[[#This Row],[Importe]]-Tabla19[[#This Row],[Pagado]]</f>
        <v>0</v>
      </c>
      <c r="H741" s="153" t="s">
        <v>10</v>
      </c>
    </row>
    <row r="742" spans="1:8" x14ac:dyDescent="0.25">
      <c r="A742" s="73">
        <v>44781</v>
      </c>
      <c r="B742" s="74" t="s">
        <v>25410</v>
      </c>
      <c r="C742" s="75" t="s">
        <v>179</v>
      </c>
      <c r="D742" s="176">
        <v>1513.8</v>
      </c>
      <c r="E742" s="151">
        <v>44782</v>
      </c>
      <c r="F742" s="176">
        <v>1513.8</v>
      </c>
      <c r="G742" s="177">
        <f>Tabla19[[#This Row],[Importe]]-Tabla19[[#This Row],[Pagado]]</f>
        <v>0</v>
      </c>
      <c r="H742" s="75" t="s">
        <v>10</v>
      </c>
    </row>
    <row r="743" spans="1:8" x14ac:dyDescent="0.25">
      <c r="A743" s="148">
        <v>44781</v>
      </c>
      <c r="B743" s="149" t="s">
        <v>25411</v>
      </c>
      <c r="C743" s="153" t="s">
        <v>289</v>
      </c>
      <c r="D743" s="178">
        <v>13411</v>
      </c>
      <c r="E743" s="155">
        <v>44781</v>
      </c>
      <c r="F743" s="178">
        <v>13411</v>
      </c>
      <c r="G743" s="179">
        <f>Tabla19[[#This Row],[Importe]]-Tabla19[[#This Row],[Pagado]]</f>
        <v>0</v>
      </c>
      <c r="H743" s="153" t="s">
        <v>10</v>
      </c>
    </row>
    <row r="744" spans="1:8" x14ac:dyDescent="0.25">
      <c r="A744" s="73">
        <v>44781</v>
      </c>
      <c r="B744" s="74" t="s">
        <v>25412</v>
      </c>
      <c r="C744" s="75" t="s">
        <v>233</v>
      </c>
      <c r="D744" s="176">
        <v>6133.5</v>
      </c>
      <c r="E744" s="151">
        <v>44781</v>
      </c>
      <c r="F744" s="176">
        <v>6133.5</v>
      </c>
      <c r="G744" s="177">
        <f>Tabla19[[#This Row],[Importe]]-Tabla19[[#This Row],[Pagado]]</f>
        <v>0</v>
      </c>
      <c r="H744" s="75" t="s">
        <v>10</v>
      </c>
    </row>
    <row r="745" spans="1:8" x14ac:dyDescent="0.25">
      <c r="A745" s="148">
        <v>44781</v>
      </c>
      <c r="B745" s="149" t="s">
        <v>25413</v>
      </c>
      <c r="C745" s="153" t="s">
        <v>175</v>
      </c>
      <c r="D745" s="178">
        <v>33107.599999999999</v>
      </c>
      <c r="E745" s="155">
        <v>44782</v>
      </c>
      <c r="F745" s="178">
        <v>33107.599999999999</v>
      </c>
      <c r="G745" s="179">
        <f>Tabla19[[#This Row],[Importe]]-Tabla19[[#This Row],[Pagado]]</f>
        <v>0</v>
      </c>
      <c r="H745" s="153" t="s">
        <v>10</v>
      </c>
    </row>
    <row r="746" spans="1:8" x14ac:dyDescent="0.25">
      <c r="A746" s="73">
        <v>44781</v>
      </c>
      <c r="B746" s="74" t="s">
        <v>25414</v>
      </c>
      <c r="C746" s="75" t="s">
        <v>24</v>
      </c>
      <c r="D746" s="176">
        <v>2630.2</v>
      </c>
      <c r="E746" s="151">
        <v>44781</v>
      </c>
      <c r="F746" s="176">
        <v>2630.2</v>
      </c>
      <c r="G746" s="177">
        <f>Tabla19[[#This Row],[Importe]]-Tabla19[[#This Row],[Pagado]]</f>
        <v>0</v>
      </c>
      <c r="H746" s="75" t="s">
        <v>10</v>
      </c>
    </row>
    <row r="747" spans="1:8" x14ac:dyDescent="0.25">
      <c r="A747" s="148">
        <v>44781</v>
      </c>
      <c r="B747" s="149" t="s">
        <v>25415</v>
      </c>
      <c r="C747" s="153" t="s">
        <v>419</v>
      </c>
      <c r="D747" s="178">
        <v>7706.4</v>
      </c>
      <c r="E747" s="155">
        <v>44781</v>
      </c>
      <c r="F747" s="178">
        <v>7706.4</v>
      </c>
      <c r="G747" s="179">
        <f>Tabla19[[#This Row],[Importe]]-Tabla19[[#This Row],[Pagado]]</f>
        <v>0</v>
      </c>
      <c r="H747" s="153" t="s">
        <v>10</v>
      </c>
    </row>
    <row r="748" spans="1:8" x14ac:dyDescent="0.25">
      <c r="A748" s="73">
        <v>44781</v>
      </c>
      <c r="B748" s="74" t="s">
        <v>25416</v>
      </c>
      <c r="C748" s="75" t="s">
        <v>10819</v>
      </c>
      <c r="D748" s="176">
        <v>56</v>
      </c>
      <c r="E748" s="151">
        <v>44782</v>
      </c>
      <c r="F748" s="176">
        <v>56</v>
      </c>
      <c r="G748" s="177">
        <f>Tabla19[[#This Row],[Importe]]-Tabla19[[#This Row],[Pagado]]</f>
        <v>0</v>
      </c>
      <c r="H748" s="75" t="s">
        <v>10</v>
      </c>
    </row>
    <row r="749" spans="1:8" x14ac:dyDescent="0.25">
      <c r="A749" s="148">
        <v>44781</v>
      </c>
      <c r="B749" s="149" t="s">
        <v>25417</v>
      </c>
      <c r="C749" s="153" t="s">
        <v>9827</v>
      </c>
      <c r="D749" s="178">
        <v>3506.1</v>
      </c>
      <c r="E749" s="155">
        <v>44781</v>
      </c>
      <c r="F749" s="178">
        <v>3506.1</v>
      </c>
      <c r="G749" s="179">
        <f>Tabla19[[#This Row],[Importe]]-Tabla19[[#This Row],[Pagado]]</f>
        <v>0</v>
      </c>
      <c r="H749" s="153" t="s">
        <v>10</v>
      </c>
    </row>
    <row r="750" spans="1:8" x14ac:dyDescent="0.25">
      <c r="A750" s="73">
        <v>44781</v>
      </c>
      <c r="B750" s="74" t="s">
        <v>25418</v>
      </c>
      <c r="C750" s="75" t="s">
        <v>5345</v>
      </c>
      <c r="D750" s="176">
        <v>3697.5</v>
      </c>
      <c r="E750" s="151">
        <v>44782</v>
      </c>
      <c r="F750" s="176">
        <v>3697.5</v>
      </c>
      <c r="G750" s="177">
        <f>Tabla19[[#This Row],[Importe]]-Tabla19[[#This Row],[Pagado]]</f>
        <v>0</v>
      </c>
      <c r="H750" s="75" t="s">
        <v>10</v>
      </c>
    </row>
    <row r="751" spans="1:8" x14ac:dyDescent="0.25">
      <c r="A751" s="148">
        <v>44781</v>
      </c>
      <c r="B751" s="149" t="s">
        <v>25419</v>
      </c>
      <c r="C751" s="153" t="s">
        <v>87</v>
      </c>
      <c r="D751" s="178">
        <v>3699.3</v>
      </c>
      <c r="E751" s="155">
        <v>44782</v>
      </c>
      <c r="F751" s="178">
        <v>3699.3</v>
      </c>
      <c r="G751" s="179">
        <f>Tabla19[[#This Row],[Importe]]-Tabla19[[#This Row],[Pagado]]</f>
        <v>0</v>
      </c>
      <c r="H751" s="153" t="s">
        <v>10</v>
      </c>
    </row>
    <row r="752" spans="1:8" x14ac:dyDescent="0.25">
      <c r="A752" s="73">
        <v>44781</v>
      </c>
      <c r="B752" s="74" t="s">
        <v>25420</v>
      </c>
      <c r="C752" s="75" t="s">
        <v>314</v>
      </c>
      <c r="D752" s="176">
        <v>2897.1</v>
      </c>
      <c r="E752" s="151">
        <v>44782</v>
      </c>
      <c r="F752" s="176">
        <v>2897.1</v>
      </c>
      <c r="G752" s="177">
        <f>Tabla19[[#This Row],[Importe]]-Tabla19[[#This Row],[Pagado]]</f>
        <v>0</v>
      </c>
      <c r="H752" s="75" t="s">
        <v>10</v>
      </c>
    </row>
    <row r="753" spans="1:8" x14ac:dyDescent="0.25">
      <c r="A753" s="148">
        <v>44781</v>
      </c>
      <c r="B753" s="149" t="s">
        <v>25421</v>
      </c>
      <c r="C753" s="153" t="s">
        <v>333</v>
      </c>
      <c r="D753" s="178">
        <v>677.6</v>
      </c>
      <c r="E753" s="155">
        <v>44782</v>
      </c>
      <c r="F753" s="178">
        <v>677.6</v>
      </c>
      <c r="G753" s="179">
        <f>Tabla19[[#This Row],[Importe]]-Tabla19[[#This Row],[Pagado]]</f>
        <v>0</v>
      </c>
      <c r="H753" s="153" t="s">
        <v>10</v>
      </c>
    </row>
    <row r="754" spans="1:8" x14ac:dyDescent="0.25">
      <c r="A754" s="73">
        <v>44781</v>
      </c>
      <c r="B754" s="74" t="s">
        <v>25422</v>
      </c>
      <c r="C754" s="75" t="s">
        <v>275</v>
      </c>
      <c r="D754" s="176">
        <v>62287.6</v>
      </c>
      <c r="E754" s="151">
        <v>44799</v>
      </c>
      <c r="F754" s="176">
        <v>62287.6</v>
      </c>
      <c r="G754" s="177">
        <f>Tabla19[[#This Row],[Importe]]-Tabla19[[#This Row],[Pagado]]</f>
        <v>0</v>
      </c>
      <c r="H754" s="75" t="s">
        <v>10</v>
      </c>
    </row>
    <row r="755" spans="1:8" x14ac:dyDescent="0.25">
      <c r="A755" s="148">
        <v>44781</v>
      </c>
      <c r="B755" s="149" t="s">
        <v>25423</v>
      </c>
      <c r="C755" s="153" t="s">
        <v>214</v>
      </c>
      <c r="D755" s="178">
        <v>1479</v>
      </c>
      <c r="E755" s="155">
        <v>44781</v>
      </c>
      <c r="F755" s="178">
        <v>1479</v>
      </c>
      <c r="G755" s="179">
        <f>Tabla19[[#This Row],[Importe]]-Tabla19[[#This Row],[Pagado]]</f>
        <v>0</v>
      </c>
      <c r="H755" s="153" t="s">
        <v>10</v>
      </c>
    </row>
    <row r="756" spans="1:8" x14ac:dyDescent="0.25">
      <c r="A756" s="73">
        <v>44781</v>
      </c>
      <c r="B756" s="74" t="s">
        <v>25424</v>
      </c>
      <c r="C756" s="75" t="s">
        <v>275</v>
      </c>
      <c r="D756" s="176">
        <v>26478.400000000001</v>
      </c>
      <c r="E756" s="151">
        <v>44799</v>
      </c>
      <c r="F756" s="176">
        <v>26478.400000000001</v>
      </c>
      <c r="G756" s="177">
        <f>Tabla19[[#This Row],[Importe]]-Tabla19[[#This Row],[Pagado]]</f>
        <v>0</v>
      </c>
      <c r="H756" s="75" t="s">
        <v>10</v>
      </c>
    </row>
    <row r="757" spans="1:8" x14ac:dyDescent="0.25">
      <c r="A757" s="148">
        <v>44781</v>
      </c>
      <c r="B757" s="149" t="s">
        <v>25425</v>
      </c>
      <c r="C757" s="153" t="s">
        <v>1302</v>
      </c>
      <c r="D757" s="178">
        <v>11342.4</v>
      </c>
      <c r="E757" s="155">
        <v>44782</v>
      </c>
      <c r="F757" s="178">
        <v>11342.4</v>
      </c>
      <c r="G757" s="179">
        <f>Tabla19[[#This Row],[Importe]]-Tabla19[[#This Row],[Pagado]]</f>
        <v>0</v>
      </c>
      <c r="H757" s="153" t="s">
        <v>10</v>
      </c>
    </row>
    <row r="758" spans="1:8" x14ac:dyDescent="0.25">
      <c r="A758" s="73">
        <v>44781</v>
      </c>
      <c r="B758" s="74" t="s">
        <v>25426</v>
      </c>
      <c r="C758" s="75" t="s">
        <v>275</v>
      </c>
      <c r="D758" s="176">
        <v>214833</v>
      </c>
      <c r="E758" s="151">
        <v>44799</v>
      </c>
      <c r="F758" s="176">
        <v>214833</v>
      </c>
      <c r="G758" s="177">
        <f>Tabla19[[#This Row],[Importe]]-Tabla19[[#This Row],[Pagado]]</f>
        <v>0</v>
      </c>
      <c r="H758" s="75" t="s">
        <v>10</v>
      </c>
    </row>
    <row r="759" spans="1:8" ht="31.5" x14ac:dyDescent="0.25">
      <c r="A759" s="148">
        <v>44781</v>
      </c>
      <c r="B759" s="149" t="s">
        <v>25427</v>
      </c>
      <c r="C759" s="153" t="s">
        <v>275</v>
      </c>
      <c r="D759" s="178">
        <v>182056.29</v>
      </c>
      <c r="E759" s="150" t="s">
        <v>27998</v>
      </c>
      <c r="F759" s="178">
        <f>53667.12+128389.17</f>
        <v>182056.29</v>
      </c>
      <c r="G759" s="179">
        <f>Tabla19[[#This Row],[Importe]]-Tabla19[[#This Row],[Pagado]]</f>
        <v>0</v>
      </c>
      <c r="H759" s="153" t="s">
        <v>10</v>
      </c>
    </row>
    <row r="760" spans="1:8" x14ac:dyDescent="0.25">
      <c r="A760" s="73">
        <v>44781</v>
      </c>
      <c r="B760" s="74" t="s">
        <v>25428</v>
      </c>
      <c r="C760" s="75" t="s">
        <v>214</v>
      </c>
      <c r="D760" s="176">
        <v>7250</v>
      </c>
      <c r="E760" s="151">
        <v>44782</v>
      </c>
      <c r="F760" s="176">
        <v>7250</v>
      </c>
      <c r="G760" s="177">
        <f>Tabla19[[#This Row],[Importe]]-Tabla19[[#This Row],[Pagado]]</f>
        <v>0</v>
      </c>
      <c r="H760" s="75" t="s">
        <v>10</v>
      </c>
    </row>
    <row r="761" spans="1:8" x14ac:dyDescent="0.25">
      <c r="A761" s="148">
        <v>44781</v>
      </c>
      <c r="B761" s="149" t="s">
        <v>25429</v>
      </c>
      <c r="C761" s="153" t="s">
        <v>421</v>
      </c>
      <c r="D761" s="178">
        <v>14245.6</v>
      </c>
      <c r="E761" s="155">
        <v>44796</v>
      </c>
      <c r="F761" s="178">
        <v>14245.6</v>
      </c>
      <c r="G761" s="179">
        <f>Tabla19[[#This Row],[Importe]]-Tabla19[[#This Row],[Pagado]]</f>
        <v>0</v>
      </c>
      <c r="H761" s="153" t="s">
        <v>10</v>
      </c>
    </row>
    <row r="762" spans="1:8" x14ac:dyDescent="0.25">
      <c r="A762" s="73">
        <v>44781</v>
      </c>
      <c r="B762" s="74" t="s">
        <v>25430</v>
      </c>
      <c r="C762" s="75" t="s">
        <v>25431</v>
      </c>
      <c r="D762" s="176">
        <v>0</v>
      </c>
      <c r="E762" s="157" t="s">
        <v>189</v>
      </c>
      <c r="F762" s="176">
        <v>0</v>
      </c>
      <c r="G762" s="177">
        <f>Tabla19[[#This Row],[Importe]]-Tabla19[[#This Row],[Pagado]]</f>
        <v>0</v>
      </c>
      <c r="H762" s="161" t="s">
        <v>25432</v>
      </c>
    </row>
    <row r="763" spans="1:8" x14ac:dyDescent="0.25">
      <c r="A763" s="148">
        <v>44781</v>
      </c>
      <c r="B763" s="149" t="s">
        <v>25433</v>
      </c>
      <c r="C763" s="153" t="s">
        <v>1378</v>
      </c>
      <c r="D763" s="178">
        <v>59220</v>
      </c>
      <c r="E763" s="155">
        <v>44782</v>
      </c>
      <c r="F763" s="178">
        <v>59220</v>
      </c>
      <c r="G763" s="179">
        <f>Tabla19[[#This Row],[Importe]]-Tabla19[[#This Row],[Pagado]]</f>
        <v>0</v>
      </c>
      <c r="H763" s="153" t="s">
        <v>10</v>
      </c>
    </row>
    <row r="764" spans="1:8" x14ac:dyDescent="0.25">
      <c r="A764" s="73">
        <v>44781</v>
      </c>
      <c r="B764" s="74" t="s">
        <v>25434</v>
      </c>
      <c r="C764" s="75" t="s">
        <v>31</v>
      </c>
      <c r="D764" s="176">
        <v>8958.6</v>
      </c>
      <c r="E764" s="151">
        <v>44781</v>
      </c>
      <c r="F764" s="176">
        <v>8958.6</v>
      </c>
      <c r="G764" s="177">
        <f>Tabla19[[#This Row],[Importe]]-Tabla19[[#This Row],[Pagado]]</f>
        <v>0</v>
      </c>
      <c r="H764" s="75" t="s">
        <v>10</v>
      </c>
    </row>
    <row r="765" spans="1:8" x14ac:dyDescent="0.25">
      <c r="A765" s="148">
        <v>44781</v>
      </c>
      <c r="B765" s="149" t="s">
        <v>25435</v>
      </c>
      <c r="C765" s="153" t="s">
        <v>414</v>
      </c>
      <c r="D765" s="178">
        <v>26430.6</v>
      </c>
      <c r="E765" s="155">
        <v>44786</v>
      </c>
      <c r="F765" s="178">
        <v>26430.6</v>
      </c>
      <c r="G765" s="179">
        <f>Tabla19[[#This Row],[Importe]]-Tabla19[[#This Row],[Pagado]]</f>
        <v>0</v>
      </c>
      <c r="H765" s="153" t="s">
        <v>10</v>
      </c>
    </row>
    <row r="766" spans="1:8" x14ac:dyDescent="0.25">
      <c r="A766" s="73">
        <v>44781</v>
      </c>
      <c r="B766" s="74" t="s">
        <v>25436</v>
      </c>
      <c r="C766" s="75" t="s">
        <v>407</v>
      </c>
      <c r="D766" s="176">
        <v>17846</v>
      </c>
      <c r="E766" s="151">
        <v>44789</v>
      </c>
      <c r="F766" s="176">
        <v>17846</v>
      </c>
      <c r="G766" s="177">
        <f>Tabla19[[#This Row],[Importe]]-Tabla19[[#This Row],[Pagado]]</f>
        <v>0</v>
      </c>
      <c r="H766" s="75" t="s">
        <v>10</v>
      </c>
    </row>
    <row r="767" spans="1:8" x14ac:dyDescent="0.25">
      <c r="A767" s="148">
        <v>44781</v>
      </c>
      <c r="B767" s="149" t="s">
        <v>25437</v>
      </c>
      <c r="C767" s="153" t="s">
        <v>2139</v>
      </c>
      <c r="D767" s="178">
        <v>1700</v>
      </c>
      <c r="E767" s="155">
        <v>44781</v>
      </c>
      <c r="F767" s="178">
        <v>1700</v>
      </c>
      <c r="G767" s="179">
        <f>Tabla19[[#This Row],[Importe]]-Tabla19[[#This Row],[Pagado]]</f>
        <v>0</v>
      </c>
      <c r="H767" s="153" t="s">
        <v>10</v>
      </c>
    </row>
    <row r="768" spans="1:8" x14ac:dyDescent="0.25">
      <c r="A768" s="73">
        <v>44781</v>
      </c>
      <c r="B768" s="74" t="s">
        <v>25438</v>
      </c>
      <c r="C768" s="75" t="s">
        <v>25439</v>
      </c>
      <c r="D768" s="176">
        <v>33947.199999999997</v>
      </c>
      <c r="E768" s="151">
        <v>44781</v>
      </c>
      <c r="F768" s="176">
        <v>33947.199999999997</v>
      </c>
      <c r="G768" s="177">
        <f>Tabla19[[#This Row],[Importe]]-Tabla19[[#This Row],[Pagado]]</f>
        <v>0</v>
      </c>
      <c r="H768" s="75" t="s">
        <v>10</v>
      </c>
    </row>
    <row r="769" spans="1:8" x14ac:dyDescent="0.25">
      <c r="A769" s="148">
        <v>44781</v>
      </c>
      <c r="B769" s="149" t="s">
        <v>25440</v>
      </c>
      <c r="C769" s="153" t="s">
        <v>1008</v>
      </c>
      <c r="D769" s="178">
        <v>585</v>
      </c>
      <c r="E769" s="155">
        <v>44781</v>
      </c>
      <c r="F769" s="178">
        <v>585</v>
      </c>
      <c r="G769" s="179">
        <f>Tabla19[[#This Row],[Importe]]-Tabla19[[#This Row],[Pagado]]</f>
        <v>0</v>
      </c>
      <c r="H769" s="153" t="s">
        <v>10</v>
      </c>
    </row>
    <row r="770" spans="1:8" x14ac:dyDescent="0.25">
      <c r="A770" s="73">
        <v>44781</v>
      </c>
      <c r="B770" s="74" t="s">
        <v>25441</v>
      </c>
      <c r="C770" s="75" t="s">
        <v>29</v>
      </c>
      <c r="D770" s="176">
        <v>3801.9</v>
      </c>
      <c r="E770" s="151">
        <v>44781</v>
      </c>
      <c r="F770" s="176">
        <v>3801.9</v>
      </c>
      <c r="G770" s="177">
        <f>Tabla19[[#This Row],[Importe]]-Tabla19[[#This Row],[Pagado]]</f>
        <v>0</v>
      </c>
      <c r="H770" s="75" t="s">
        <v>10</v>
      </c>
    </row>
    <row r="771" spans="1:8" x14ac:dyDescent="0.25">
      <c r="A771" s="148">
        <v>44781</v>
      </c>
      <c r="B771" s="149" t="s">
        <v>25442</v>
      </c>
      <c r="C771" s="153" t="s">
        <v>249</v>
      </c>
      <c r="D771" s="178">
        <v>2103.1999999999998</v>
      </c>
      <c r="E771" s="155">
        <v>44781</v>
      </c>
      <c r="F771" s="178">
        <v>2103.1999999999998</v>
      </c>
      <c r="G771" s="179">
        <f>Tabla19[[#This Row],[Importe]]-Tabla19[[#This Row],[Pagado]]</f>
        <v>0</v>
      </c>
      <c r="H771" s="153" t="s">
        <v>10</v>
      </c>
    </row>
    <row r="772" spans="1:8" x14ac:dyDescent="0.25">
      <c r="A772" s="73">
        <v>44781</v>
      </c>
      <c r="B772" s="74" t="s">
        <v>25443</v>
      </c>
      <c r="C772" s="75" t="s">
        <v>296</v>
      </c>
      <c r="D772" s="176">
        <v>5089.2</v>
      </c>
      <c r="E772" s="151">
        <v>44781</v>
      </c>
      <c r="F772" s="176">
        <v>5089.2</v>
      </c>
      <c r="G772" s="177">
        <f>Tabla19[[#This Row],[Importe]]-Tabla19[[#This Row],[Pagado]]</f>
        <v>0</v>
      </c>
      <c r="H772" s="75" t="s">
        <v>10</v>
      </c>
    </row>
    <row r="773" spans="1:8" x14ac:dyDescent="0.25">
      <c r="A773" s="148">
        <v>44781</v>
      </c>
      <c r="B773" s="149" t="s">
        <v>25444</v>
      </c>
      <c r="C773" s="153" t="s">
        <v>89</v>
      </c>
      <c r="D773" s="178">
        <v>800.4</v>
      </c>
      <c r="E773" s="155">
        <v>44781</v>
      </c>
      <c r="F773" s="178">
        <v>800.4</v>
      </c>
      <c r="G773" s="179">
        <f>Tabla19[[#This Row],[Importe]]-Tabla19[[#This Row],[Pagado]]</f>
        <v>0</v>
      </c>
      <c r="H773" s="153" t="s">
        <v>10</v>
      </c>
    </row>
    <row r="774" spans="1:8" x14ac:dyDescent="0.25">
      <c r="A774" s="73">
        <v>44781</v>
      </c>
      <c r="B774" s="74" t="s">
        <v>25445</v>
      </c>
      <c r="C774" s="75" t="s">
        <v>5694</v>
      </c>
      <c r="D774" s="176">
        <v>5250</v>
      </c>
      <c r="E774" s="151">
        <v>44781</v>
      </c>
      <c r="F774" s="176">
        <v>5250</v>
      </c>
      <c r="G774" s="177">
        <f>Tabla19[[#This Row],[Importe]]-Tabla19[[#This Row],[Pagado]]</f>
        <v>0</v>
      </c>
      <c r="H774" s="75" t="s">
        <v>10</v>
      </c>
    </row>
    <row r="775" spans="1:8" x14ac:dyDescent="0.25">
      <c r="A775" s="148">
        <v>44781</v>
      </c>
      <c r="B775" s="149" t="s">
        <v>25446</v>
      </c>
      <c r="C775" s="153" t="s">
        <v>461</v>
      </c>
      <c r="D775" s="178">
        <v>123.5</v>
      </c>
      <c r="E775" s="155">
        <v>44781</v>
      </c>
      <c r="F775" s="178">
        <v>123.5</v>
      </c>
      <c r="G775" s="179">
        <f>Tabla19[[#This Row],[Importe]]-Tabla19[[#This Row],[Pagado]]</f>
        <v>0</v>
      </c>
      <c r="H775" s="153" t="s">
        <v>10</v>
      </c>
    </row>
    <row r="776" spans="1:8" x14ac:dyDescent="0.25">
      <c r="A776" s="73">
        <v>44781</v>
      </c>
      <c r="B776" s="74" t="s">
        <v>25447</v>
      </c>
      <c r="C776" s="75" t="s">
        <v>365</v>
      </c>
      <c r="D776" s="176">
        <v>975</v>
      </c>
      <c r="E776" s="151">
        <v>44781</v>
      </c>
      <c r="F776" s="176">
        <v>975</v>
      </c>
      <c r="G776" s="177">
        <f>Tabla19[[#This Row],[Importe]]-Tabla19[[#This Row],[Pagado]]</f>
        <v>0</v>
      </c>
      <c r="H776" s="75" t="s">
        <v>10</v>
      </c>
    </row>
    <row r="777" spans="1:8" x14ac:dyDescent="0.25">
      <c r="A777" s="148">
        <v>44781</v>
      </c>
      <c r="B777" s="149" t="s">
        <v>25448</v>
      </c>
      <c r="C777" s="153" t="s">
        <v>10678</v>
      </c>
      <c r="D777" s="178">
        <v>5030.3999999999996</v>
      </c>
      <c r="E777" s="155">
        <v>44781</v>
      </c>
      <c r="F777" s="178">
        <v>5030.3999999999996</v>
      </c>
      <c r="G777" s="179">
        <f>Tabla19[[#This Row],[Importe]]-Tabla19[[#This Row],[Pagado]]</f>
        <v>0</v>
      </c>
      <c r="H777" s="153" t="s">
        <v>10</v>
      </c>
    </row>
    <row r="778" spans="1:8" x14ac:dyDescent="0.25">
      <c r="A778" s="73">
        <v>44781</v>
      </c>
      <c r="B778" s="74" t="s">
        <v>25449</v>
      </c>
      <c r="C778" s="75" t="s">
        <v>173</v>
      </c>
      <c r="D778" s="176">
        <v>8593.6</v>
      </c>
      <c r="E778" s="151">
        <v>44784</v>
      </c>
      <c r="F778" s="176">
        <v>8593.6</v>
      </c>
      <c r="G778" s="177">
        <f>Tabla19[[#This Row],[Importe]]-Tabla19[[#This Row],[Pagado]]</f>
        <v>0</v>
      </c>
      <c r="H778" s="75" t="s">
        <v>10</v>
      </c>
    </row>
    <row r="779" spans="1:8" x14ac:dyDescent="0.25">
      <c r="A779" s="148">
        <v>44781</v>
      </c>
      <c r="B779" s="149" t="s">
        <v>25450</v>
      </c>
      <c r="C779" s="153" t="s">
        <v>12</v>
      </c>
      <c r="D779" s="178">
        <v>2168</v>
      </c>
      <c r="E779" s="155">
        <v>44781</v>
      </c>
      <c r="F779" s="178">
        <v>2168</v>
      </c>
      <c r="G779" s="179">
        <f>Tabla19[[#This Row],[Importe]]-Tabla19[[#This Row],[Pagado]]</f>
        <v>0</v>
      </c>
      <c r="H779" s="153" t="s">
        <v>10</v>
      </c>
    </row>
    <row r="780" spans="1:8" x14ac:dyDescent="0.25">
      <c r="A780" s="73">
        <v>44781</v>
      </c>
      <c r="B780" s="74" t="s">
        <v>25451</v>
      </c>
      <c r="C780" s="75" t="s">
        <v>69</v>
      </c>
      <c r="D780" s="176">
        <v>2640</v>
      </c>
      <c r="E780" s="151">
        <v>44782</v>
      </c>
      <c r="F780" s="176">
        <v>2640</v>
      </c>
      <c r="G780" s="177">
        <f>Tabla19[[#This Row],[Importe]]-Tabla19[[#This Row],[Pagado]]</f>
        <v>0</v>
      </c>
      <c r="H780" s="75" t="s">
        <v>10</v>
      </c>
    </row>
    <row r="781" spans="1:8" x14ac:dyDescent="0.25">
      <c r="A781" s="148">
        <v>44781</v>
      </c>
      <c r="B781" s="149" t="s">
        <v>25452</v>
      </c>
      <c r="C781" s="153" t="s">
        <v>475</v>
      </c>
      <c r="D781" s="178">
        <v>11094.6</v>
      </c>
      <c r="E781" s="155">
        <v>44783</v>
      </c>
      <c r="F781" s="178">
        <v>11094.6</v>
      </c>
      <c r="G781" s="179">
        <f>Tabla19[[#This Row],[Importe]]-Tabla19[[#This Row],[Pagado]]</f>
        <v>0</v>
      </c>
      <c r="H781" s="153" t="s">
        <v>10</v>
      </c>
    </row>
    <row r="782" spans="1:8" ht="31.5" x14ac:dyDescent="0.25">
      <c r="A782" s="73">
        <v>44781</v>
      </c>
      <c r="B782" s="74" t="s">
        <v>25453</v>
      </c>
      <c r="C782" s="75" t="s">
        <v>10840</v>
      </c>
      <c r="D782" s="176">
        <v>38847.4</v>
      </c>
      <c r="E782" s="147" t="s">
        <v>25454</v>
      </c>
      <c r="F782" s="176">
        <f>35000+3847.4</f>
        <v>38847.4</v>
      </c>
      <c r="G782" s="177">
        <f>Tabla19[[#This Row],[Importe]]-Tabla19[[#This Row],[Pagado]]</f>
        <v>0</v>
      </c>
      <c r="H782" s="75" t="s">
        <v>10</v>
      </c>
    </row>
    <row r="783" spans="1:8" x14ac:dyDescent="0.25">
      <c r="A783" s="148">
        <v>44781</v>
      </c>
      <c r="B783" s="149" t="s">
        <v>25455</v>
      </c>
      <c r="C783" s="153" t="s">
        <v>31</v>
      </c>
      <c r="D783" s="178">
        <v>2048.4</v>
      </c>
      <c r="E783" s="155">
        <v>44782</v>
      </c>
      <c r="F783" s="178">
        <v>2048.4</v>
      </c>
      <c r="G783" s="179">
        <f>Tabla19[[#This Row],[Importe]]-Tabla19[[#This Row],[Pagado]]</f>
        <v>0</v>
      </c>
      <c r="H783" s="153" t="s">
        <v>10</v>
      </c>
    </row>
    <row r="784" spans="1:8" x14ac:dyDescent="0.25">
      <c r="A784" s="73">
        <v>44782</v>
      </c>
      <c r="B784" s="74" t="s">
        <v>25456</v>
      </c>
      <c r="C784" s="75" t="s">
        <v>887</v>
      </c>
      <c r="D784" s="176">
        <v>17958.599999999999</v>
      </c>
      <c r="E784" s="151">
        <v>44782</v>
      </c>
      <c r="F784" s="176">
        <v>17958.599999999999</v>
      </c>
      <c r="G784" s="177">
        <f>Tabla19[[#This Row],[Importe]]-Tabla19[[#This Row],[Pagado]]</f>
        <v>0</v>
      </c>
      <c r="H784" s="75" t="s">
        <v>10</v>
      </c>
    </row>
    <row r="785" spans="1:8" x14ac:dyDescent="0.25">
      <c r="A785" s="148">
        <v>44782</v>
      </c>
      <c r="B785" s="149" t="s">
        <v>25457</v>
      </c>
      <c r="C785" s="153" t="s">
        <v>473</v>
      </c>
      <c r="D785" s="178">
        <v>5414.5</v>
      </c>
      <c r="E785" s="155">
        <v>44782</v>
      </c>
      <c r="F785" s="178">
        <v>5414.5</v>
      </c>
      <c r="G785" s="179">
        <f>Tabla19[[#This Row],[Importe]]-Tabla19[[#This Row],[Pagado]]</f>
        <v>0</v>
      </c>
      <c r="H785" s="153" t="s">
        <v>10</v>
      </c>
    </row>
    <row r="786" spans="1:8" x14ac:dyDescent="0.25">
      <c r="A786" s="73">
        <v>44782</v>
      </c>
      <c r="B786" s="74" t="s">
        <v>25458</v>
      </c>
      <c r="C786" s="75" t="s">
        <v>31</v>
      </c>
      <c r="D786" s="176">
        <v>7673.4</v>
      </c>
      <c r="E786" s="151">
        <v>44782</v>
      </c>
      <c r="F786" s="176">
        <v>7673.4</v>
      </c>
      <c r="G786" s="177">
        <f>Tabla19[[#This Row],[Importe]]-Tabla19[[#This Row],[Pagado]]</f>
        <v>0</v>
      </c>
      <c r="H786" s="75" t="s">
        <v>10</v>
      </c>
    </row>
    <row r="787" spans="1:8" x14ac:dyDescent="0.25">
      <c r="A787" s="148">
        <v>44782</v>
      </c>
      <c r="B787" s="149" t="s">
        <v>25459</v>
      </c>
      <c r="C787" s="153" t="s">
        <v>12</v>
      </c>
      <c r="D787" s="178">
        <v>5346.7</v>
      </c>
      <c r="E787" s="155">
        <v>44782</v>
      </c>
      <c r="F787" s="178">
        <v>5346.7</v>
      </c>
      <c r="G787" s="179">
        <f>Tabla19[[#This Row],[Importe]]-Tabla19[[#This Row],[Pagado]]</f>
        <v>0</v>
      </c>
      <c r="H787" s="153" t="s">
        <v>10</v>
      </c>
    </row>
    <row r="788" spans="1:8" ht="47.25" x14ac:dyDescent="0.25">
      <c r="A788" s="73">
        <v>44782</v>
      </c>
      <c r="B788" s="74" t="s">
        <v>25460</v>
      </c>
      <c r="C788" s="75" t="s">
        <v>99</v>
      </c>
      <c r="D788" s="176">
        <v>9802.5</v>
      </c>
      <c r="E788" s="147" t="s">
        <v>25461</v>
      </c>
      <c r="F788" s="176">
        <f>2000+4000+3802.5</f>
        <v>9802.5</v>
      </c>
      <c r="G788" s="177">
        <f>Tabla19[[#This Row],[Importe]]-Tabla19[[#This Row],[Pagado]]</f>
        <v>0</v>
      </c>
      <c r="H788" s="75" t="s">
        <v>10</v>
      </c>
    </row>
    <row r="789" spans="1:8" x14ac:dyDescent="0.25">
      <c r="A789" s="148">
        <v>44782</v>
      </c>
      <c r="B789" s="149" t="s">
        <v>25462</v>
      </c>
      <c r="C789" s="153" t="s">
        <v>31</v>
      </c>
      <c r="D789" s="178">
        <v>5534.2</v>
      </c>
      <c r="E789" s="155">
        <v>44782</v>
      </c>
      <c r="F789" s="178">
        <v>5534.2</v>
      </c>
      <c r="G789" s="179">
        <f>Tabla19[[#This Row],[Importe]]-Tabla19[[#This Row],[Pagado]]</f>
        <v>0</v>
      </c>
      <c r="H789" s="153" t="s">
        <v>10</v>
      </c>
    </row>
    <row r="790" spans="1:8" x14ac:dyDescent="0.25">
      <c r="A790" s="73">
        <v>44782</v>
      </c>
      <c r="B790" s="74" t="s">
        <v>25463</v>
      </c>
      <c r="C790" s="75" t="s">
        <v>93</v>
      </c>
      <c r="D790" s="176">
        <v>5233.5</v>
      </c>
      <c r="E790" s="151">
        <v>44784</v>
      </c>
      <c r="F790" s="176">
        <v>5233.5</v>
      </c>
      <c r="G790" s="177">
        <f>Tabla19[[#This Row],[Importe]]-Tabla19[[#This Row],[Pagado]]</f>
        <v>0</v>
      </c>
      <c r="H790" s="75" t="s">
        <v>10</v>
      </c>
    </row>
    <row r="791" spans="1:8" ht="31.5" x14ac:dyDescent="0.25">
      <c r="A791" s="148">
        <v>44782</v>
      </c>
      <c r="B791" s="149" t="s">
        <v>25464</v>
      </c>
      <c r="C791" s="153" t="s">
        <v>345</v>
      </c>
      <c r="D791" s="178">
        <v>5594.2</v>
      </c>
      <c r="E791" s="150" t="s">
        <v>25368</v>
      </c>
      <c r="F791" s="178">
        <f>3000+2594.2</f>
        <v>5594.2</v>
      </c>
      <c r="G791" s="179">
        <f>Tabla19[[#This Row],[Importe]]-Tabla19[[#This Row],[Pagado]]</f>
        <v>0</v>
      </c>
      <c r="H791" s="153" t="s">
        <v>10</v>
      </c>
    </row>
    <row r="792" spans="1:8" x14ac:dyDescent="0.25">
      <c r="A792" s="73">
        <v>44782</v>
      </c>
      <c r="B792" s="74" t="s">
        <v>25465</v>
      </c>
      <c r="C792" s="75" t="s">
        <v>9993</v>
      </c>
      <c r="D792" s="176">
        <v>50022</v>
      </c>
      <c r="E792" s="151">
        <v>44782</v>
      </c>
      <c r="F792" s="176">
        <v>50022</v>
      </c>
      <c r="G792" s="177">
        <f>Tabla19[[#This Row],[Importe]]-Tabla19[[#This Row],[Pagado]]</f>
        <v>0</v>
      </c>
      <c r="H792" s="75" t="s">
        <v>10</v>
      </c>
    </row>
    <row r="793" spans="1:8" x14ac:dyDescent="0.25">
      <c r="A793" s="148">
        <v>44782</v>
      </c>
      <c r="B793" s="149" t="s">
        <v>25466</v>
      </c>
      <c r="C793" s="153" t="s">
        <v>18</v>
      </c>
      <c r="D793" s="178">
        <v>70</v>
      </c>
      <c r="E793" s="155">
        <v>44782</v>
      </c>
      <c r="F793" s="178">
        <v>70</v>
      </c>
      <c r="G793" s="179">
        <f>Tabla19[[#This Row],[Importe]]-Tabla19[[#This Row],[Pagado]]</f>
        <v>0</v>
      </c>
      <c r="H793" s="153" t="s">
        <v>10</v>
      </c>
    </row>
    <row r="794" spans="1:8" x14ac:dyDescent="0.25">
      <c r="A794" s="73">
        <v>44782</v>
      </c>
      <c r="B794" s="74" t="s">
        <v>25467</v>
      </c>
      <c r="C794" s="75" t="s">
        <v>89</v>
      </c>
      <c r="D794" s="176">
        <v>12723.3</v>
      </c>
      <c r="E794" s="151">
        <v>44783</v>
      </c>
      <c r="F794" s="176">
        <v>12723.3</v>
      </c>
      <c r="G794" s="177">
        <f>Tabla19[[#This Row],[Importe]]-Tabla19[[#This Row],[Pagado]]</f>
        <v>0</v>
      </c>
      <c r="H794" s="75" t="s">
        <v>10</v>
      </c>
    </row>
    <row r="795" spans="1:8" x14ac:dyDescent="0.25">
      <c r="A795" s="148">
        <v>44782</v>
      </c>
      <c r="B795" s="149" t="s">
        <v>25468</v>
      </c>
      <c r="C795" s="153" t="s">
        <v>481</v>
      </c>
      <c r="D795" s="178">
        <v>613.4</v>
      </c>
      <c r="E795" s="155">
        <v>44782</v>
      </c>
      <c r="F795" s="178">
        <v>613.4</v>
      </c>
      <c r="G795" s="179">
        <f>Tabla19[[#This Row],[Importe]]-Tabla19[[#This Row],[Pagado]]</f>
        <v>0</v>
      </c>
      <c r="H795" s="153" t="s">
        <v>10</v>
      </c>
    </row>
    <row r="796" spans="1:8" x14ac:dyDescent="0.25">
      <c r="A796" s="73">
        <v>44782</v>
      </c>
      <c r="B796" s="74" t="s">
        <v>25469</v>
      </c>
      <c r="C796" s="75" t="s">
        <v>109</v>
      </c>
      <c r="D796" s="176">
        <v>5088</v>
      </c>
      <c r="E796" s="151">
        <v>44783</v>
      </c>
      <c r="F796" s="176">
        <v>5088</v>
      </c>
      <c r="G796" s="177">
        <f>Tabla19[[#This Row],[Importe]]-Tabla19[[#This Row],[Pagado]]</f>
        <v>0</v>
      </c>
      <c r="H796" s="75" t="s">
        <v>10</v>
      </c>
    </row>
    <row r="797" spans="1:8" x14ac:dyDescent="0.25">
      <c r="A797" s="148">
        <v>44782</v>
      </c>
      <c r="B797" s="149" t="s">
        <v>25470</v>
      </c>
      <c r="C797" s="153" t="s">
        <v>5043</v>
      </c>
      <c r="D797" s="178">
        <v>4989.6000000000004</v>
      </c>
      <c r="E797" s="155">
        <v>44784</v>
      </c>
      <c r="F797" s="178">
        <v>4989.6000000000004</v>
      </c>
      <c r="G797" s="179">
        <f>Tabla19[[#This Row],[Importe]]-Tabla19[[#This Row],[Pagado]]</f>
        <v>0</v>
      </c>
      <c r="H797" s="153" t="s">
        <v>10</v>
      </c>
    </row>
    <row r="798" spans="1:8" x14ac:dyDescent="0.25">
      <c r="A798" s="73">
        <v>44782</v>
      </c>
      <c r="B798" s="74" t="s">
        <v>25471</v>
      </c>
      <c r="C798" s="75" t="s">
        <v>348</v>
      </c>
      <c r="D798" s="176">
        <v>2992.5</v>
      </c>
      <c r="E798" s="151">
        <v>44782</v>
      </c>
      <c r="F798" s="176">
        <v>2992.5</v>
      </c>
      <c r="G798" s="177">
        <f>Tabla19[[#This Row],[Importe]]-Tabla19[[#This Row],[Pagado]]</f>
        <v>0</v>
      </c>
      <c r="H798" s="75" t="s">
        <v>10</v>
      </c>
    </row>
    <row r="799" spans="1:8" x14ac:dyDescent="0.25">
      <c r="A799" s="148">
        <v>44782</v>
      </c>
      <c r="B799" s="149" t="s">
        <v>25472</v>
      </c>
      <c r="C799" s="153" t="s">
        <v>35</v>
      </c>
      <c r="D799" s="178">
        <v>193.2</v>
      </c>
      <c r="E799" s="155">
        <v>44782</v>
      </c>
      <c r="F799" s="178">
        <v>193.2</v>
      </c>
      <c r="G799" s="179">
        <f>Tabla19[[#This Row],[Importe]]-Tabla19[[#This Row],[Pagado]]</f>
        <v>0</v>
      </c>
      <c r="H799" s="153" t="s">
        <v>10</v>
      </c>
    </row>
    <row r="800" spans="1:8" x14ac:dyDescent="0.25">
      <c r="A800" s="73">
        <v>44782</v>
      </c>
      <c r="B800" s="74" t="s">
        <v>25473</v>
      </c>
      <c r="C800" s="75" t="s">
        <v>934</v>
      </c>
      <c r="D800" s="176">
        <v>5549.6</v>
      </c>
      <c r="E800" s="151">
        <v>44782</v>
      </c>
      <c r="F800" s="176">
        <v>5549.6</v>
      </c>
      <c r="G800" s="177">
        <f>Tabla19[[#This Row],[Importe]]-Tabla19[[#This Row],[Pagado]]</f>
        <v>0</v>
      </c>
      <c r="H800" s="75" t="s">
        <v>10</v>
      </c>
    </row>
    <row r="801" spans="1:8" x14ac:dyDescent="0.25">
      <c r="A801" s="148">
        <v>44782</v>
      </c>
      <c r="B801" s="149" t="s">
        <v>25474</v>
      </c>
      <c r="C801" s="153" t="s">
        <v>12</v>
      </c>
      <c r="D801" s="178">
        <v>4481.3999999999996</v>
      </c>
      <c r="E801" s="155">
        <v>44782</v>
      </c>
      <c r="F801" s="178">
        <v>4481.3999999999996</v>
      </c>
      <c r="G801" s="179">
        <f>Tabla19[[#This Row],[Importe]]-Tabla19[[#This Row],[Pagado]]</f>
        <v>0</v>
      </c>
      <c r="H801" s="153" t="s">
        <v>10</v>
      </c>
    </row>
    <row r="802" spans="1:8" x14ac:dyDescent="0.25">
      <c r="A802" s="73">
        <v>44782</v>
      </c>
      <c r="B802" s="74" t="s">
        <v>25475</v>
      </c>
      <c r="C802" s="75" t="s">
        <v>114</v>
      </c>
      <c r="D802" s="176">
        <v>7609.6</v>
      </c>
      <c r="E802" s="151">
        <v>44784</v>
      </c>
      <c r="F802" s="176">
        <v>7609.6</v>
      </c>
      <c r="G802" s="177">
        <f>Tabla19[[#This Row],[Importe]]-Tabla19[[#This Row],[Pagado]]</f>
        <v>0</v>
      </c>
      <c r="H802" s="75" t="s">
        <v>10</v>
      </c>
    </row>
    <row r="803" spans="1:8" x14ac:dyDescent="0.25">
      <c r="A803" s="148">
        <v>44782</v>
      </c>
      <c r="B803" s="149" t="s">
        <v>25476</v>
      </c>
      <c r="C803" s="153" t="s">
        <v>64</v>
      </c>
      <c r="D803" s="178">
        <v>4963.2</v>
      </c>
      <c r="E803" s="155">
        <v>44783</v>
      </c>
      <c r="F803" s="178">
        <v>4963.2</v>
      </c>
      <c r="G803" s="179">
        <f>Tabla19[[#This Row],[Importe]]-Tabla19[[#This Row],[Pagado]]</f>
        <v>0</v>
      </c>
      <c r="H803" s="153" t="s">
        <v>10</v>
      </c>
    </row>
    <row r="804" spans="1:8" x14ac:dyDescent="0.25">
      <c r="A804" s="73">
        <v>44782</v>
      </c>
      <c r="B804" s="74" t="s">
        <v>25477</v>
      </c>
      <c r="C804" s="75" t="s">
        <v>105</v>
      </c>
      <c r="D804" s="176">
        <v>10911.3</v>
      </c>
      <c r="E804" s="151">
        <v>44783</v>
      </c>
      <c r="F804" s="176">
        <v>10911.3</v>
      </c>
      <c r="G804" s="177">
        <f>Tabla19[[#This Row],[Importe]]-Tabla19[[#This Row],[Pagado]]</f>
        <v>0</v>
      </c>
      <c r="H804" s="75" t="s">
        <v>10</v>
      </c>
    </row>
    <row r="805" spans="1:8" x14ac:dyDescent="0.25">
      <c r="A805" s="148">
        <v>44782</v>
      </c>
      <c r="B805" s="149" t="s">
        <v>25478</v>
      </c>
      <c r="C805" s="153" t="s">
        <v>97</v>
      </c>
      <c r="D805" s="178">
        <v>4989.6000000000004</v>
      </c>
      <c r="E805" s="155">
        <v>44783</v>
      </c>
      <c r="F805" s="178">
        <v>4989.6000000000004</v>
      </c>
      <c r="G805" s="179">
        <f>Tabla19[[#This Row],[Importe]]-Tabla19[[#This Row],[Pagado]]</f>
        <v>0</v>
      </c>
      <c r="H805" s="153" t="s">
        <v>10</v>
      </c>
    </row>
    <row r="806" spans="1:8" x14ac:dyDescent="0.25">
      <c r="A806" s="73">
        <v>44782</v>
      </c>
      <c r="B806" s="74" t="s">
        <v>25479</v>
      </c>
      <c r="C806" s="75" t="s">
        <v>2151</v>
      </c>
      <c r="D806" s="176">
        <v>23707.5</v>
      </c>
      <c r="E806" s="151">
        <v>44782</v>
      </c>
      <c r="F806" s="176">
        <v>23707.5</v>
      </c>
      <c r="G806" s="177">
        <f>Tabla19[[#This Row],[Importe]]-Tabla19[[#This Row],[Pagado]]</f>
        <v>0</v>
      </c>
      <c r="H806" s="75" t="s">
        <v>10</v>
      </c>
    </row>
    <row r="807" spans="1:8" x14ac:dyDescent="0.25">
      <c r="A807" s="148">
        <v>44782</v>
      </c>
      <c r="B807" s="149" t="s">
        <v>25480</v>
      </c>
      <c r="C807" s="153" t="s">
        <v>159</v>
      </c>
      <c r="D807" s="178">
        <v>2973.6</v>
      </c>
      <c r="E807" s="155">
        <v>44782</v>
      </c>
      <c r="F807" s="178">
        <v>2973.6</v>
      </c>
      <c r="G807" s="179">
        <f>Tabla19[[#This Row],[Importe]]-Tabla19[[#This Row],[Pagado]]</f>
        <v>0</v>
      </c>
      <c r="H807" s="153" t="s">
        <v>10</v>
      </c>
    </row>
    <row r="808" spans="1:8" x14ac:dyDescent="0.25">
      <c r="A808" s="73">
        <v>44782</v>
      </c>
      <c r="B808" s="74" t="s">
        <v>25481</v>
      </c>
      <c r="C808" s="75" t="s">
        <v>9</v>
      </c>
      <c r="D808" s="176">
        <v>9504.7999999999993</v>
      </c>
      <c r="E808" s="151">
        <v>44782</v>
      </c>
      <c r="F808" s="176">
        <v>9504.7999999999993</v>
      </c>
      <c r="G808" s="177">
        <f>Tabla19[[#This Row],[Importe]]-Tabla19[[#This Row],[Pagado]]</f>
        <v>0</v>
      </c>
      <c r="H808" s="75" t="s">
        <v>10</v>
      </c>
    </row>
    <row r="809" spans="1:8" x14ac:dyDescent="0.25">
      <c r="A809" s="148">
        <v>44782</v>
      </c>
      <c r="B809" s="149" t="s">
        <v>25482</v>
      </c>
      <c r="C809" s="153" t="s">
        <v>466</v>
      </c>
      <c r="D809" s="178">
        <v>8000</v>
      </c>
      <c r="E809" s="155">
        <v>44782</v>
      </c>
      <c r="F809" s="178">
        <v>8000</v>
      </c>
      <c r="G809" s="179">
        <f>Tabla19[[#This Row],[Importe]]-Tabla19[[#This Row],[Pagado]]</f>
        <v>0</v>
      </c>
      <c r="H809" s="153" t="s">
        <v>10</v>
      </c>
    </row>
    <row r="810" spans="1:8" x14ac:dyDescent="0.25">
      <c r="A810" s="73">
        <v>44782</v>
      </c>
      <c r="B810" s="74" t="s">
        <v>25483</v>
      </c>
      <c r="C810" s="75" t="s">
        <v>319</v>
      </c>
      <c r="D810" s="176">
        <v>10166.4</v>
      </c>
      <c r="E810" s="151">
        <v>44782</v>
      </c>
      <c r="F810" s="176">
        <v>10166.4</v>
      </c>
      <c r="G810" s="177">
        <f>Tabla19[[#This Row],[Importe]]-Tabla19[[#This Row],[Pagado]]</f>
        <v>0</v>
      </c>
      <c r="H810" s="75" t="s">
        <v>10</v>
      </c>
    </row>
    <row r="811" spans="1:8" x14ac:dyDescent="0.25">
      <c r="A811" s="148">
        <v>44782</v>
      </c>
      <c r="B811" s="149" t="s">
        <v>25484</v>
      </c>
      <c r="C811" s="153" t="s">
        <v>25485</v>
      </c>
      <c r="D811" s="178">
        <v>0</v>
      </c>
      <c r="E811" s="158" t="s">
        <v>189</v>
      </c>
      <c r="F811" s="178">
        <v>0</v>
      </c>
      <c r="G811" s="179">
        <f>Tabla19[[#This Row],[Importe]]-Tabla19[[#This Row],[Pagado]]</f>
        <v>0</v>
      </c>
      <c r="H811" s="159" t="s">
        <v>25486</v>
      </c>
    </row>
    <row r="812" spans="1:8" x14ac:dyDescent="0.25">
      <c r="A812" s="73">
        <v>44782</v>
      </c>
      <c r="B812" s="74" t="s">
        <v>25487</v>
      </c>
      <c r="C812" s="75" t="s">
        <v>151</v>
      </c>
      <c r="D812" s="176">
        <v>17201</v>
      </c>
      <c r="E812" s="151">
        <v>44782</v>
      </c>
      <c r="F812" s="176">
        <v>17201</v>
      </c>
      <c r="G812" s="177">
        <f>Tabla19[[#This Row],[Importe]]-Tabla19[[#This Row],[Pagado]]</f>
        <v>0</v>
      </c>
      <c r="H812" s="75" t="s">
        <v>10</v>
      </c>
    </row>
    <row r="813" spans="1:8" x14ac:dyDescent="0.25">
      <c r="A813" s="148">
        <v>44782</v>
      </c>
      <c r="B813" s="149" t="s">
        <v>25488</v>
      </c>
      <c r="C813" s="153" t="s">
        <v>11033</v>
      </c>
      <c r="D813" s="178">
        <v>1927.6</v>
      </c>
      <c r="E813" s="155">
        <v>44782</v>
      </c>
      <c r="F813" s="178">
        <v>1927.6</v>
      </c>
      <c r="G813" s="179">
        <f>Tabla19[[#This Row],[Importe]]-Tabla19[[#This Row],[Pagado]]</f>
        <v>0</v>
      </c>
      <c r="H813" s="153" t="s">
        <v>10</v>
      </c>
    </row>
    <row r="814" spans="1:8" x14ac:dyDescent="0.25">
      <c r="A814" s="73">
        <v>44782</v>
      </c>
      <c r="B814" s="74" t="s">
        <v>25489</v>
      </c>
      <c r="C814" s="75" t="s">
        <v>16</v>
      </c>
      <c r="D814" s="176">
        <v>4998.8</v>
      </c>
      <c r="E814" s="151">
        <v>44782</v>
      </c>
      <c r="F814" s="176">
        <v>4998.8</v>
      </c>
      <c r="G814" s="177">
        <f>Tabla19[[#This Row],[Importe]]-Tabla19[[#This Row],[Pagado]]</f>
        <v>0</v>
      </c>
      <c r="H814" s="75" t="s">
        <v>10</v>
      </c>
    </row>
    <row r="815" spans="1:8" ht="31.5" x14ac:dyDescent="0.25">
      <c r="A815" s="148">
        <v>44782</v>
      </c>
      <c r="B815" s="149" t="s">
        <v>25490</v>
      </c>
      <c r="C815" s="153" t="s">
        <v>22</v>
      </c>
      <c r="D815" s="178">
        <v>57878.1</v>
      </c>
      <c r="E815" s="150" t="s">
        <v>25337</v>
      </c>
      <c r="F815" s="178">
        <f>33000+24878.1</f>
        <v>57878.1</v>
      </c>
      <c r="G815" s="179">
        <f>Tabla19[[#This Row],[Importe]]-Tabla19[[#This Row],[Pagado]]</f>
        <v>0</v>
      </c>
      <c r="H815" s="153" t="s">
        <v>10</v>
      </c>
    </row>
    <row r="816" spans="1:8" x14ac:dyDescent="0.25">
      <c r="A816" s="73">
        <v>44782</v>
      </c>
      <c r="B816" s="74" t="s">
        <v>25491</v>
      </c>
      <c r="C816" s="75" t="s">
        <v>161</v>
      </c>
      <c r="D816" s="176">
        <v>4774</v>
      </c>
      <c r="E816" s="151">
        <v>44782</v>
      </c>
      <c r="F816" s="176">
        <v>4774</v>
      </c>
      <c r="G816" s="177">
        <f>Tabla19[[#This Row],[Importe]]-Tabla19[[#This Row],[Pagado]]</f>
        <v>0</v>
      </c>
      <c r="H816" s="75" t="s">
        <v>10</v>
      </c>
    </row>
    <row r="817" spans="1:8" x14ac:dyDescent="0.25">
      <c r="A817" s="148">
        <v>44782</v>
      </c>
      <c r="B817" s="149" t="s">
        <v>25492</v>
      </c>
      <c r="C817" s="153" t="s">
        <v>966</v>
      </c>
      <c r="D817" s="178">
        <v>6377.02</v>
      </c>
      <c r="E817" s="155">
        <v>44782</v>
      </c>
      <c r="F817" s="178">
        <v>6377.02</v>
      </c>
      <c r="G817" s="179">
        <f>Tabla19[[#This Row],[Importe]]-Tabla19[[#This Row],[Pagado]]</f>
        <v>0</v>
      </c>
      <c r="H817" s="153" t="s">
        <v>10</v>
      </c>
    </row>
    <row r="818" spans="1:8" x14ac:dyDescent="0.25">
      <c r="A818" s="73">
        <v>44782</v>
      </c>
      <c r="B818" s="74" t="s">
        <v>25493</v>
      </c>
      <c r="C818" s="75" t="s">
        <v>79</v>
      </c>
      <c r="D818" s="176">
        <v>22619.8</v>
      </c>
      <c r="E818" s="151">
        <v>44782</v>
      </c>
      <c r="F818" s="176">
        <v>22619.8</v>
      </c>
      <c r="G818" s="177">
        <f>Tabla19[[#This Row],[Importe]]-Tabla19[[#This Row],[Pagado]]</f>
        <v>0</v>
      </c>
      <c r="H818" s="75" t="s">
        <v>10</v>
      </c>
    </row>
    <row r="819" spans="1:8" x14ac:dyDescent="0.25">
      <c r="A819" s="148">
        <v>44782</v>
      </c>
      <c r="B819" s="149" t="s">
        <v>25494</v>
      </c>
      <c r="C819" s="153" t="s">
        <v>31</v>
      </c>
      <c r="D819" s="178">
        <v>30486.400000000001</v>
      </c>
      <c r="E819" s="155">
        <v>44782</v>
      </c>
      <c r="F819" s="178">
        <v>30486.400000000001</v>
      </c>
      <c r="G819" s="179">
        <f>Tabla19[[#This Row],[Importe]]-Tabla19[[#This Row],[Pagado]]</f>
        <v>0</v>
      </c>
      <c r="H819" s="153" t="s">
        <v>10</v>
      </c>
    </row>
    <row r="820" spans="1:8" x14ac:dyDescent="0.25">
      <c r="A820" s="73">
        <v>44782</v>
      </c>
      <c r="B820" s="74" t="s">
        <v>25495</v>
      </c>
      <c r="C820" s="75" t="s">
        <v>79</v>
      </c>
      <c r="D820" s="176">
        <v>9144</v>
      </c>
      <c r="E820" s="151">
        <v>44782</v>
      </c>
      <c r="F820" s="176">
        <v>9144</v>
      </c>
      <c r="G820" s="177">
        <f>Tabla19[[#This Row],[Importe]]-Tabla19[[#This Row],[Pagado]]</f>
        <v>0</v>
      </c>
      <c r="H820" s="75" t="s">
        <v>10</v>
      </c>
    </row>
    <row r="821" spans="1:8" x14ac:dyDescent="0.25">
      <c r="A821" s="148">
        <v>44782</v>
      </c>
      <c r="B821" s="149" t="s">
        <v>25496</v>
      </c>
      <c r="C821" s="153" t="s">
        <v>157</v>
      </c>
      <c r="D821" s="178">
        <v>6278.8</v>
      </c>
      <c r="E821" s="155">
        <v>44782</v>
      </c>
      <c r="F821" s="178">
        <v>6278.8</v>
      </c>
      <c r="G821" s="179">
        <f>Tabla19[[#This Row],[Importe]]-Tabla19[[#This Row],[Pagado]]</f>
        <v>0</v>
      </c>
      <c r="H821" s="153" t="s">
        <v>10</v>
      </c>
    </row>
    <row r="822" spans="1:8" x14ac:dyDescent="0.25">
      <c r="A822" s="73">
        <v>44782</v>
      </c>
      <c r="B822" s="74" t="s">
        <v>25497</v>
      </c>
      <c r="C822" s="75" t="s">
        <v>49</v>
      </c>
      <c r="D822" s="176">
        <v>5113.6000000000004</v>
      </c>
      <c r="E822" s="151">
        <v>44782</v>
      </c>
      <c r="F822" s="176">
        <v>5113.6000000000004</v>
      </c>
      <c r="G822" s="177">
        <f>Tabla19[[#This Row],[Importe]]-Tabla19[[#This Row],[Pagado]]</f>
        <v>0</v>
      </c>
      <c r="H822" s="75" t="s">
        <v>10</v>
      </c>
    </row>
    <row r="823" spans="1:8" x14ac:dyDescent="0.25">
      <c r="A823" s="148">
        <v>44782</v>
      </c>
      <c r="B823" s="149" t="s">
        <v>25498</v>
      </c>
      <c r="C823" s="153" t="s">
        <v>319</v>
      </c>
      <c r="D823" s="178">
        <v>184.5</v>
      </c>
      <c r="E823" s="155">
        <v>44782</v>
      </c>
      <c r="F823" s="178">
        <v>184.5</v>
      </c>
      <c r="G823" s="179">
        <f>Tabla19[[#This Row],[Importe]]-Tabla19[[#This Row],[Pagado]]</f>
        <v>0</v>
      </c>
      <c r="H823" s="153" t="s">
        <v>10</v>
      </c>
    </row>
    <row r="824" spans="1:8" x14ac:dyDescent="0.25">
      <c r="A824" s="73">
        <v>44782</v>
      </c>
      <c r="B824" s="74" t="s">
        <v>25499</v>
      </c>
      <c r="C824" s="75" t="s">
        <v>51</v>
      </c>
      <c r="D824" s="176">
        <v>544.5</v>
      </c>
      <c r="E824" s="151">
        <v>44782</v>
      </c>
      <c r="F824" s="176">
        <v>544.5</v>
      </c>
      <c r="G824" s="177">
        <f>Tabla19[[#This Row],[Importe]]-Tabla19[[#This Row],[Pagado]]</f>
        <v>0</v>
      </c>
      <c r="H824" s="75" t="s">
        <v>10</v>
      </c>
    </row>
    <row r="825" spans="1:8" x14ac:dyDescent="0.25">
      <c r="A825" s="148">
        <v>44782</v>
      </c>
      <c r="B825" s="149" t="s">
        <v>25500</v>
      </c>
      <c r="C825" s="153" t="s">
        <v>45</v>
      </c>
      <c r="D825" s="178">
        <v>12073</v>
      </c>
      <c r="E825" s="155">
        <v>44782</v>
      </c>
      <c r="F825" s="178">
        <v>12073</v>
      </c>
      <c r="G825" s="179">
        <f>Tabla19[[#This Row],[Importe]]-Tabla19[[#This Row],[Pagado]]</f>
        <v>0</v>
      </c>
      <c r="H825" s="153" t="s">
        <v>10</v>
      </c>
    </row>
    <row r="826" spans="1:8" x14ac:dyDescent="0.25">
      <c r="A826" s="73">
        <v>44782</v>
      </c>
      <c r="B826" s="74" t="s">
        <v>25501</v>
      </c>
      <c r="C826" s="75" t="s">
        <v>179</v>
      </c>
      <c r="D826" s="176">
        <v>2305.5</v>
      </c>
      <c r="E826" s="151">
        <v>44782</v>
      </c>
      <c r="F826" s="176">
        <v>2305.5</v>
      </c>
      <c r="G826" s="177">
        <f>Tabla19[[#This Row],[Importe]]-Tabla19[[#This Row],[Pagado]]</f>
        <v>0</v>
      </c>
      <c r="H826" s="75" t="s">
        <v>10</v>
      </c>
    </row>
    <row r="827" spans="1:8" x14ac:dyDescent="0.25">
      <c r="A827" s="148">
        <v>44782</v>
      </c>
      <c r="B827" s="149" t="s">
        <v>25502</v>
      </c>
      <c r="C827" s="153" t="s">
        <v>56</v>
      </c>
      <c r="D827" s="178">
        <v>6474</v>
      </c>
      <c r="E827" s="155">
        <v>44782</v>
      </c>
      <c r="F827" s="178">
        <v>6474</v>
      </c>
      <c r="G827" s="179">
        <f>Tabla19[[#This Row],[Importe]]-Tabla19[[#This Row],[Pagado]]</f>
        <v>0</v>
      </c>
      <c r="H827" s="153" t="s">
        <v>10</v>
      </c>
    </row>
    <row r="828" spans="1:8" x14ac:dyDescent="0.25">
      <c r="A828" s="73">
        <v>44782</v>
      </c>
      <c r="B828" s="74" t="s">
        <v>25503</v>
      </c>
      <c r="C828" s="75" t="s">
        <v>56</v>
      </c>
      <c r="D828" s="176">
        <v>791.7</v>
      </c>
      <c r="E828" s="151">
        <v>44782</v>
      </c>
      <c r="F828" s="176">
        <v>791.7</v>
      </c>
      <c r="G828" s="177">
        <f>Tabla19[[#This Row],[Importe]]-Tabla19[[#This Row],[Pagado]]</f>
        <v>0</v>
      </c>
      <c r="H828" s="75" t="s">
        <v>10</v>
      </c>
    </row>
    <row r="829" spans="1:8" x14ac:dyDescent="0.25">
      <c r="A829" s="148">
        <v>44782</v>
      </c>
      <c r="B829" s="149" t="s">
        <v>25504</v>
      </c>
      <c r="C829" s="153" t="s">
        <v>273</v>
      </c>
      <c r="D829" s="178">
        <v>3144</v>
      </c>
      <c r="E829" s="155">
        <v>44782</v>
      </c>
      <c r="F829" s="178">
        <v>3144</v>
      </c>
      <c r="G829" s="179">
        <f>Tabla19[[#This Row],[Importe]]-Tabla19[[#This Row],[Pagado]]</f>
        <v>0</v>
      </c>
      <c r="H829" s="153" t="s">
        <v>10</v>
      </c>
    </row>
    <row r="830" spans="1:8" x14ac:dyDescent="0.25">
      <c r="A830" s="73">
        <v>44782</v>
      </c>
      <c r="B830" s="74" t="s">
        <v>25505</v>
      </c>
      <c r="C830" s="75" t="s">
        <v>407</v>
      </c>
      <c r="D830" s="176">
        <v>36632.400000000001</v>
      </c>
      <c r="E830" s="151">
        <v>44790</v>
      </c>
      <c r="F830" s="176">
        <v>36632.400000000001</v>
      </c>
      <c r="G830" s="177">
        <f>Tabla19[[#This Row],[Importe]]-Tabla19[[#This Row],[Pagado]]</f>
        <v>0</v>
      </c>
      <c r="H830" s="75" t="s">
        <v>10</v>
      </c>
    </row>
    <row r="831" spans="1:8" x14ac:dyDescent="0.25">
      <c r="A831" s="148">
        <v>44782</v>
      </c>
      <c r="B831" s="149" t="s">
        <v>25506</v>
      </c>
      <c r="C831" s="153" t="s">
        <v>9780</v>
      </c>
      <c r="D831" s="178">
        <v>7807</v>
      </c>
      <c r="E831" s="155">
        <v>44824</v>
      </c>
      <c r="F831" s="178">
        <v>7807</v>
      </c>
      <c r="G831" s="179">
        <f>Tabla19[[#This Row],[Importe]]-Tabla19[[#This Row],[Pagado]]</f>
        <v>0</v>
      </c>
      <c r="H831" s="153" t="s">
        <v>10</v>
      </c>
    </row>
    <row r="832" spans="1:8" x14ac:dyDescent="0.25">
      <c r="A832" s="73">
        <v>44782</v>
      </c>
      <c r="B832" s="74" t="s">
        <v>25507</v>
      </c>
      <c r="C832" s="75" t="s">
        <v>426</v>
      </c>
      <c r="D832" s="176">
        <v>2886.4</v>
      </c>
      <c r="E832" s="151">
        <v>44782</v>
      </c>
      <c r="F832" s="176">
        <v>2886.4</v>
      </c>
      <c r="G832" s="177">
        <f>Tabla19[[#This Row],[Importe]]-Tabla19[[#This Row],[Pagado]]</f>
        <v>0</v>
      </c>
      <c r="H832" s="75" t="s">
        <v>10</v>
      </c>
    </row>
    <row r="833" spans="1:8" x14ac:dyDescent="0.25">
      <c r="A833" s="148">
        <v>44782</v>
      </c>
      <c r="B833" s="149" t="s">
        <v>25508</v>
      </c>
      <c r="C833" s="153" t="s">
        <v>191</v>
      </c>
      <c r="D833" s="178">
        <v>1919.7</v>
      </c>
      <c r="E833" s="155">
        <v>44782</v>
      </c>
      <c r="F833" s="178">
        <v>1919.7</v>
      </c>
      <c r="G833" s="179">
        <f>Tabla19[[#This Row],[Importe]]-Tabla19[[#This Row],[Pagado]]</f>
        <v>0</v>
      </c>
      <c r="H833" s="153" t="s">
        <v>10</v>
      </c>
    </row>
    <row r="834" spans="1:8" x14ac:dyDescent="0.25">
      <c r="A834" s="73">
        <v>44782</v>
      </c>
      <c r="B834" s="74" t="s">
        <v>25509</v>
      </c>
      <c r="C834" s="75" t="s">
        <v>24</v>
      </c>
      <c r="D834" s="176">
        <v>3225.7</v>
      </c>
      <c r="E834" s="151">
        <v>44782</v>
      </c>
      <c r="F834" s="176">
        <v>3225.7</v>
      </c>
      <c r="G834" s="177">
        <f>Tabla19[[#This Row],[Importe]]-Tabla19[[#This Row],[Pagado]]</f>
        <v>0</v>
      </c>
      <c r="H834" s="75" t="s">
        <v>10</v>
      </c>
    </row>
    <row r="835" spans="1:8" x14ac:dyDescent="0.25">
      <c r="A835" s="148">
        <v>44782</v>
      </c>
      <c r="B835" s="149" t="s">
        <v>25510</v>
      </c>
      <c r="C835" s="153" t="s">
        <v>67</v>
      </c>
      <c r="D835" s="178">
        <v>2514.3000000000002</v>
      </c>
      <c r="E835" s="155">
        <v>44782</v>
      </c>
      <c r="F835" s="178">
        <v>2514.3000000000002</v>
      </c>
      <c r="G835" s="179">
        <f>Tabla19[[#This Row],[Importe]]-Tabla19[[#This Row],[Pagado]]</f>
        <v>0</v>
      </c>
      <c r="H835" s="153" t="s">
        <v>10</v>
      </c>
    </row>
    <row r="836" spans="1:8" x14ac:dyDescent="0.25">
      <c r="A836" s="73">
        <v>44782</v>
      </c>
      <c r="B836" s="74" t="s">
        <v>25511</v>
      </c>
      <c r="C836" s="75" t="s">
        <v>226</v>
      </c>
      <c r="D836" s="176">
        <v>6745.2</v>
      </c>
      <c r="E836" s="151">
        <v>44782</v>
      </c>
      <c r="F836" s="176">
        <v>6745.2</v>
      </c>
      <c r="G836" s="177">
        <f>Tabla19[[#This Row],[Importe]]-Tabla19[[#This Row],[Pagado]]</f>
        <v>0</v>
      </c>
      <c r="H836" s="75" t="s">
        <v>10</v>
      </c>
    </row>
    <row r="837" spans="1:8" x14ac:dyDescent="0.25">
      <c r="A837" s="148">
        <v>44782</v>
      </c>
      <c r="B837" s="149" t="s">
        <v>25512</v>
      </c>
      <c r="C837" s="153" t="s">
        <v>698</v>
      </c>
      <c r="D837" s="178">
        <v>7374.3</v>
      </c>
      <c r="E837" s="155">
        <v>44782</v>
      </c>
      <c r="F837" s="178">
        <v>7374.3</v>
      </c>
      <c r="G837" s="179">
        <f>Tabla19[[#This Row],[Importe]]-Tabla19[[#This Row],[Pagado]]</f>
        <v>0</v>
      </c>
      <c r="H837" s="153" t="s">
        <v>10</v>
      </c>
    </row>
    <row r="838" spans="1:8" x14ac:dyDescent="0.25">
      <c r="A838" s="73">
        <v>44782</v>
      </c>
      <c r="B838" s="74" t="s">
        <v>25513</v>
      </c>
      <c r="C838" s="75" t="s">
        <v>31</v>
      </c>
      <c r="D838" s="176">
        <v>2303.4</v>
      </c>
      <c r="E838" s="151">
        <v>44782</v>
      </c>
      <c r="F838" s="176">
        <v>2303.4</v>
      </c>
      <c r="G838" s="177">
        <f>Tabla19[[#This Row],[Importe]]-Tabla19[[#This Row],[Pagado]]</f>
        <v>0</v>
      </c>
      <c r="H838" s="75" t="s">
        <v>10</v>
      </c>
    </row>
    <row r="839" spans="1:8" x14ac:dyDescent="0.25">
      <c r="A839" s="148">
        <v>44782</v>
      </c>
      <c r="B839" s="149" t="s">
        <v>25514</v>
      </c>
      <c r="C839" s="153" t="s">
        <v>31</v>
      </c>
      <c r="D839" s="178">
        <v>176</v>
      </c>
      <c r="E839" s="155">
        <v>44782</v>
      </c>
      <c r="F839" s="178">
        <v>176</v>
      </c>
      <c r="G839" s="179">
        <f>Tabla19[[#This Row],[Importe]]-Tabla19[[#This Row],[Pagado]]</f>
        <v>0</v>
      </c>
      <c r="H839" s="153" t="s">
        <v>10</v>
      </c>
    </row>
    <row r="840" spans="1:8" x14ac:dyDescent="0.25">
      <c r="A840" s="73">
        <v>44782</v>
      </c>
      <c r="B840" s="74" t="s">
        <v>25515</v>
      </c>
      <c r="C840" s="75" t="s">
        <v>167</v>
      </c>
      <c r="D840" s="176">
        <v>112588</v>
      </c>
      <c r="E840" s="151">
        <v>44782</v>
      </c>
      <c r="F840" s="176">
        <v>112588</v>
      </c>
      <c r="G840" s="177">
        <f>Tabla19[[#This Row],[Importe]]-Tabla19[[#This Row],[Pagado]]</f>
        <v>0</v>
      </c>
      <c r="H840" s="75" t="s">
        <v>10</v>
      </c>
    </row>
    <row r="841" spans="1:8" x14ac:dyDescent="0.25">
      <c r="A841" s="148">
        <v>44782</v>
      </c>
      <c r="B841" s="149" t="s">
        <v>25516</v>
      </c>
      <c r="C841" s="153" t="s">
        <v>25517</v>
      </c>
      <c r="D841" s="178">
        <v>315</v>
      </c>
      <c r="E841" s="155">
        <v>44782</v>
      </c>
      <c r="F841" s="178">
        <v>315</v>
      </c>
      <c r="G841" s="179">
        <f>Tabla19[[#This Row],[Importe]]-Tabla19[[#This Row],[Pagado]]</f>
        <v>0</v>
      </c>
      <c r="H841" s="153" t="s">
        <v>10</v>
      </c>
    </row>
    <row r="842" spans="1:8" x14ac:dyDescent="0.25">
      <c r="A842" s="73">
        <v>44782</v>
      </c>
      <c r="B842" s="74" t="s">
        <v>25518</v>
      </c>
      <c r="C842" s="75" t="s">
        <v>204</v>
      </c>
      <c r="D842" s="176">
        <v>1959.4</v>
      </c>
      <c r="E842" s="151">
        <v>44782</v>
      </c>
      <c r="F842" s="176">
        <v>1959.4</v>
      </c>
      <c r="G842" s="177">
        <f>Tabla19[[#This Row],[Importe]]-Tabla19[[#This Row],[Pagado]]</f>
        <v>0</v>
      </c>
      <c r="H842" s="75" t="s">
        <v>10</v>
      </c>
    </row>
    <row r="843" spans="1:8" x14ac:dyDescent="0.25">
      <c r="A843" s="148">
        <v>44782</v>
      </c>
      <c r="B843" s="149" t="s">
        <v>25519</v>
      </c>
      <c r="C843" s="153" t="s">
        <v>204</v>
      </c>
      <c r="D843" s="178">
        <v>1202.8</v>
      </c>
      <c r="E843" s="155">
        <v>44782</v>
      </c>
      <c r="F843" s="178">
        <v>1202.8</v>
      </c>
      <c r="G843" s="179">
        <f>Tabla19[[#This Row],[Importe]]-Tabla19[[#This Row],[Pagado]]</f>
        <v>0</v>
      </c>
      <c r="H843" s="153" t="s">
        <v>10</v>
      </c>
    </row>
    <row r="844" spans="1:8" x14ac:dyDescent="0.25">
      <c r="A844" s="73">
        <v>44782</v>
      </c>
      <c r="B844" s="74" t="s">
        <v>25520</v>
      </c>
      <c r="C844" s="75" t="s">
        <v>296</v>
      </c>
      <c r="D844" s="176">
        <v>1881.6</v>
      </c>
      <c r="E844" s="151">
        <v>44782</v>
      </c>
      <c r="F844" s="176">
        <v>1881.6</v>
      </c>
      <c r="G844" s="177">
        <f>Tabla19[[#This Row],[Importe]]-Tabla19[[#This Row],[Pagado]]</f>
        <v>0</v>
      </c>
      <c r="H844" s="75" t="s">
        <v>10</v>
      </c>
    </row>
    <row r="845" spans="1:8" x14ac:dyDescent="0.25">
      <c r="A845" s="148">
        <v>44782</v>
      </c>
      <c r="B845" s="149" t="s">
        <v>25521</v>
      </c>
      <c r="C845" s="153" t="s">
        <v>107</v>
      </c>
      <c r="D845" s="178">
        <v>10065</v>
      </c>
      <c r="E845" s="155">
        <v>44783</v>
      </c>
      <c r="F845" s="178">
        <v>10065</v>
      </c>
      <c r="G845" s="179">
        <f>Tabla19[[#This Row],[Importe]]-Tabla19[[#This Row],[Pagado]]</f>
        <v>0</v>
      </c>
      <c r="H845" s="153" t="s">
        <v>10</v>
      </c>
    </row>
    <row r="846" spans="1:8" x14ac:dyDescent="0.25">
      <c r="A846" s="73">
        <v>44782</v>
      </c>
      <c r="B846" s="74" t="s">
        <v>25522</v>
      </c>
      <c r="C846" s="75" t="s">
        <v>333</v>
      </c>
      <c r="D846" s="176">
        <v>2261.6</v>
      </c>
      <c r="E846" s="151">
        <v>44783</v>
      </c>
      <c r="F846" s="176">
        <v>2261.6</v>
      </c>
      <c r="G846" s="177">
        <f>Tabla19[[#This Row],[Importe]]-Tabla19[[#This Row],[Pagado]]</f>
        <v>0</v>
      </c>
      <c r="H846" s="75" t="s">
        <v>10</v>
      </c>
    </row>
    <row r="847" spans="1:8" x14ac:dyDescent="0.25">
      <c r="A847" s="148">
        <v>44782</v>
      </c>
      <c r="B847" s="149" t="s">
        <v>25523</v>
      </c>
      <c r="C847" s="153" t="s">
        <v>127</v>
      </c>
      <c r="D847" s="178">
        <v>1504.8</v>
      </c>
      <c r="E847" s="155">
        <v>44783</v>
      </c>
      <c r="F847" s="178">
        <v>1504.8</v>
      </c>
      <c r="G847" s="179">
        <f>Tabla19[[#This Row],[Importe]]-Tabla19[[#This Row],[Pagado]]</f>
        <v>0</v>
      </c>
      <c r="H847" s="153" t="s">
        <v>10</v>
      </c>
    </row>
    <row r="848" spans="1:8" x14ac:dyDescent="0.25">
      <c r="A848" s="73">
        <v>44782</v>
      </c>
      <c r="B848" s="74" t="s">
        <v>25524</v>
      </c>
      <c r="C848" s="75" t="s">
        <v>129</v>
      </c>
      <c r="D848" s="176">
        <v>1255.2</v>
      </c>
      <c r="E848" s="151">
        <v>44783</v>
      </c>
      <c r="F848" s="176">
        <v>1255.2</v>
      </c>
      <c r="G848" s="177">
        <f>Tabla19[[#This Row],[Importe]]-Tabla19[[#This Row],[Pagado]]</f>
        <v>0</v>
      </c>
      <c r="H848" s="75" t="s">
        <v>10</v>
      </c>
    </row>
    <row r="849" spans="1:8" x14ac:dyDescent="0.25">
      <c r="A849" s="148">
        <v>44782</v>
      </c>
      <c r="B849" s="149" t="s">
        <v>25525</v>
      </c>
      <c r="C849" s="153" t="s">
        <v>339</v>
      </c>
      <c r="D849" s="178">
        <v>1046.2</v>
      </c>
      <c r="E849" s="155">
        <v>44783</v>
      </c>
      <c r="F849" s="178">
        <v>1046.2</v>
      </c>
      <c r="G849" s="179">
        <f>Tabla19[[#This Row],[Importe]]-Tabla19[[#This Row],[Pagado]]</f>
        <v>0</v>
      </c>
      <c r="H849" s="153" t="s">
        <v>10</v>
      </c>
    </row>
    <row r="850" spans="1:8" x14ac:dyDescent="0.25">
      <c r="A850" s="73">
        <v>44782</v>
      </c>
      <c r="B850" s="74" t="s">
        <v>25526</v>
      </c>
      <c r="C850" s="75" t="s">
        <v>146</v>
      </c>
      <c r="D850" s="176">
        <v>5375</v>
      </c>
      <c r="E850" s="151">
        <v>44783</v>
      </c>
      <c r="F850" s="176">
        <v>5375</v>
      </c>
      <c r="G850" s="177">
        <f>Tabla19[[#This Row],[Importe]]-Tabla19[[#This Row],[Pagado]]</f>
        <v>0</v>
      </c>
      <c r="H850" s="75" t="s">
        <v>10</v>
      </c>
    </row>
    <row r="851" spans="1:8" x14ac:dyDescent="0.25">
      <c r="A851" s="148">
        <v>44782</v>
      </c>
      <c r="B851" s="149" t="s">
        <v>25527</v>
      </c>
      <c r="C851" s="153" t="s">
        <v>140</v>
      </c>
      <c r="D851" s="178">
        <v>5139.2</v>
      </c>
      <c r="E851" s="155">
        <v>44783</v>
      </c>
      <c r="F851" s="178">
        <v>5139.2</v>
      </c>
      <c r="G851" s="179">
        <f>Tabla19[[#This Row],[Importe]]-Tabla19[[#This Row],[Pagado]]</f>
        <v>0</v>
      </c>
      <c r="H851" s="153" t="s">
        <v>10</v>
      </c>
    </row>
    <row r="852" spans="1:8" x14ac:dyDescent="0.25">
      <c r="A852" s="73">
        <v>44782</v>
      </c>
      <c r="B852" s="74" t="s">
        <v>25528</v>
      </c>
      <c r="C852" s="75" t="s">
        <v>1362</v>
      </c>
      <c r="D852" s="176">
        <v>4356</v>
      </c>
      <c r="E852" s="151">
        <v>44783</v>
      </c>
      <c r="F852" s="176">
        <v>4356</v>
      </c>
      <c r="G852" s="177">
        <f>Tabla19[[#This Row],[Importe]]-Tabla19[[#This Row],[Pagado]]</f>
        <v>0</v>
      </c>
      <c r="H852" s="75" t="s">
        <v>10</v>
      </c>
    </row>
    <row r="853" spans="1:8" x14ac:dyDescent="0.25">
      <c r="A853" s="148">
        <v>44782</v>
      </c>
      <c r="B853" s="149" t="s">
        <v>25529</v>
      </c>
      <c r="C853" s="153" t="s">
        <v>12</v>
      </c>
      <c r="D853" s="178">
        <v>1661.6</v>
      </c>
      <c r="E853" s="155">
        <v>44782</v>
      </c>
      <c r="F853" s="178">
        <v>1661.6</v>
      </c>
      <c r="G853" s="179">
        <f>Tabla19[[#This Row],[Importe]]-Tabla19[[#This Row],[Pagado]]</f>
        <v>0</v>
      </c>
      <c r="H853" s="153" t="s">
        <v>10</v>
      </c>
    </row>
    <row r="854" spans="1:8" x14ac:dyDescent="0.25">
      <c r="A854" s="73">
        <v>44782</v>
      </c>
      <c r="B854" s="74" t="s">
        <v>25530</v>
      </c>
      <c r="C854" s="75" t="s">
        <v>53</v>
      </c>
      <c r="D854" s="176">
        <v>580.79999999999995</v>
      </c>
      <c r="E854" s="151">
        <v>44782</v>
      </c>
      <c r="F854" s="176">
        <v>580.79999999999995</v>
      </c>
      <c r="G854" s="177">
        <f>Tabla19[[#This Row],[Importe]]-Tabla19[[#This Row],[Pagado]]</f>
        <v>0</v>
      </c>
      <c r="H854" s="75" t="s">
        <v>10</v>
      </c>
    </row>
    <row r="855" spans="1:8" x14ac:dyDescent="0.25">
      <c r="A855" s="148">
        <v>44782</v>
      </c>
      <c r="B855" s="149" t="s">
        <v>25531</v>
      </c>
      <c r="C855" s="153" t="s">
        <v>314</v>
      </c>
      <c r="D855" s="178">
        <v>3175.5</v>
      </c>
      <c r="E855" s="155">
        <v>44783</v>
      </c>
      <c r="F855" s="178">
        <v>3175.5</v>
      </c>
      <c r="G855" s="179">
        <f>Tabla19[[#This Row],[Importe]]-Tabla19[[#This Row],[Pagado]]</f>
        <v>0</v>
      </c>
      <c r="H855" s="153" t="s">
        <v>10</v>
      </c>
    </row>
    <row r="856" spans="1:8" x14ac:dyDescent="0.25">
      <c r="A856" s="73">
        <v>44782</v>
      </c>
      <c r="B856" s="74" t="s">
        <v>25532</v>
      </c>
      <c r="C856" s="75" t="s">
        <v>83</v>
      </c>
      <c r="D856" s="176">
        <v>10680</v>
      </c>
      <c r="E856" s="151">
        <v>44783</v>
      </c>
      <c r="F856" s="176">
        <v>10680</v>
      </c>
      <c r="G856" s="177">
        <f>Tabla19[[#This Row],[Importe]]-Tabla19[[#This Row],[Pagado]]</f>
        <v>0</v>
      </c>
      <c r="H856" s="75" t="s">
        <v>10</v>
      </c>
    </row>
    <row r="857" spans="1:8" x14ac:dyDescent="0.25">
      <c r="A857" s="148">
        <v>44782</v>
      </c>
      <c r="B857" s="149" t="s">
        <v>25533</v>
      </c>
      <c r="C857" s="153" t="s">
        <v>87</v>
      </c>
      <c r="D857" s="178">
        <v>4115</v>
      </c>
      <c r="E857" s="155">
        <v>44783</v>
      </c>
      <c r="F857" s="178">
        <v>4115</v>
      </c>
      <c r="G857" s="179">
        <f>Tabla19[[#This Row],[Importe]]-Tabla19[[#This Row],[Pagado]]</f>
        <v>0</v>
      </c>
      <c r="H857" s="153" t="s">
        <v>10</v>
      </c>
    </row>
    <row r="858" spans="1:8" x14ac:dyDescent="0.25">
      <c r="A858" s="73">
        <v>44782</v>
      </c>
      <c r="B858" s="74" t="s">
        <v>25534</v>
      </c>
      <c r="C858" s="75" t="s">
        <v>419</v>
      </c>
      <c r="D858" s="176">
        <v>8628.6</v>
      </c>
      <c r="E858" s="151">
        <v>44782</v>
      </c>
      <c r="F858" s="176">
        <v>8628.6</v>
      </c>
      <c r="G858" s="177">
        <f>Tabla19[[#This Row],[Importe]]-Tabla19[[#This Row],[Pagado]]</f>
        <v>0</v>
      </c>
      <c r="H858" s="75" t="s">
        <v>10</v>
      </c>
    </row>
    <row r="859" spans="1:8" x14ac:dyDescent="0.25">
      <c r="A859" s="148">
        <v>44782</v>
      </c>
      <c r="B859" s="149" t="s">
        <v>25535</v>
      </c>
      <c r="C859" s="153" t="s">
        <v>142</v>
      </c>
      <c r="D859" s="178">
        <v>112479.02</v>
      </c>
      <c r="E859" s="155">
        <v>44837</v>
      </c>
      <c r="F859" s="178">
        <v>112479.02</v>
      </c>
      <c r="G859" s="179">
        <f>Tabla19[[#This Row],[Importe]]-Tabla19[[#This Row],[Pagado]]</f>
        <v>0</v>
      </c>
      <c r="H859" s="153" t="s">
        <v>10</v>
      </c>
    </row>
    <row r="860" spans="1:8" x14ac:dyDescent="0.25">
      <c r="A860" s="73">
        <v>44782</v>
      </c>
      <c r="B860" s="74" t="s">
        <v>25536</v>
      </c>
      <c r="C860" s="75" t="s">
        <v>31</v>
      </c>
      <c r="D860" s="176">
        <v>1974.9</v>
      </c>
      <c r="E860" s="151">
        <v>44782</v>
      </c>
      <c r="F860" s="176">
        <v>1974.9</v>
      </c>
      <c r="G860" s="177">
        <f>Tabla19[[#This Row],[Importe]]-Tabla19[[#This Row],[Pagado]]</f>
        <v>0</v>
      </c>
      <c r="H860" s="75" t="s">
        <v>10</v>
      </c>
    </row>
    <row r="861" spans="1:8" x14ac:dyDescent="0.25">
      <c r="A861" s="148">
        <v>44782</v>
      </c>
      <c r="B861" s="149" t="s">
        <v>25537</v>
      </c>
      <c r="C861" s="153" t="s">
        <v>83</v>
      </c>
      <c r="D861" s="178">
        <v>1392</v>
      </c>
      <c r="E861" s="155">
        <v>44783</v>
      </c>
      <c r="F861" s="178">
        <v>1392</v>
      </c>
      <c r="G861" s="179">
        <f>Tabla19[[#This Row],[Importe]]-Tabla19[[#This Row],[Pagado]]</f>
        <v>0</v>
      </c>
      <c r="H861" s="153" t="s">
        <v>10</v>
      </c>
    </row>
    <row r="862" spans="1:8" x14ac:dyDescent="0.25">
      <c r="A862" s="73">
        <v>44782</v>
      </c>
      <c r="B862" s="74" t="s">
        <v>25538</v>
      </c>
      <c r="C862" s="75" t="s">
        <v>214</v>
      </c>
      <c r="D862" s="176">
        <v>11085.4</v>
      </c>
      <c r="E862" s="151">
        <v>44783</v>
      </c>
      <c r="F862" s="176">
        <v>11085.4</v>
      </c>
      <c r="G862" s="177">
        <f>Tabla19[[#This Row],[Importe]]-Tabla19[[#This Row],[Pagado]]</f>
        <v>0</v>
      </c>
      <c r="H862" s="75" t="s">
        <v>10</v>
      </c>
    </row>
    <row r="863" spans="1:8" x14ac:dyDescent="0.25">
      <c r="A863" s="148">
        <v>44782</v>
      </c>
      <c r="B863" s="149" t="s">
        <v>25539</v>
      </c>
      <c r="C863" s="153" t="s">
        <v>175</v>
      </c>
      <c r="D863" s="178">
        <v>17316.8</v>
      </c>
      <c r="E863" s="155">
        <v>44782</v>
      </c>
      <c r="F863" s="178">
        <v>17316.8</v>
      </c>
      <c r="G863" s="179">
        <f>Tabla19[[#This Row],[Importe]]-Tabla19[[#This Row],[Pagado]]</f>
        <v>0</v>
      </c>
      <c r="H863" s="153" t="s">
        <v>10</v>
      </c>
    </row>
    <row r="864" spans="1:8" x14ac:dyDescent="0.25">
      <c r="A864" s="73">
        <v>44782</v>
      </c>
      <c r="B864" s="74" t="s">
        <v>25540</v>
      </c>
      <c r="C864" s="75" t="s">
        <v>196</v>
      </c>
      <c r="D864" s="176">
        <v>19882.8</v>
      </c>
      <c r="E864" s="151">
        <v>44786</v>
      </c>
      <c r="F864" s="176">
        <v>19882.8</v>
      </c>
      <c r="G864" s="177">
        <f>Tabla19[[#This Row],[Importe]]-Tabla19[[#This Row],[Pagado]]</f>
        <v>0</v>
      </c>
      <c r="H864" s="75" t="s">
        <v>10</v>
      </c>
    </row>
    <row r="865" spans="1:8" x14ac:dyDescent="0.25">
      <c r="A865" s="148">
        <v>44782</v>
      </c>
      <c r="B865" s="149" t="s">
        <v>25541</v>
      </c>
      <c r="C865" s="153" t="s">
        <v>31</v>
      </c>
      <c r="D865" s="178">
        <v>13920</v>
      </c>
      <c r="E865" s="155">
        <v>44782</v>
      </c>
      <c r="F865" s="178">
        <v>13920</v>
      </c>
      <c r="G865" s="179">
        <f>Tabla19[[#This Row],[Importe]]-Tabla19[[#This Row],[Pagado]]</f>
        <v>0</v>
      </c>
      <c r="H865" s="153" t="s">
        <v>10</v>
      </c>
    </row>
    <row r="866" spans="1:8" x14ac:dyDescent="0.25">
      <c r="A866" s="73">
        <v>44782</v>
      </c>
      <c r="B866" s="74" t="s">
        <v>25542</v>
      </c>
      <c r="C866" s="75" t="s">
        <v>71</v>
      </c>
      <c r="D866" s="176">
        <v>7408</v>
      </c>
      <c r="E866" s="151">
        <v>44782</v>
      </c>
      <c r="F866" s="176">
        <v>7408</v>
      </c>
      <c r="G866" s="177">
        <f>Tabla19[[#This Row],[Importe]]-Tabla19[[#This Row],[Pagado]]</f>
        <v>0</v>
      </c>
      <c r="H866" s="75" t="s">
        <v>10</v>
      </c>
    </row>
    <row r="867" spans="1:8" x14ac:dyDescent="0.25">
      <c r="A867" s="148">
        <v>44782</v>
      </c>
      <c r="B867" s="149" t="s">
        <v>25543</v>
      </c>
      <c r="C867" s="153" t="s">
        <v>246</v>
      </c>
      <c r="D867" s="178">
        <v>13446.4</v>
      </c>
      <c r="E867" s="155">
        <v>44782</v>
      </c>
      <c r="F867" s="178">
        <v>13446.4</v>
      </c>
      <c r="G867" s="179">
        <f>Tabla19[[#This Row],[Importe]]-Tabla19[[#This Row],[Pagado]]</f>
        <v>0</v>
      </c>
      <c r="H867" s="153" t="s">
        <v>10</v>
      </c>
    </row>
    <row r="868" spans="1:8" x14ac:dyDescent="0.25">
      <c r="A868" s="73">
        <v>44782</v>
      </c>
      <c r="B868" s="74" t="s">
        <v>25544</v>
      </c>
      <c r="C868" s="75" t="s">
        <v>440</v>
      </c>
      <c r="D868" s="176">
        <v>11823.7</v>
      </c>
      <c r="E868" s="151">
        <v>44791</v>
      </c>
      <c r="F868" s="176">
        <v>11823.7</v>
      </c>
      <c r="G868" s="177">
        <f>Tabla19[[#This Row],[Importe]]-Tabla19[[#This Row],[Pagado]]</f>
        <v>0</v>
      </c>
      <c r="H868" s="75" t="s">
        <v>10</v>
      </c>
    </row>
    <row r="869" spans="1:8" x14ac:dyDescent="0.25">
      <c r="A869" s="148">
        <v>44782</v>
      </c>
      <c r="B869" s="149" t="s">
        <v>25545</v>
      </c>
      <c r="C869" s="153" t="s">
        <v>1706</v>
      </c>
      <c r="D869" s="178">
        <v>16250</v>
      </c>
      <c r="E869" s="155">
        <v>44782</v>
      </c>
      <c r="F869" s="178">
        <v>16250</v>
      </c>
      <c r="G869" s="179">
        <f>Tabla19[[#This Row],[Importe]]-Tabla19[[#This Row],[Pagado]]</f>
        <v>0</v>
      </c>
      <c r="H869" s="153" t="s">
        <v>10</v>
      </c>
    </row>
    <row r="870" spans="1:8" x14ac:dyDescent="0.25">
      <c r="A870" s="73">
        <v>44782</v>
      </c>
      <c r="B870" s="74" t="s">
        <v>25546</v>
      </c>
      <c r="C870" s="75" t="s">
        <v>24</v>
      </c>
      <c r="D870" s="176">
        <v>2433.1999999999998</v>
      </c>
      <c r="E870" s="151">
        <v>44782</v>
      </c>
      <c r="F870" s="176">
        <v>2433.1999999999998</v>
      </c>
      <c r="G870" s="177">
        <f>Tabla19[[#This Row],[Importe]]-Tabla19[[#This Row],[Pagado]]</f>
        <v>0</v>
      </c>
      <c r="H870" s="75" t="s">
        <v>10</v>
      </c>
    </row>
    <row r="871" spans="1:8" x14ac:dyDescent="0.25">
      <c r="A871" s="148">
        <v>44782</v>
      </c>
      <c r="B871" s="149" t="s">
        <v>25547</v>
      </c>
      <c r="C871" s="153" t="s">
        <v>275</v>
      </c>
      <c r="D871" s="178">
        <v>130062.36</v>
      </c>
      <c r="E871" s="155">
        <v>44806</v>
      </c>
      <c r="F871" s="178">
        <v>130062.36</v>
      </c>
      <c r="G871" s="179">
        <f>Tabla19[[#This Row],[Importe]]-Tabla19[[#This Row],[Pagado]]</f>
        <v>0</v>
      </c>
      <c r="H871" s="153" t="s">
        <v>10</v>
      </c>
    </row>
    <row r="872" spans="1:8" x14ac:dyDescent="0.25">
      <c r="A872" s="73">
        <v>44782</v>
      </c>
      <c r="B872" s="74" t="s">
        <v>25548</v>
      </c>
      <c r="C872" s="75" t="s">
        <v>291</v>
      </c>
      <c r="D872" s="176">
        <v>4568</v>
      </c>
      <c r="E872" s="151">
        <v>44783</v>
      </c>
      <c r="F872" s="176">
        <v>4568</v>
      </c>
      <c r="G872" s="177">
        <f>Tabla19[[#This Row],[Importe]]-Tabla19[[#This Row],[Pagado]]</f>
        <v>0</v>
      </c>
      <c r="H872" s="75" t="s">
        <v>10</v>
      </c>
    </row>
    <row r="873" spans="1:8" x14ac:dyDescent="0.25">
      <c r="A873" s="148">
        <v>44782</v>
      </c>
      <c r="B873" s="149" t="s">
        <v>25549</v>
      </c>
      <c r="C873" s="153" t="s">
        <v>296</v>
      </c>
      <c r="D873" s="178">
        <v>3853.2</v>
      </c>
      <c r="E873" s="155">
        <v>44782</v>
      </c>
      <c r="F873" s="178">
        <v>3853.2</v>
      </c>
      <c r="G873" s="179">
        <f>Tabla19[[#This Row],[Importe]]-Tabla19[[#This Row],[Pagado]]</f>
        <v>0</v>
      </c>
      <c r="H873" s="153" t="s">
        <v>10</v>
      </c>
    </row>
    <row r="874" spans="1:8" x14ac:dyDescent="0.25">
      <c r="A874" s="73">
        <v>44782</v>
      </c>
      <c r="B874" s="74" t="s">
        <v>25550</v>
      </c>
      <c r="C874" s="75" t="s">
        <v>31</v>
      </c>
      <c r="D874" s="176">
        <v>1600.8</v>
      </c>
      <c r="E874" s="151">
        <v>44782</v>
      </c>
      <c r="F874" s="176">
        <v>1600.8</v>
      </c>
      <c r="G874" s="177">
        <f>Tabla19[[#This Row],[Importe]]-Tabla19[[#This Row],[Pagado]]</f>
        <v>0</v>
      </c>
      <c r="H874" s="75" t="s">
        <v>10</v>
      </c>
    </row>
    <row r="875" spans="1:8" x14ac:dyDescent="0.25">
      <c r="A875" s="148">
        <v>44782</v>
      </c>
      <c r="B875" s="149" t="s">
        <v>25551</v>
      </c>
      <c r="C875" s="153" t="s">
        <v>647</v>
      </c>
      <c r="D875" s="178">
        <v>613.79999999999995</v>
      </c>
      <c r="E875" s="155">
        <v>44782</v>
      </c>
      <c r="F875" s="178">
        <v>613.79999999999995</v>
      </c>
      <c r="G875" s="179">
        <f>Tabla19[[#This Row],[Importe]]-Tabla19[[#This Row],[Pagado]]</f>
        <v>0</v>
      </c>
      <c r="H875" s="153" t="s">
        <v>10</v>
      </c>
    </row>
    <row r="876" spans="1:8" x14ac:dyDescent="0.25">
      <c r="A876" s="73">
        <v>44782</v>
      </c>
      <c r="B876" s="74" t="s">
        <v>25552</v>
      </c>
      <c r="C876" s="75" t="s">
        <v>2961</v>
      </c>
      <c r="D876" s="176">
        <v>41535.199999999997</v>
      </c>
      <c r="E876" s="151">
        <v>44783</v>
      </c>
      <c r="F876" s="176">
        <v>41535.199999999997</v>
      </c>
      <c r="G876" s="177">
        <f>Tabla19[[#This Row],[Importe]]-Tabla19[[#This Row],[Pagado]]</f>
        <v>0</v>
      </c>
      <c r="H876" s="75" t="s">
        <v>10</v>
      </c>
    </row>
    <row r="877" spans="1:8" x14ac:dyDescent="0.25">
      <c r="A877" s="148">
        <v>44782</v>
      </c>
      <c r="B877" s="149" t="s">
        <v>25553</v>
      </c>
      <c r="C877" s="153" t="s">
        <v>31</v>
      </c>
      <c r="D877" s="178">
        <v>1496</v>
      </c>
      <c r="E877" s="155">
        <v>44782</v>
      </c>
      <c r="F877" s="178">
        <v>1496</v>
      </c>
      <c r="G877" s="179">
        <f>Tabla19[[#This Row],[Importe]]-Tabla19[[#This Row],[Pagado]]</f>
        <v>0</v>
      </c>
      <c r="H877" s="153" t="s">
        <v>10</v>
      </c>
    </row>
    <row r="878" spans="1:8" x14ac:dyDescent="0.25">
      <c r="A878" s="73">
        <v>44782</v>
      </c>
      <c r="B878" s="74" t="s">
        <v>25554</v>
      </c>
      <c r="C878" s="75" t="s">
        <v>31</v>
      </c>
      <c r="D878" s="176">
        <v>126.4</v>
      </c>
      <c r="E878" s="151">
        <v>44782</v>
      </c>
      <c r="F878" s="176">
        <v>126.4</v>
      </c>
      <c r="G878" s="177">
        <f>Tabla19[[#This Row],[Importe]]-Tabla19[[#This Row],[Pagado]]</f>
        <v>0</v>
      </c>
      <c r="H878" s="75" t="s">
        <v>10</v>
      </c>
    </row>
    <row r="879" spans="1:8" x14ac:dyDescent="0.25">
      <c r="A879" s="148">
        <v>44782</v>
      </c>
      <c r="B879" s="149" t="s">
        <v>25555</v>
      </c>
      <c r="C879" s="153" t="s">
        <v>5345</v>
      </c>
      <c r="D879" s="178">
        <v>1757.4</v>
      </c>
      <c r="E879" s="155">
        <v>44783</v>
      </c>
      <c r="F879" s="178">
        <v>1757.4</v>
      </c>
      <c r="G879" s="179">
        <f>Tabla19[[#This Row],[Importe]]-Tabla19[[#This Row],[Pagado]]</f>
        <v>0</v>
      </c>
      <c r="H879" s="153" t="s">
        <v>10</v>
      </c>
    </row>
    <row r="880" spans="1:8" x14ac:dyDescent="0.25">
      <c r="A880" s="73">
        <v>44782</v>
      </c>
      <c r="B880" s="74" t="s">
        <v>25556</v>
      </c>
      <c r="C880" s="75" t="s">
        <v>10819</v>
      </c>
      <c r="D880" s="176">
        <v>883.9</v>
      </c>
      <c r="E880" s="151">
        <v>44783</v>
      </c>
      <c r="F880" s="176">
        <v>883.9</v>
      </c>
      <c r="G880" s="177">
        <f>Tabla19[[#This Row],[Importe]]-Tabla19[[#This Row],[Pagado]]</f>
        <v>0</v>
      </c>
      <c r="H880" s="75" t="s">
        <v>10</v>
      </c>
    </row>
    <row r="881" spans="1:8" x14ac:dyDescent="0.25">
      <c r="A881" s="148">
        <v>44782</v>
      </c>
      <c r="B881" s="149" t="s">
        <v>25557</v>
      </c>
      <c r="C881" s="153" t="s">
        <v>284</v>
      </c>
      <c r="D881" s="178">
        <v>8908.7999999999993</v>
      </c>
      <c r="E881" s="155">
        <v>44783</v>
      </c>
      <c r="F881" s="178">
        <v>8908.7999999999993</v>
      </c>
      <c r="G881" s="179">
        <f>Tabla19[[#This Row],[Importe]]-Tabla19[[#This Row],[Pagado]]</f>
        <v>0</v>
      </c>
      <c r="H881" s="153" t="s">
        <v>10</v>
      </c>
    </row>
    <row r="882" spans="1:8" x14ac:dyDescent="0.25">
      <c r="A882" s="73">
        <v>44782</v>
      </c>
      <c r="B882" s="74" t="s">
        <v>25558</v>
      </c>
      <c r="C882" s="75" t="s">
        <v>296</v>
      </c>
      <c r="D882" s="176">
        <v>974</v>
      </c>
      <c r="E882" s="151">
        <v>44782</v>
      </c>
      <c r="F882" s="176">
        <v>974</v>
      </c>
      <c r="G882" s="177">
        <f>Tabla19[[#This Row],[Importe]]-Tabla19[[#This Row],[Pagado]]</f>
        <v>0</v>
      </c>
      <c r="H882" s="75" t="s">
        <v>10</v>
      </c>
    </row>
    <row r="883" spans="1:8" x14ac:dyDescent="0.25">
      <c r="A883" s="148">
        <v>44782</v>
      </c>
      <c r="B883" s="149" t="s">
        <v>25559</v>
      </c>
      <c r="C883" s="153" t="s">
        <v>461</v>
      </c>
      <c r="D883" s="178">
        <v>734.5</v>
      </c>
      <c r="E883" s="155">
        <v>44782</v>
      </c>
      <c r="F883" s="178">
        <v>734.5</v>
      </c>
      <c r="G883" s="179">
        <f>Tabla19[[#This Row],[Importe]]-Tabla19[[#This Row],[Pagado]]</f>
        <v>0</v>
      </c>
      <c r="H883" s="153" t="s">
        <v>10</v>
      </c>
    </row>
    <row r="884" spans="1:8" x14ac:dyDescent="0.25">
      <c r="A884" s="73">
        <v>44782</v>
      </c>
      <c r="B884" s="74" t="s">
        <v>25560</v>
      </c>
      <c r="C884" s="75" t="s">
        <v>31</v>
      </c>
      <c r="D884" s="176">
        <v>100.8</v>
      </c>
      <c r="E884" s="151">
        <v>44782</v>
      </c>
      <c r="F884" s="176">
        <v>100.8</v>
      </c>
      <c r="G884" s="177">
        <f>Tabla19[[#This Row],[Importe]]-Tabla19[[#This Row],[Pagado]]</f>
        <v>0</v>
      </c>
      <c r="H884" s="75" t="s">
        <v>10</v>
      </c>
    </row>
    <row r="885" spans="1:8" x14ac:dyDescent="0.25">
      <c r="A885" s="148">
        <v>44782</v>
      </c>
      <c r="B885" s="149" t="s">
        <v>25561</v>
      </c>
      <c r="C885" s="153" t="s">
        <v>448</v>
      </c>
      <c r="D885" s="178">
        <v>21032.2</v>
      </c>
      <c r="E885" s="155">
        <v>44783</v>
      </c>
      <c r="F885" s="178">
        <v>21032.2</v>
      </c>
      <c r="G885" s="179">
        <f>Tabla19[[#This Row],[Importe]]-Tabla19[[#This Row],[Pagado]]</f>
        <v>0</v>
      </c>
      <c r="H885" s="153" t="s">
        <v>10</v>
      </c>
    </row>
    <row r="886" spans="1:8" ht="31.5" x14ac:dyDescent="0.25">
      <c r="A886" s="73">
        <v>44782</v>
      </c>
      <c r="B886" s="74" t="s">
        <v>25562</v>
      </c>
      <c r="C886" s="75" t="s">
        <v>1339</v>
      </c>
      <c r="D886" s="176">
        <v>4864</v>
      </c>
      <c r="E886" s="147" t="s">
        <v>35002</v>
      </c>
      <c r="F886" s="176">
        <f>2000+1500+1364</f>
        <v>4864</v>
      </c>
      <c r="G886" s="177">
        <f>Tabla19[[#This Row],[Importe]]-Tabla19[[#This Row],[Pagado]]</f>
        <v>0</v>
      </c>
      <c r="H886" s="75" t="s">
        <v>10</v>
      </c>
    </row>
    <row r="887" spans="1:8" x14ac:dyDescent="0.25">
      <c r="A887" s="148">
        <v>44782</v>
      </c>
      <c r="B887" s="149" t="s">
        <v>25563</v>
      </c>
      <c r="C887" s="153" t="s">
        <v>2139</v>
      </c>
      <c r="D887" s="178">
        <v>1604.8</v>
      </c>
      <c r="E887" s="155">
        <v>44782</v>
      </c>
      <c r="F887" s="178">
        <v>1604.8</v>
      </c>
      <c r="G887" s="179">
        <f>Tabla19[[#This Row],[Importe]]-Tabla19[[#This Row],[Pagado]]</f>
        <v>0</v>
      </c>
      <c r="H887" s="153" t="s">
        <v>10</v>
      </c>
    </row>
    <row r="888" spans="1:8" x14ac:dyDescent="0.25">
      <c r="A888" s="73">
        <v>44782</v>
      </c>
      <c r="B888" s="74" t="s">
        <v>25564</v>
      </c>
      <c r="C888" s="75" t="s">
        <v>69</v>
      </c>
      <c r="D888" s="176">
        <v>1724.8</v>
      </c>
      <c r="E888" s="151">
        <v>44782</v>
      </c>
      <c r="F888" s="176">
        <v>1724.8</v>
      </c>
      <c r="G888" s="177">
        <f>Tabla19[[#This Row],[Importe]]-Tabla19[[#This Row],[Pagado]]</f>
        <v>0</v>
      </c>
      <c r="H888" s="75" t="s">
        <v>10</v>
      </c>
    </row>
    <row r="889" spans="1:8" x14ac:dyDescent="0.25">
      <c r="A889" s="148">
        <v>44782</v>
      </c>
      <c r="B889" s="149" t="s">
        <v>25565</v>
      </c>
      <c r="C889" s="153" t="s">
        <v>843</v>
      </c>
      <c r="D889" s="178">
        <v>5256</v>
      </c>
      <c r="E889" s="155">
        <v>44783</v>
      </c>
      <c r="F889" s="178">
        <v>5256</v>
      </c>
      <c r="G889" s="179">
        <f>Tabla19[[#This Row],[Importe]]-Tabla19[[#This Row],[Pagado]]</f>
        <v>0</v>
      </c>
      <c r="H889" s="153" t="s">
        <v>10</v>
      </c>
    </row>
    <row r="890" spans="1:8" x14ac:dyDescent="0.25">
      <c r="A890" s="73">
        <v>44783</v>
      </c>
      <c r="B890" s="74" t="s">
        <v>25566</v>
      </c>
      <c r="C890" s="75" t="s">
        <v>887</v>
      </c>
      <c r="D890" s="176">
        <v>10685.4</v>
      </c>
      <c r="E890" s="151">
        <v>44783</v>
      </c>
      <c r="F890" s="176">
        <v>10685.4</v>
      </c>
      <c r="G890" s="177">
        <f>Tabla19[[#This Row],[Importe]]-Tabla19[[#This Row],[Pagado]]</f>
        <v>0</v>
      </c>
      <c r="H890" s="75" t="s">
        <v>10</v>
      </c>
    </row>
    <row r="891" spans="1:8" x14ac:dyDescent="0.25">
      <c r="A891" s="148">
        <v>44783</v>
      </c>
      <c r="B891" s="149" t="s">
        <v>25567</v>
      </c>
      <c r="C891" s="153" t="s">
        <v>475</v>
      </c>
      <c r="D891" s="178">
        <v>109234.2</v>
      </c>
      <c r="E891" s="155">
        <v>44784</v>
      </c>
      <c r="F891" s="178">
        <v>109234.2</v>
      </c>
      <c r="G891" s="179">
        <f>Tabla19[[#This Row],[Importe]]-Tabla19[[#This Row],[Pagado]]</f>
        <v>0</v>
      </c>
      <c r="H891" s="153" t="s">
        <v>10</v>
      </c>
    </row>
    <row r="892" spans="1:8" x14ac:dyDescent="0.25">
      <c r="A892" s="73">
        <v>44783</v>
      </c>
      <c r="B892" s="74" t="s">
        <v>25568</v>
      </c>
      <c r="C892" s="75" t="s">
        <v>12</v>
      </c>
      <c r="D892" s="176">
        <v>9693.9500000000007</v>
      </c>
      <c r="E892" s="151">
        <v>44783</v>
      </c>
      <c r="F892" s="176">
        <v>9693.9500000000007</v>
      </c>
      <c r="G892" s="177">
        <f>Tabla19[[#This Row],[Importe]]-Tabla19[[#This Row],[Pagado]]</f>
        <v>0</v>
      </c>
      <c r="H892" s="75" t="s">
        <v>10</v>
      </c>
    </row>
    <row r="893" spans="1:8" x14ac:dyDescent="0.25">
      <c r="A893" s="148">
        <v>44783</v>
      </c>
      <c r="B893" s="149" t="s">
        <v>25569</v>
      </c>
      <c r="C893" s="153" t="s">
        <v>75</v>
      </c>
      <c r="D893" s="178">
        <v>4497.8999999999996</v>
      </c>
      <c r="E893" s="155">
        <v>44783</v>
      </c>
      <c r="F893" s="178">
        <v>4497.8999999999996</v>
      </c>
      <c r="G893" s="179">
        <f>Tabla19[[#This Row],[Importe]]-Tabla19[[#This Row],[Pagado]]</f>
        <v>0</v>
      </c>
      <c r="H893" s="153" t="s">
        <v>10</v>
      </c>
    </row>
    <row r="894" spans="1:8" x14ac:dyDescent="0.25">
      <c r="A894" s="73">
        <v>44783</v>
      </c>
      <c r="B894" s="74" t="s">
        <v>25570</v>
      </c>
      <c r="C894" s="75" t="s">
        <v>473</v>
      </c>
      <c r="D894" s="176">
        <v>6079.8</v>
      </c>
      <c r="E894" s="151">
        <v>44783</v>
      </c>
      <c r="F894" s="176">
        <v>6079.8</v>
      </c>
      <c r="G894" s="177">
        <f>Tabla19[[#This Row],[Importe]]-Tabla19[[#This Row],[Pagado]]</f>
        <v>0</v>
      </c>
      <c r="H894" s="75" t="s">
        <v>10</v>
      </c>
    </row>
    <row r="895" spans="1:8" x14ac:dyDescent="0.25">
      <c r="A895" s="148">
        <v>44783</v>
      </c>
      <c r="B895" s="149" t="s">
        <v>25571</v>
      </c>
      <c r="C895" s="153" t="s">
        <v>20</v>
      </c>
      <c r="D895" s="178">
        <v>2988</v>
      </c>
      <c r="E895" s="155">
        <v>44783</v>
      </c>
      <c r="F895" s="178">
        <v>2988</v>
      </c>
      <c r="G895" s="179">
        <f>Tabla19[[#This Row],[Importe]]-Tabla19[[#This Row],[Pagado]]</f>
        <v>0</v>
      </c>
      <c r="H895" s="153" t="s">
        <v>10</v>
      </c>
    </row>
    <row r="896" spans="1:8" x14ac:dyDescent="0.25">
      <c r="A896" s="73">
        <v>44783</v>
      </c>
      <c r="B896" s="74" t="s">
        <v>25572</v>
      </c>
      <c r="C896" s="75" t="s">
        <v>99</v>
      </c>
      <c r="D896" s="176">
        <v>3316.5</v>
      </c>
      <c r="E896" s="151">
        <v>44788</v>
      </c>
      <c r="F896" s="176">
        <v>3316.5</v>
      </c>
      <c r="G896" s="177">
        <f>Tabla19[[#This Row],[Importe]]-Tabla19[[#This Row],[Pagado]]</f>
        <v>0</v>
      </c>
      <c r="H896" s="75" t="s">
        <v>10</v>
      </c>
    </row>
    <row r="897" spans="1:8" x14ac:dyDescent="0.25">
      <c r="A897" s="148">
        <v>44783</v>
      </c>
      <c r="B897" s="149" t="s">
        <v>25573</v>
      </c>
      <c r="C897" s="153" t="s">
        <v>64</v>
      </c>
      <c r="D897" s="178">
        <v>5286.6</v>
      </c>
      <c r="E897" s="155">
        <v>44784</v>
      </c>
      <c r="F897" s="178">
        <v>5286.6</v>
      </c>
      <c r="G897" s="179">
        <f>Tabla19[[#This Row],[Importe]]-Tabla19[[#This Row],[Pagado]]</f>
        <v>0</v>
      </c>
      <c r="H897" s="153" t="s">
        <v>10</v>
      </c>
    </row>
    <row r="898" spans="1:8" x14ac:dyDescent="0.25">
      <c r="A898" s="73">
        <v>44783</v>
      </c>
      <c r="B898" s="74" t="s">
        <v>25574</v>
      </c>
      <c r="C898" s="75" t="s">
        <v>60</v>
      </c>
      <c r="D898" s="176">
        <v>4837.8</v>
      </c>
      <c r="E898" s="151">
        <v>44788</v>
      </c>
      <c r="F898" s="176">
        <v>4837.8</v>
      </c>
      <c r="G898" s="177">
        <f>Tabla19[[#This Row],[Importe]]-Tabla19[[#This Row],[Pagado]]</f>
        <v>0</v>
      </c>
      <c r="H898" s="75" t="s">
        <v>10</v>
      </c>
    </row>
    <row r="899" spans="1:8" x14ac:dyDescent="0.25">
      <c r="A899" s="148">
        <v>44783</v>
      </c>
      <c r="B899" s="149" t="s">
        <v>25575</v>
      </c>
      <c r="C899" s="153" t="s">
        <v>2563</v>
      </c>
      <c r="D899" s="178">
        <v>5220.6000000000004</v>
      </c>
      <c r="E899" s="155">
        <v>44784</v>
      </c>
      <c r="F899" s="178">
        <v>5220.6000000000004</v>
      </c>
      <c r="G899" s="179">
        <f>Tabla19[[#This Row],[Importe]]-Tabla19[[#This Row],[Pagado]]</f>
        <v>0</v>
      </c>
      <c r="H899" s="153" t="s">
        <v>10</v>
      </c>
    </row>
    <row r="900" spans="1:8" x14ac:dyDescent="0.25">
      <c r="A900" s="73">
        <v>44783</v>
      </c>
      <c r="B900" s="74" t="s">
        <v>25576</v>
      </c>
      <c r="C900" s="75" t="s">
        <v>89</v>
      </c>
      <c r="D900" s="176">
        <v>9862.4</v>
      </c>
      <c r="E900" s="151">
        <v>44784</v>
      </c>
      <c r="F900" s="176">
        <v>9862.4</v>
      </c>
      <c r="G900" s="177">
        <f>Tabla19[[#This Row],[Importe]]-Tabla19[[#This Row],[Pagado]]</f>
        <v>0</v>
      </c>
      <c r="H900" s="75" t="s">
        <v>10</v>
      </c>
    </row>
    <row r="901" spans="1:8" x14ac:dyDescent="0.25">
      <c r="A901" s="148">
        <v>44783</v>
      </c>
      <c r="B901" s="149" t="s">
        <v>25577</v>
      </c>
      <c r="C901" s="153" t="s">
        <v>2151</v>
      </c>
      <c r="D901" s="178">
        <v>18879.7</v>
      </c>
      <c r="E901" s="155">
        <v>44783</v>
      </c>
      <c r="F901" s="178">
        <v>18879.7</v>
      </c>
      <c r="G901" s="179">
        <f>Tabla19[[#This Row],[Importe]]-Tabla19[[#This Row],[Pagado]]</f>
        <v>0</v>
      </c>
      <c r="H901" s="153" t="s">
        <v>10</v>
      </c>
    </row>
    <row r="902" spans="1:8" x14ac:dyDescent="0.25">
      <c r="A902" s="73">
        <v>44783</v>
      </c>
      <c r="B902" s="74" t="s">
        <v>25578</v>
      </c>
      <c r="C902" s="75" t="s">
        <v>93</v>
      </c>
      <c r="D902" s="176">
        <v>6952</v>
      </c>
      <c r="E902" s="151">
        <v>44785</v>
      </c>
      <c r="F902" s="176">
        <v>6952</v>
      </c>
      <c r="G902" s="177">
        <f>Tabla19[[#This Row],[Importe]]-Tabla19[[#This Row],[Pagado]]</f>
        <v>0</v>
      </c>
      <c r="H902" s="75" t="s">
        <v>10</v>
      </c>
    </row>
    <row r="903" spans="1:8" x14ac:dyDescent="0.25">
      <c r="A903" s="148">
        <v>44783</v>
      </c>
      <c r="B903" s="149" t="s">
        <v>25579</v>
      </c>
      <c r="C903" s="153" t="s">
        <v>105</v>
      </c>
      <c r="D903" s="178">
        <v>16079.5</v>
      </c>
      <c r="E903" s="155">
        <v>44784</v>
      </c>
      <c r="F903" s="178">
        <v>16079.5</v>
      </c>
      <c r="G903" s="179">
        <f>Tabla19[[#This Row],[Importe]]-Tabla19[[#This Row],[Pagado]]</f>
        <v>0</v>
      </c>
      <c r="H903" s="153" t="s">
        <v>10</v>
      </c>
    </row>
    <row r="904" spans="1:8" x14ac:dyDescent="0.25">
      <c r="A904" s="73">
        <v>44783</v>
      </c>
      <c r="B904" s="74" t="s">
        <v>25580</v>
      </c>
      <c r="C904" s="75" t="s">
        <v>348</v>
      </c>
      <c r="D904" s="176">
        <v>6691.1</v>
      </c>
      <c r="E904" s="151">
        <v>44783</v>
      </c>
      <c r="F904" s="176">
        <v>6691.1</v>
      </c>
      <c r="G904" s="177">
        <f>Tabla19[[#This Row],[Importe]]-Tabla19[[#This Row],[Pagado]]</f>
        <v>0</v>
      </c>
      <c r="H904" s="75" t="s">
        <v>10</v>
      </c>
    </row>
    <row r="905" spans="1:8" x14ac:dyDescent="0.25">
      <c r="A905" s="148">
        <v>44783</v>
      </c>
      <c r="B905" s="149" t="s">
        <v>25581</v>
      </c>
      <c r="C905" s="153" t="s">
        <v>111</v>
      </c>
      <c r="D905" s="178">
        <v>5907.2</v>
      </c>
      <c r="E905" s="155">
        <v>44784</v>
      </c>
      <c r="F905" s="178">
        <v>5907.2</v>
      </c>
      <c r="G905" s="179">
        <f>Tabla19[[#This Row],[Importe]]-Tabla19[[#This Row],[Pagado]]</f>
        <v>0</v>
      </c>
      <c r="H905" s="153" t="s">
        <v>10</v>
      </c>
    </row>
    <row r="906" spans="1:8" x14ac:dyDescent="0.25">
      <c r="A906" s="73">
        <v>44783</v>
      </c>
      <c r="B906" s="74" t="s">
        <v>25582</v>
      </c>
      <c r="C906" s="75" t="s">
        <v>9</v>
      </c>
      <c r="D906" s="176">
        <v>6638.4</v>
      </c>
      <c r="E906" s="151">
        <v>44783</v>
      </c>
      <c r="F906" s="176">
        <v>6638.4</v>
      </c>
      <c r="G906" s="177">
        <f>Tabla19[[#This Row],[Importe]]-Tabla19[[#This Row],[Pagado]]</f>
        <v>0</v>
      </c>
      <c r="H906" s="75" t="s">
        <v>10</v>
      </c>
    </row>
    <row r="907" spans="1:8" x14ac:dyDescent="0.25">
      <c r="A907" s="148">
        <v>44783</v>
      </c>
      <c r="B907" s="149" t="s">
        <v>25583</v>
      </c>
      <c r="C907" s="153" t="s">
        <v>481</v>
      </c>
      <c r="D907" s="178">
        <v>1298.2</v>
      </c>
      <c r="E907" s="155">
        <v>44783</v>
      </c>
      <c r="F907" s="178">
        <v>1298.2</v>
      </c>
      <c r="G907" s="179">
        <f>Tabla19[[#This Row],[Importe]]-Tabla19[[#This Row],[Pagado]]</f>
        <v>0</v>
      </c>
      <c r="H907" s="153" t="s">
        <v>10</v>
      </c>
    </row>
    <row r="908" spans="1:8" x14ac:dyDescent="0.25">
      <c r="A908" s="73">
        <v>44783</v>
      </c>
      <c r="B908" s="74" t="s">
        <v>25584</v>
      </c>
      <c r="C908" s="75" t="s">
        <v>83</v>
      </c>
      <c r="D908" s="176">
        <v>5248</v>
      </c>
      <c r="E908" s="151">
        <v>44784</v>
      </c>
      <c r="F908" s="176">
        <v>5248</v>
      </c>
      <c r="G908" s="177">
        <f>Tabla19[[#This Row],[Importe]]-Tabla19[[#This Row],[Pagado]]</f>
        <v>0</v>
      </c>
      <c r="H908" s="75" t="s">
        <v>10</v>
      </c>
    </row>
    <row r="909" spans="1:8" ht="31.5" x14ac:dyDescent="0.25">
      <c r="A909" s="148">
        <v>44783</v>
      </c>
      <c r="B909" s="149" t="s">
        <v>25585</v>
      </c>
      <c r="C909" s="153" t="s">
        <v>22</v>
      </c>
      <c r="D909" s="178">
        <v>62569.7</v>
      </c>
      <c r="E909" s="150" t="s">
        <v>25586</v>
      </c>
      <c r="F909" s="178">
        <f>47000+15569.7</f>
        <v>62569.7</v>
      </c>
      <c r="G909" s="179">
        <f>Tabla19[[#This Row],[Importe]]-Tabla19[[#This Row],[Pagado]]</f>
        <v>0</v>
      </c>
      <c r="H909" s="153" t="s">
        <v>10</v>
      </c>
    </row>
    <row r="910" spans="1:8" x14ac:dyDescent="0.25">
      <c r="A910" s="73">
        <v>44783</v>
      </c>
      <c r="B910" s="74" t="s">
        <v>25587</v>
      </c>
      <c r="C910" s="75" t="s">
        <v>87</v>
      </c>
      <c r="D910" s="176">
        <v>3874.8</v>
      </c>
      <c r="E910" s="151">
        <v>44784</v>
      </c>
      <c r="F910" s="176">
        <v>3874.8</v>
      </c>
      <c r="G910" s="177">
        <f>Tabla19[[#This Row],[Importe]]-Tabla19[[#This Row],[Pagado]]</f>
        <v>0</v>
      </c>
      <c r="H910" s="75" t="s">
        <v>10</v>
      </c>
    </row>
    <row r="911" spans="1:8" x14ac:dyDescent="0.25">
      <c r="A911" s="148">
        <v>44783</v>
      </c>
      <c r="B911" s="149" t="s">
        <v>25588</v>
      </c>
      <c r="C911" s="153" t="s">
        <v>528</v>
      </c>
      <c r="D911" s="178">
        <v>42756</v>
      </c>
      <c r="E911" s="155">
        <v>44784</v>
      </c>
      <c r="F911" s="178">
        <v>42756</v>
      </c>
      <c r="G911" s="179">
        <f>Tabla19[[#This Row],[Importe]]-Tabla19[[#This Row],[Pagado]]</f>
        <v>0</v>
      </c>
      <c r="H911" s="153" t="s">
        <v>10</v>
      </c>
    </row>
    <row r="912" spans="1:8" x14ac:dyDescent="0.25">
      <c r="A912" s="73">
        <v>44783</v>
      </c>
      <c r="B912" s="74" t="s">
        <v>25589</v>
      </c>
      <c r="C912" s="75" t="s">
        <v>16</v>
      </c>
      <c r="D912" s="176">
        <v>5651.6</v>
      </c>
      <c r="E912" s="151">
        <v>44783</v>
      </c>
      <c r="F912" s="176">
        <v>5651.6</v>
      </c>
      <c r="G912" s="177">
        <f>Tabla19[[#This Row],[Importe]]-Tabla19[[#This Row],[Pagado]]</f>
        <v>0</v>
      </c>
      <c r="H912" s="75" t="s">
        <v>10</v>
      </c>
    </row>
    <row r="913" spans="1:8" x14ac:dyDescent="0.25">
      <c r="A913" s="148">
        <v>44783</v>
      </c>
      <c r="B913" s="149" t="s">
        <v>25590</v>
      </c>
      <c r="C913" s="153" t="s">
        <v>541</v>
      </c>
      <c r="D913" s="178">
        <v>13611.6</v>
      </c>
      <c r="E913" s="155">
        <v>44783</v>
      </c>
      <c r="F913" s="178">
        <v>13611.6</v>
      </c>
      <c r="G913" s="179">
        <f>Tabla19[[#This Row],[Importe]]-Tabla19[[#This Row],[Pagado]]</f>
        <v>0</v>
      </c>
      <c r="H913" s="153" t="s">
        <v>10</v>
      </c>
    </row>
    <row r="914" spans="1:8" ht="31.5" x14ac:dyDescent="0.25">
      <c r="A914" s="73">
        <v>44783</v>
      </c>
      <c r="B914" s="74" t="s">
        <v>25591</v>
      </c>
      <c r="C914" s="75" t="s">
        <v>592</v>
      </c>
      <c r="D914" s="176">
        <v>44368.3</v>
      </c>
      <c r="E914" s="147" t="s">
        <v>25592</v>
      </c>
      <c r="F914" s="176">
        <f>30000+14368.3</f>
        <v>44368.3</v>
      </c>
      <c r="G914" s="177">
        <f>Tabla19[[#This Row],[Importe]]-Tabla19[[#This Row],[Pagado]]</f>
        <v>0</v>
      </c>
      <c r="H914" s="75" t="s">
        <v>10</v>
      </c>
    </row>
    <row r="915" spans="1:8" x14ac:dyDescent="0.25">
      <c r="A915" s="148">
        <v>44783</v>
      </c>
      <c r="B915" s="149" t="s">
        <v>25593</v>
      </c>
      <c r="C915" s="153" t="s">
        <v>107</v>
      </c>
      <c r="D915" s="178">
        <v>11595.8</v>
      </c>
      <c r="E915" s="155">
        <v>44784</v>
      </c>
      <c r="F915" s="178">
        <v>11595.8</v>
      </c>
      <c r="G915" s="179">
        <f>Tabla19[[#This Row],[Importe]]-Tabla19[[#This Row],[Pagado]]</f>
        <v>0</v>
      </c>
      <c r="H915" s="153" t="s">
        <v>10</v>
      </c>
    </row>
    <row r="916" spans="1:8" x14ac:dyDescent="0.25">
      <c r="A916" s="73">
        <v>44783</v>
      </c>
      <c r="B916" s="74" t="s">
        <v>25594</v>
      </c>
      <c r="C916" s="75" t="s">
        <v>140</v>
      </c>
      <c r="D916" s="176">
        <v>2125</v>
      </c>
      <c r="E916" s="151">
        <v>44784</v>
      </c>
      <c r="F916" s="176">
        <v>2125</v>
      </c>
      <c r="G916" s="177">
        <f>Tabla19[[#This Row],[Importe]]-Tabla19[[#This Row],[Pagado]]</f>
        <v>0</v>
      </c>
      <c r="H916" s="75" t="s">
        <v>10</v>
      </c>
    </row>
    <row r="917" spans="1:8" x14ac:dyDescent="0.25">
      <c r="A917" s="148">
        <v>44783</v>
      </c>
      <c r="B917" s="149" t="s">
        <v>25595</v>
      </c>
      <c r="C917" s="153" t="s">
        <v>357</v>
      </c>
      <c r="D917" s="178">
        <v>961.5</v>
      </c>
      <c r="E917" s="155">
        <v>44784</v>
      </c>
      <c r="F917" s="178">
        <v>961.5</v>
      </c>
      <c r="G917" s="179">
        <f>Tabla19[[#This Row],[Importe]]-Tabla19[[#This Row],[Pagado]]</f>
        <v>0</v>
      </c>
      <c r="H917" s="153" t="s">
        <v>10</v>
      </c>
    </row>
    <row r="918" spans="1:8" x14ac:dyDescent="0.25">
      <c r="A918" s="73">
        <v>44783</v>
      </c>
      <c r="B918" s="74" t="s">
        <v>25596</v>
      </c>
      <c r="C918" s="75" t="s">
        <v>129</v>
      </c>
      <c r="D918" s="176">
        <v>6467.5</v>
      </c>
      <c r="E918" s="151">
        <v>44784</v>
      </c>
      <c r="F918" s="176">
        <v>6467.5</v>
      </c>
      <c r="G918" s="177">
        <f>Tabla19[[#This Row],[Importe]]-Tabla19[[#This Row],[Pagado]]</f>
        <v>0</v>
      </c>
      <c r="H918" s="75" t="s">
        <v>10</v>
      </c>
    </row>
    <row r="919" spans="1:8" x14ac:dyDescent="0.25">
      <c r="A919" s="148">
        <v>44783</v>
      </c>
      <c r="B919" s="149" t="s">
        <v>25597</v>
      </c>
      <c r="C919" s="153" t="s">
        <v>127</v>
      </c>
      <c r="D919" s="178">
        <v>5412.9</v>
      </c>
      <c r="E919" s="155">
        <v>44784</v>
      </c>
      <c r="F919" s="178">
        <v>5412.9</v>
      </c>
      <c r="G919" s="179">
        <f>Tabla19[[#This Row],[Importe]]-Tabla19[[#This Row],[Pagado]]</f>
        <v>0</v>
      </c>
      <c r="H919" s="153" t="s">
        <v>10</v>
      </c>
    </row>
    <row r="920" spans="1:8" x14ac:dyDescent="0.25">
      <c r="A920" s="73">
        <v>44783</v>
      </c>
      <c r="B920" s="74" t="s">
        <v>25598</v>
      </c>
      <c r="C920" s="75" t="s">
        <v>127</v>
      </c>
      <c r="D920" s="176">
        <v>722.5</v>
      </c>
      <c r="E920" s="151">
        <v>44784</v>
      </c>
      <c r="F920" s="176">
        <v>722.5</v>
      </c>
      <c r="G920" s="177">
        <f>Tabla19[[#This Row],[Importe]]-Tabla19[[#This Row],[Pagado]]</f>
        <v>0</v>
      </c>
      <c r="H920" s="75" t="s">
        <v>10</v>
      </c>
    </row>
    <row r="921" spans="1:8" x14ac:dyDescent="0.25">
      <c r="A921" s="148">
        <v>44783</v>
      </c>
      <c r="B921" s="149" t="s">
        <v>25599</v>
      </c>
      <c r="C921" s="153" t="s">
        <v>339</v>
      </c>
      <c r="D921" s="178">
        <v>663</v>
      </c>
      <c r="E921" s="155">
        <v>44784</v>
      </c>
      <c r="F921" s="178">
        <v>663</v>
      </c>
      <c r="G921" s="179">
        <f>Tabla19[[#This Row],[Importe]]-Tabla19[[#This Row],[Pagado]]</f>
        <v>0</v>
      </c>
      <c r="H921" s="153" t="s">
        <v>10</v>
      </c>
    </row>
    <row r="922" spans="1:8" x14ac:dyDescent="0.25">
      <c r="A922" s="73">
        <v>44783</v>
      </c>
      <c r="B922" s="74" t="s">
        <v>25600</v>
      </c>
      <c r="C922" s="75" t="s">
        <v>144</v>
      </c>
      <c r="D922" s="176">
        <v>4031.52</v>
      </c>
      <c r="E922" s="151">
        <v>44784</v>
      </c>
      <c r="F922" s="176">
        <v>4031.52</v>
      </c>
      <c r="G922" s="177">
        <f>Tabla19[[#This Row],[Importe]]-Tabla19[[#This Row],[Pagado]]</f>
        <v>0</v>
      </c>
      <c r="H922" s="75" t="s">
        <v>10</v>
      </c>
    </row>
    <row r="923" spans="1:8" x14ac:dyDescent="0.25">
      <c r="A923" s="148">
        <v>44783</v>
      </c>
      <c r="B923" s="149" t="s">
        <v>25601</v>
      </c>
      <c r="C923" s="153" t="s">
        <v>11033</v>
      </c>
      <c r="D923" s="178">
        <v>1856.5</v>
      </c>
      <c r="E923" s="155">
        <v>44783</v>
      </c>
      <c r="F923" s="178">
        <v>1856.5</v>
      </c>
      <c r="G923" s="179">
        <f>Tabla19[[#This Row],[Importe]]-Tabla19[[#This Row],[Pagado]]</f>
        <v>0</v>
      </c>
      <c r="H923" s="153" t="s">
        <v>10</v>
      </c>
    </row>
    <row r="924" spans="1:8" x14ac:dyDescent="0.25">
      <c r="A924" s="73">
        <v>44783</v>
      </c>
      <c r="B924" s="74" t="s">
        <v>25602</v>
      </c>
      <c r="C924" s="75" t="s">
        <v>9577</v>
      </c>
      <c r="D924" s="176">
        <v>26391.200000000001</v>
      </c>
      <c r="E924" s="151">
        <v>44784</v>
      </c>
      <c r="F924" s="176">
        <v>26391.200000000001</v>
      </c>
      <c r="G924" s="177">
        <f>Tabla19[[#This Row],[Importe]]-Tabla19[[#This Row],[Pagado]]</f>
        <v>0</v>
      </c>
      <c r="H924" s="75" t="s">
        <v>10</v>
      </c>
    </row>
    <row r="925" spans="1:8" x14ac:dyDescent="0.25">
      <c r="A925" s="148">
        <v>44783</v>
      </c>
      <c r="B925" s="149" t="s">
        <v>25603</v>
      </c>
      <c r="C925" s="153" t="s">
        <v>1644</v>
      </c>
      <c r="D925" s="178">
        <v>8618.4</v>
      </c>
      <c r="E925" s="155">
        <v>44784</v>
      </c>
      <c r="F925" s="178">
        <v>8618.4</v>
      </c>
      <c r="G925" s="179">
        <f>Tabla19[[#This Row],[Importe]]-Tabla19[[#This Row],[Pagado]]</f>
        <v>0</v>
      </c>
      <c r="H925" s="153" t="s">
        <v>10</v>
      </c>
    </row>
    <row r="926" spans="1:8" x14ac:dyDescent="0.25">
      <c r="A926" s="73">
        <v>44783</v>
      </c>
      <c r="B926" s="74" t="s">
        <v>25604</v>
      </c>
      <c r="C926" s="75" t="s">
        <v>214</v>
      </c>
      <c r="D926" s="176">
        <v>10399</v>
      </c>
      <c r="E926" s="151">
        <v>44784</v>
      </c>
      <c r="F926" s="176">
        <v>10399</v>
      </c>
      <c r="G926" s="177">
        <f>Tabla19[[#This Row],[Importe]]-Tabla19[[#This Row],[Pagado]]</f>
        <v>0</v>
      </c>
      <c r="H926" s="75" t="s">
        <v>10</v>
      </c>
    </row>
    <row r="927" spans="1:8" x14ac:dyDescent="0.25">
      <c r="A927" s="148">
        <v>44783</v>
      </c>
      <c r="B927" s="149" t="s">
        <v>25605</v>
      </c>
      <c r="C927" s="153" t="s">
        <v>45</v>
      </c>
      <c r="D927" s="178">
        <v>13214.8</v>
      </c>
      <c r="E927" s="155">
        <v>44783</v>
      </c>
      <c r="F927" s="178">
        <v>13214.8</v>
      </c>
      <c r="G927" s="179">
        <f>Tabla19[[#This Row],[Importe]]-Tabla19[[#This Row],[Pagado]]</f>
        <v>0</v>
      </c>
      <c r="H927" s="153" t="s">
        <v>10</v>
      </c>
    </row>
    <row r="928" spans="1:8" x14ac:dyDescent="0.25">
      <c r="A928" s="73">
        <v>44783</v>
      </c>
      <c r="B928" s="74" t="s">
        <v>25606</v>
      </c>
      <c r="C928" s="75" t="s">
        <v>31</v>
      </c>
      <c r="D928" s="176">
        <v>223379.1</v>
      </c>
      <c r="E928" s="151">
        <v>44783</v>
      </c>
      <c r="F928" s="176">
        <v>223379.1</v>
      </c>
      <c r="G928" s="177">
        <f>Tabla19[[#This Row],[Importe]]-Tabla19[[#This Row],[Pagado]]</f>
        <v>0</v>
      </c>
      <c r="H928" s="75" t="s">
        <v>10</v>
      </c>
    </row>
    <row r="929" spans="1:8" x14ac:dyDescent="0.25">
      <c r="A929" s="148">
        <v>44783</v>
      </c>
      <c r="B929" s="149" t="s">
        <v>25607</v>
      </c>
      <c r="C929" s="153" t="s">
        <v>1362</v>
      </c>
      <c r="D929" s="178">
        <v>4228.2</v>
      </c>
      <c r="E929" s="155">
        <v>44784</v>
      </c>
      <c r="F929" s="178">
        <v>4228.2</v>
      </c>
      <c r="G929" s="179">
        <f>Tabla19[[#This Row],[Importe]]-Tabla19[[#This Row],[Pagado]]</f>
        <v>0</v>
      </c>
      <c r="H929" s="153" t="s">
        <v>10</v>
      </c>
    </row>
    <row r="930" spans="1:8" x14ac:dyDescent="0.25">
      <c r="A930" s="73">
        <v>44783</v>
      </c>
      <c r="B930" s="74" t="s">
        <v>25608</v>
      </c>
      <c r="C930" s="75" t="s">
        <v>206</v>
      </c>
      <c r="D930" s="176">
        <v>20003.900000000001</v>
      </c>
      <c r="E930" s="151">
        <v>44787</v>
      </c>
      <c r="F930" s="176">
        <v>20003.900000000001</v>
      </c>
      <c r="G930" s="177">
        <f>Tabla19[[#This Row],[Importe]]-Tabla19[[#This Row],[Pagado]]</f>
        <v>0</v>
      </c>
      <c r="H930" s="75" t="s">
        <v>10</v>
      </c>
    </row>
    <row r="931" spans="1:8" x14ac:dyDescent="0.25">
      <c r="A931" s="148">
        <v>44783</v>
      </c>
      <c r="B931" s="149" t="s">
        <v>25609</v>
      </c>
      <c r="C931" s="153" t="s">
        <v>470</v>
      </c>
      <c r="D931" s="178">
        <v>17404.8</v>
      </c>
      <c r="E931" s="155">
        <v>44784</v>
      </c>
      <c r="F931" s="178">
        <v>17404.8</v>
      </c>
      <c r="G931" s="179">
        <f>Tabla19[[#This Row],[Importe]]-Tabla19[[#This Row],[Pagado]]</f>
        <v>0</v>
      </c>
      <c r="H931" s="153" t="s">
        <v>10</v>
      </c>
    </row>
    <row r="932" spans="1:8" x14ac:dyDescent="0.25">
      <c r="A932" s="73">
        <v>44783</v>
      </c>
      <c r="B932" s="74" t="s">
        <v>25610</v>
      </c>
      <c r="C932" s="75" t="s">
        <v>49</v>
      </c>
      <c r="D932" s="176">
        <v>3842</v>
      </c>
      <c r="E932" s="151">
        <v>44783</v>
      </c>
      <c r="F932" s="176">
        <v>3842</v>
      </c>
      <c r="G932" s="177">
        <f>Tabla19[[#This Row],[Importe]]-Tabla19[[#This Row],[Pagado]]</f>
        <v>0</v>
      </c>
      <c r="H932" s="75" t="s">
        <v>10</v>
      </c>
    </row>
    <row r="933" spans="1:8" x14ac:dyDescent="0.25">
      <c r="A933" s="148">
        <v>44783</v>
      </c>
      <c r="B933" s="149" t="s">
        <v>25611</v>
      </c>
      <c r="C933" s="153" t="s">
        <v>24</v>
      </c>
      <c r="D933" s="178">
        <v>4353</v>
      </c>
      <c r="E933" s="155">
        <v>44783</v>
      </c>
      <c r="F933" s="178">
        <v>4353</v>
      </c>
      <c r="G933" s="179">
        <f>Tabla19[[#This Row],[Importe]]-Tabla19[[#This Row],[Pagado]]</f>
        <v>0</v>
      </c>
      <c r="H933" s="153" t="s">
        <v>10</v>
      </c>
    </row>
    <row r="934" spans="1:8" x14ac:dyDescent="0.25">
      <c r="A934" s="73">
        <v>44783</v>
      </c>
      <c r="B934" s="74" t="s">
        <v>25612</v>
      </c>
      <c r="C934" s="75" t="s">
        <v>218</v>
      </c>
      <c r="D934" s="176">
        <v>15093.4</v>
      </c>
      <c r="E934" s="151">
        <v>44787</v>
      </c>
      <c r="F934" s="176">
        <v>15093.4</v>
      </c>
      <c r="G934" s="177">
        <f>Tabla19[[#This Row],[Importe]]-Tabla19[[#This Row],[Pagado]]</f>
        <v>0</v>
      </c>
      <c r="H934" s="75" t="s">
        <v>10</v>
      </c>
    </row>
    <row r="935" spans="1:8" x14ac:dyDescent="0.25">
      <c r="A935" s="148">
        <v>44783</v>
      </c>
      <c r="B935" s="149" t="s">
        <v>25613</v>
      </c>
      <c r="C935" s="153" t="s">
        <v>31</v>
      </c>
      <c r="D935" s="178">
        <v>18244.8</v>
      </c>
      <c r="E935" s="155">
        <v>44783</v>
      </c>
      <c r="F935" s="178">
        <v>18244.8</v>
      </c>
      <c r="G935" s="179">
        <f>Tabla19[[#This Row],[Importe]]-Tabla19[[#This Row],[Pagado]]</f>
        <v>0</v>
      </c>
      <c r="H935" s="153" t="s">
        <v>10</v>
      </c>
    </row>
    <row r="936" spans="1:8" x14ac:dyDescent="0.25">
      <c r="A936" s="73">
        <v>44783</v>
      </c>
      <c r="B936" s="74" t="s">
        <v>25614</v>
      </c>
      <c r="C936" s="75" t="s">
        <v>62</v>
      </c>
      <c r="D936" s="176">
        <v>4578.6000000000004</v>
      </c>
      <c r="E936" s="151">
        <v>44783</v>
      </c>
      <c r="F936" s="176">
        <v>4578.6000000000004</v>
      </c>
      <c r="G936" s="177">
        <f>Tabla19[[#This Row],[Importe]]-Tabla19[[#This Row],[Pagado]]</f>
        <v>0</v>
      </c>
      <c r="H936" s="75" t="s">
        <v>10</v>
      </c>
    </row>
    <row r="937" spans="1:8" x14ac:dyDescent="0.25">
      <c r="A937" s="148">
        <v>44783</v>
      </c>
      <c r="B937" s="149" t="s">
        <v>25615</v>
      </c>
      <c r="C937" s="153" t="s">
        <v>2240</v>
      </c>
      <c r="D937" s="178">
        <v>5252.52</v>
      </c>
      <c r="E937" s="155">
        <v>44783</v>
      </c>
      <c r="F937" s="178">
        <v>5252.52</v>
      </c>
      <c r="G937" s="179">
        <f>Tabla19[[#This Row],[Importe]]-Tabla19[[#This Row],[Pagado]]</f>
        <v>0</v>
      </c>
      <c r="H937" s="153" t="s">
        <v>10</v>
      </c>
    </row>
    <row r="938" spans="1:8" x14ac:dyDescent="0.25">
      <c r="A938" s="73">
        <v>44783</v>
      </c>
      <c r="B938" s="74" t="s">
        <v>25616</v>
      </c>
      <c r="C938" s="75" t="s">
        <v>249</v>
      </c>
      <c r="D938" s="176">
        <v>4956</v>
      </c>
      <c r="E938" s="151">
        <v>44783</v>
      </c>
      <c r="F938" s="176">
        <v>4956</v>
      </c>
      <c r="G938" s="177">
        <f>Tabla19[[#This Row],[Importe]]-Tabla19[[#This Row],[Pagado]]</f>
        <v>0</v>
      </c>
      <c r="H938" s="75" t="s">
        <v>10</v>
      </c>
    </row>
    <row r="939" spans="1:8" x14ac:dyDescent="0.25">
      <c r="A939" s="148">
        <v>44783</v>
      </c>
      <c r="B939" s="149" t="s">
        <v>25617</v>
      </c>
      <c r="C939" s="153" t="s">
        <v>146</v>
      </c>
      <c r="D939" s="178">
        <v>7017.6</v>
      </c>
      <c r="E939" s="155">
        <v>44784</v>
      </c>
      <c r="F939" s="178">
        <v>7017.6</v>
      </c>
      <c r="G939" s="179">
        <f>Tabla19[[#This Row],[Importe]]-Tabla19[[#This Row],[Pagado]]</f>
        <v>0</v>
      </c>
      <c r="H939" s="153" t="s">
        <v>10</v>
      </c>
    </row>
    <row r="940" spans="1:8" x14ac:dyDescent="0.25">
      <c r="A940" s="73">
        <v>44783</v>
      </c>
      <c r="B940" s="74" t="s">
        <v>25618</v>
      </c>
      <c r="C940" s="75" t="s">
        <v>212</v>
      </c>
      <c r="D940" s="176">
        <v>15384.6</v>
      </c>
      <c r="E940" s="151">
        <v>44787</v>
      </c>
      <c r="F940" s="176">
        <v>15384.6</v>
      </c>
      <c r="G940" s="177">
        <f>Tabla19[[#This Row],[Importe]]-Tabla19[[#This Row],[Pagado]]</f>
        <v>0</v>
      </c>
      <c r="H940" s="75" t="s">
        <v>10</v>
      </c>
    </row>
    <row r="941" spans="1:8" x14ac:dyDescent="0.25">
      <c r="A941" s="148">
        <v>44783</v>
      </c>
      <c r="B941" s="149" t="s">
        <v>25619</v>
      </c>
      <c r="C941" s="153" t="s">
        <v>56</v>
      </c>
      <c r="D941" s="178">
        <v>7439.4</v>
      </c>
      <c r="E941" s="155">
        <v>44783</v>
      </c>
      <c r="F941" s="178">
        <v>7439.4</v>
      </c>
      <c r="G941" s="179">
        <f>Tabla19[[#This Row],[Importe]]-Tabla19[[#This Row],[Pagado]]</f>
        <v>0</v>
      </c>
      <c r="H941" s="153" t="s">
        <v>10</v>
      </c>
    </row>
    <row r="942" spans="1:8" x14ac:dyDescent="0.25">
      <c r="A942" s="73">
        <v>44783</v>
      </c>
      <c r="B942" s="74" t="s">
        <v>25620</v>
      </c>
      <c r="C942" s="75" t="s">
        <v>31</v>
      </c>
      <c r="D942" s="176">
        <v>4107</v>
      </c>
      <c r="E942" s="151">
        <v>44783</v>
      </c>
      <c r="F942" s="176">
        <v>4107</v>
      </c>
      <c r="G942" s="177">
        <f>Tabla19[[#This Row],[Importe]]-Tabla19[[#This Row],[Pagado]]</f>
        <v>0</v>
      </c>
      <c r="H942" s="75" t="s">
        <v>10</v>
      </c>
    </row>
    <row r="943" spans="1:8" x14ac:dyDescent="0.25">
      <c r="A943" s="148">
        <v>44783</v>
      </c>
      <c r="B943" s="149" t="s">
        <v>25621</v>
      </c>
      <c r="C943" s="153" t="s">
        <v>31</v>
      </c>
      <c r="D943" s="178">
        <v>44793.7</v>
      </c>
      <c r="E943" s="155">
        <v>44783</v>
      </c>
      <c r="F943" s="178">
        <v>44793.7</v>
      </c>
      <c r="G943" s="179">
        <f>Tabla19[[#This Row],[Importe]]-Tabla19[[#This Row],[Pagado]]</f>
        <v>0</v>
      </c>
      <c r="H943" s="153" t="s">
        <v>10</v>
      </c>
    </row>
    <row r="944" spans="1:8" x14ac:dyDescent="0.25">
      <c r="A944" s="73">
        <v>44783</v>
      </c>
      <c r="B944" s="74" t="s">
        <v>25622</v>
      </c>
      <c r="C944" s="75" t="s">
        <v>196</v>
      </c>
      <c r="D944" s="176">
        <v>135477.76000000001</v>
      </c>
      <c r="E944" s="151">
        <v>44786</v>
      </c>
      <c r="F944" s="176">
        <v>135477.76000000001</v>
      </c>
      <c r="G944" s="177">
        <f>Tabla19[[#This Row],[Importe]]-Tabla19[[#This Row],[Pagado]]</f>
        <v>0</v>
      </c>
      <c r="H944" s="75" t="s">
        <v>10</v>
      </c>
    </row>
    <row r="945" spans="1:8" x14ac:dyDescent="0.25">
      <c r="A945" s="148">
        <v>44783</v>
      </c>
      <c r="B945" s="149" t="s">
        <v>25623</v>
      </c>
      <c r="C945" s="153" t="s">
        <v>843</v>
      </c>
      <c r="D945" s="178">
        <v>1717.1</v>
      </c>
      <c r="E945" s="155">
        <v>44783</v>
      </c>
      <c r="F945" s="178">
        <v>1717.1</v>
      </c>
      <c r="G945" s="179">
        <f>Tabla19[[#This Row],[Importe]]-Tabla19[[#This Row],[Pagado]]</f>
        <v>0</v>
      </c>
      <c r="H945" s="153" t="s">
        <v>10</v>
      </c>
    </row>
    <row r="946" spans="1:8" x14ac:dyDescent="0.25">
      <c r="A946" s="73">
        <v>44783</v>
      </c>
      <c r="B946" s="74" t="s">
        <v>25624</v>
      </c>
      <c r="C946" s="75" t="s">
        <v>154</v>
      </c>
      <c r="D946" s="176">
        <v>46120.7</v>
      </c>
      <c r="E946" s="151">
        <v>44788</v>
      </c>
      <c r="F946" s="176">
        <v>46120.7</v>
      </c>
      <c r="G946" s="177">
        <f>Tabla19[[#This Row],[Importe]]-Tabla19[[#This Row],[Pagado]]</f>
        <v>0</v>
      </c>
      <c r="H946" s="75" t="s">
        <v>10</v>
      </c>
    </row>
    <row r="947" spans="1:8" x14ac:dyDescent="0.25">
      <c r="A947" s="148">
        <v>44783</v>
      </c>
      <c r="B947" s="149" t="s">
        <v>25625</v>
      </c>
      <c r="C947" s="153" t="s">
        <v>10190</v>
      </c>
      <c r="D947" s="178">
        <v>22950.6</v>
      </c>
      <c r="E947" s="155">
        <v>44783</v>
      </c>
      <c r="F947" s="178">
        <v>22950.6</v>
      </c>
      <c r="G947" s="179">
        <f>Tabla19[[#This Row],[Importe]]-Tabla19[[#This Row],[Pagado]]</f>
        <v>0</v>
      </c>
      <c r="H947" s="153" t="s">
        <v>10</v>
      </c>
    </row>
    <row r="948" spans="1:8" x14ac:dyDescent="0.25">
      <c r="A948" s="73">
        <v>44783</v>
      </c>
      <c r="B948" s="74" t="s">
        <v>25626</v>
      </c>
      <c r="C948" s="75" t="s">
        <v>67</v>
      </c>
      <c r="D948" s="176">
        <v>2948.5</v>
      </c>
      <c r="E948" s="151">
        <v>44783</v>
      </c>
      <c r="F948" s="176">
        <v>2948.5</v>
      </c>
      <c r="G948" s="177">
        <f>Tabla19[[#This Row],[Importe]]-Tabla19[[#This Row],[Pagado]]</f>
        <v>0</v>
      </c>
      <c r="H948" s="75" t="s">
        <v>10</v>
      </c>
    </row>
    <row r="949" spans="1:8" x14ac:dyDescent="0.25">
      <c r="A949" s="148">
        <v>44783</v>
      </c>
      <c r="B949" s="149" t="s">
        <v>25627</v>
      </c>
      <c r="C949" s="153" t="s">
        <v>555</v>
      </c>
      <c r="D949" s="178">
        <v>17977.28</v>
      </c>
      <c r="E949" s="155">
        <v>44783</v>
      </c>
      <c r="F949" s="178">
        <v>17977.28</v>
      </c>
      <c r="G949" s="179">
        <f>Tabla19[[#This Row],[Importe]]-Tabla19[[#This Row],[Pagado]]</f>
        <v>0</v>
      </c>
      <c r="H949" s="153" t="s">
        <v>10</v>
      </c>
    </row>
    <row r="950" spans="1:8" x14ac:dyDescent="0.25">
      <c r="A950" s="73">
        <v>44783</v>
      </c>
      <c r="B950" s="74" t="s">
        <v>25628</v>
      </c>
      <c r="C950" s="75" t="s">
        <v>296</v>
      </c>
      <c r="D950" s="176">
        <v>1518.9</v>
      </c>
      <c r="E950" s="151">
        <v>44783</v>
      </c>
      <c r="F950" s="176">
        <v>1518.9</v>
      </c>
      <c r="G950" s="177">
        <f>Tabla19[[#This Row],[Importe]]-Tabla19[[#This Row],[Pagado]]</f>
        <v>0</v>
      </c>
      <c r="H950" s="75" t="s">
        <v>10</v>
      </c>
    </row>
    <row r="951" spans="1:8" x14ac:dyDescent="0.25">
      <c r="A951" s="148">
        <v>44783</v>
      </c>
      <c r="B951" s="149" t="s">
        <v>25629</v>
      </c>
      <c r="C951" s="153" t="s">
        <v>4136</v>
      </c>
      <c r="D951" s="178">
        <v>2075.3000000000002</v>
      </c>
      <c r="E951" s="155">
        <v>44783</v>
      </c>
      <c r="F951" s="178">
        <v>2075.3000000000002</v>
      </c>
      <c r="G951" s="179">
        <f>Tabla19[[#This Row],[Importe]]-Tabla19[[#This Row],[Pagado]]</f>
        <v>0</v>
      </c>
      <c r="H951" s="153" t="s">
        <v>10</v>
      </c>
    </row>
    <row r="952" spans="1:8" x14ac:dyDescent="0.25">
      <c r="A952" s="73">
        <v>44783</v>
      </c>
      <c r="B952" s="74" t="s">
        <v>25630</v>
      </c>
      <c r="C952" s="75" t="s">
        <v>196</v>
      </c>
      <c r="D952" s="176">
        <v>17886.400000000001</v>
      </c>
      <c r="E952" s="151">
        <v>44786</v>
      </c>
      <c r="F952" s="176">
        <v>17886.400000000001</v>
      </c>
      <c r="G952" s="177">
        <f>Tabla19[[#This Row],[Importe]]-Tabla19[[#This Row],[Pagado]]</f>
        <v>0</v>
      </c>
      <c r="H952" s="75" t="s">
        <v>10</v>
      </c>
    </row>
    <row r="953" spans="1:8" x14ac:dyDescent="0.25">
      <c r="A953" s="148">
        <v>44783</v>
      </c>
      <c r="B953" s="149" t="s">
        <v>25631</v>
      </c>
      <c r="C953" s="153" t="s">
        <v>31</v>
      </c>
      <c r="D953" s="178">
        <v>1327.2</v>
      </c>
      <c r="E953" s="155">
        <v>44783</v>
      </c>
      <c r="F953" s="178">
        <v>1327.2</v>
      </c>
      <c r="G953" s="179">
        <f>Tabla19[[#This Row],[Importe]]-Tabla19[[#This Row],[Pagado]]</f>
        <v>0</v>
      </c>
      <c r="H953" s="153" t="s">
        <v>10</v>
      </c>
    </row>
    <row r="954" spans="1:8" x14ac:dyDescent="0.25">
      <c r="A954" s="73">
        <v>44783</v>
      </c>
      <c r="B954" s="74" t="s">
        <v>25632</v>
      </c>
      <c r="C954" s="75" t="s">
        <v>53</v>
      </c>
      <c r="D954" s="176">
        <v>654.5</v>
      </c>
      <c r="E954" s="151">
        <v>44783</v>
      </c>
      <c r="F954" s="176">
        <v>654.5</v>
      </c>
      <c r="G954" s="177">
        <f>Tabla19[[#This Row],[Importe]]-Tabla19[[#This Row],[Pagado]]</f>
        <v>0</v>
      </c>
      <c r="H954" s="75" t="s">
        <v>10</v>
      </c>
    </row>
    <row r="955" spans="1:8" x14ac:dyDescent="0.25">
      <c r="A955" s="148">
        <v>44783</v>
      </c>
      <c r="B955" s="149" t="s">
        <v>25633</v>
      </c>
      <c r="C955" s="153" t="s">
        <v>9827</v>
      </c>
      <c r="D955" s="178">
        <v>3376.8</v>
      </c>
      <c r="E955" s="155">
        <v>44783</v>
      </c>
      <c r="F955" s="178">
        <v>3376.8</v>
      </c>
      <c r="G955" s="179">
        <f>Tabla19[[#This Row],[Importe]]-Tabla19[[#This Row],[Pagado]]</f>
        <v>0</v>
      </c>
      <c r="H955" s="153" t="s">
        <v>10</v>
      </c>
    </row>
    <row r="956" spans="1:8" ht="31.5" x14ac:dyDescent="0.25">
      <c r="A956" s="73">
        <v>44783</v>
      </c>
      <c r="B956" s="74" t="s">
        <v>25634</v>
      </c>
      <c r="C956" s="181" t="s">
        <v>5463</v>
      </c>
      <c r="D956" s="176">
        <v>0</v>
      </c>
      <c r="E956" s="157" t="s">
        <v>189</v>
      </c>
      <c r="F956" s="176">
        <v>0</v>
      </c>
      <c r="G956" s="177">
        <f>Tabla19[[#This Row],[Importe]]-Tabla19[[#This Row],[Pagado]]</f>
        <v>0</v>
      </c>
      <c r="H956" s="161" t="s">
        <v>25635</v>
      </c>
    </row>
    <row r="957" spans="1:8" x14ac:dyDescent="0.25">
      <c r="A957" s="148">
        <v>44783</v>
      </c>
      <c r="B957" s="149" t="s">
        <v>25636</v>
      </c>
      <c r="C957" s="153" t="s">
        <v>275</v>
      </c>
      <c r="D957" s="178">
        <v>99085.22</v>
      </c>
      <c r="E957" s="155">
        <v>44806</v>
      </c>
      <c r="F957" s="178">
        <v>99085.22</v>
      </c>
      <c r="G957" s="179">
        <f>Tabla19[[#This Row],[Importe]]-Tabla19[[#This Row],[Pagado]]</f>
        <v>0</v>
      </c>
      <c r="H957" s="153" t="s">
        <v>10</v>
      </c>
    </row>
    <row r="958" spans="1:8" x14ac:dyDescent="0.25">
      <c r="A958" s="73">
        <v>44783</v>
      </c>
      <c r="B958" s="74" t="s">
        <v>25637</v>
      </c>
      <c r="C958" s="75" t="s">
        <v>198</v>
      </c>
      <c r="D958" s="176">
        <v>6786.8</v>
      </c>
      <c r="E958" s="151">
        <v>44783</v>
      </c>
      <c r="F958" s="176">
        <v>6786.8</v>
      </c>
      <c r="G958" s="177">
        <f>Tabla19[[#This Row],[Importe]]-Tabla19[[#This Row],[Pagado]]</f>
        <v>0</v>
      </c>
      <c r="H958" s="75" t="s">
        <v>10</v>
      </c>
    </row>
    <row r="959" spans="1:8" x14ac:dyDescent="0.25">
      <c r="A959" s="148">
        <v>44783</v>
      </c>
      <c r="B959" s="149" t="s">
        <v>25638</v>
      </c>
      <c r="C959" s="153" t="s">
        <v>994</v>
      </c>
      <c r="D959" s="178">
        <v>1680</v>
      </c>
      <c r="E959" s="155">
        <v>44783</v>
      </c>
      <c r="F959" s="178">
        <v>1680</v>
      </c>
      <c r="G959" s="179">
        <f>Tabla19[[#This Row],[Importe]]-Tabla19[[#This Row],[Pagado]]</f>
        <v>0</v>
      </c>
      <c r="H959" s="153" t="s">
        <v>10</v>
      </c>
    </row>
    <row r="960" spans="1:8" x14ac:dyDescent="0.25">
      <c r="A960" s="73">
        <v>44783</v>
      </c>
      <c r="B960" s="74" t="s">
        <v>25639</v>
      </c>
      <c r="C960" s="75" t="s">
        <v>179</v>
      </c>
      <c r="D960" s="176">
        <v>1948.8</v>
      </c>
      <c r="E960" s="151">
        <v>44783</v>
      </c>
      <c r="F960" s="176">
        <v>1948.8</v>
      </c>
      <c r="G960" s="177">
        <f>Tabla19[[#This Row],[Importe]]-Tabla19[[#This Row],[Pagado]]</f>
        <v>0</v>
      </c>
      <c r="H960" s="75" t="s">
        <v>10</v>
      </c>
    </row>
    <row r="961" spans="1:8" x14ac:dyDescent="0.25">
      <c r="A961" s="148">
        <v>44783</v>
      </c>
      <c r="B961" s="149" t="s">
        <v>25640</v>
      </c>
      <c r="C961" s="153" t="s">
        <v>1350</v>
      </c>
      <c r="D961" s="178">
        <v>1083.4000000000001</v>
      </c>
      <c r="E961" s="155">
        <v>44783</v>
      </c>
      <c r="F961" s="178">
        <v>1083.4000000000001</v>
      </c>
      <c r="G961" s="179">
        <f>Tabla19[[#This Row],[Importe]]-Tabla19[[#This Row],[Pagado]]</f>
        <v>0</v>
      </c>
      <c r="H961" s="153" t="s">
        <v>10</v>
      </c>
    </row>
    <row r="962" spans="1:8" x14ac:dyDescent="0.25">
      <c r="A962" s="73">
        <v>44783</v>
      </c>
      <c r="B962" s="74" t="s">
        <v>25641</v>
      </c>
      <c r="C962" s="75" t="s">
        <v>181</v>
      </c>
      <c r="D962" s="176">
        <v>14821.5</v>
      </c>
      <c r="E962" s="151">
        <v>44783</v>
      </c>
      <c r="F962" s="176">
        <v>14821.5</v>
      </c>
      <c r="G962" s="177">
        <f>Tabla19[[#This Row],[Importe]]-Tabla19[[#This Row],[Pagado]]</f>
        <v>0</v>
      </c>
      <c r="H962" s="75" t="s">
        <v>10</v>
      </c>
    </row>
    <row r="963" spans="1:8" x14ac:dyDescent="0.25">
      <c r="A963" s="148">
        <v>44783</v>
      </c>
      <c r="B963" s="149" t="s">
        <v>25642</v>
      </c>
      <c r="C963" s="153" t="s">
        <v>142</v>
      </c>
      <c r="D963" s="178">
        <v>21000.400000000001</v>
      </c>
      <c r="E963" s="155">
        <v>44837</v>
      </c>
      <c r="F963" s="178">
        <v>21000.400000000001</v>
      </c>
      <c r="G963" s="179">
        <f>Tabla19[[#This Row],[Importe]]-Tabla19[[#This Row],[Pagado]]</f>
        <v>0</v>
      </c>
      <c r="H963" s="153" t="s">
        <v>10</v>
      </c>
    </row>
    <row r="964" spans="1:8" x14ac:dyDescent="0.25">
      <c r="A964" s="73">
        <v>44783</v>
      </c>
      <c r="B964" s="74" t="s">
        <v>25643</v>
      </c>
      <c r="C964" s="75" t="s">
        <v>409</v>
      </c>
      <c r="D964" s="176">
        <v>6525</v>
      </c>
      <c r="E964" s="151">
        <v>44786</v>
      </c>
      <c r="F964" s="176">
        <v>6525</v>
      </c>
      <c r="G964" s="177">
        <f>Tabla19[[#This Row],[Importe]]-Tabla19[[#This Row],[Pagado]]</f>
        <v>0</v>
      </c>
      <c r="H964" s="75" t="s">
        <v>10</v>
      </c>
    </row>
    <row r="965" spans="1:8" x14ac:dyDescent="0.25">
      <c r="A965" s="148">
        <v>44783</v>
      </c>
      <c r="B965" s="149" t="s">
        <v>25644</v>
      </c>
      <c r="C965" s="153" t="s">
        <v>698</v>
      </c>
      <c r="D965" s="178">
        <v>8212.7999999999993</v>
      </c>
      <c r="E965" s="155">
        <v>44783</v>
      </c>
      <c r="F965" s="178">
        <v>8212.7999999999993</v>
      </c>
      <c r="G965" s="179">
        <f>Tabla19[[#This Row],[Importe]]-Tabla19[[#This Row],[Pagado]]</f>
        <v>0</v>
      </c>
      <c r="H965" s="153" t="s">
        <v>10</v>
      </c>
    </row>
    <row r="966" spans="1:8" x14ac:dyDescent="0.25">
      <c r="A966" s="73">
        <v>44783</v>
      </c>
      <c r="B966" s="74" t="s">
        <v>25645</v>
      </c>
      <c r="C966" s="75" t="s">
        <v>857</v>
      </c>
      <c r="D966" s="176">
        <v>504</v>
      </c>
      <c r="E966" s="151">
        <v>44783</v>
      </c>
      <c r="F966" s="176">
        <v>504</v>
      </c>
      <c r="G966" s="177">
        <f>Tabla19[[#This Row],[Importe]]-Tabla19[[#This Row],[Pagado]]</f>
        <v>0</v>
      </c>
      <c r="H966" s="75" t="s">
        <v>10</v>
      </c>
    </row>
    <row r="967" spans="1:8" x14ac:dyDescent="0.25">
      <c r="A967" s="148">
        <v>44783</v>
      </c>
      <c r="B967" s="149" t="s">
        <v>25646</v>
      </c>
      <c r="C967" s="153" t="s">
        <v>1174</v>
      </c>
      <c r="D967" s="178">
        <v>17057.599999999999</v>
      </c>
      <c r="E967" s="155">
        <v>44783</v>
      </c>
      <c r="F967" s="178">
        <v>17057.599999999999</v>
      </c>
      <c r="G967" s="179">
        <f>Tabla19[[#This Row],[Importe]]-Tabla19[[#This Row],[Pagado]]</f>
        <v>0</v>
      </c>
      <c r="H967" s="153" t="s">
        <v>10</v>
      </c>
    </row>
    <row r="968" spans="1:8" x14ac:dyDescent="0.25">
      <c r="A968" s="73">
        <v>44783</v>
      </c>
      <c r="B968" s="74" t="s">
        <v>25647</v>
      </c>
      <c r="C968" s="75" t="s">
        <v>31</v>
      </c>
      <c r="D968" s="176">
        <v>1568</v>
      </c>
      <c r="E968" s="151">
        <v>44783</v>
      </c>
      <c r="F968" s="176">
        <v>1568</v>
      </c>
      <c r="G968" s="177">
        <f>Tabla19[[#This Row],[Importe]]-Tabla19[[#This Row],[Pagado]]</f>
        <v>0</v>
      </c>
      <c r="H968" s="75" t="s">
        <v>10</v>
      </c>
    </row>
    <row r="969" spans="1:8" ht="31.5" x14ac:dyDescent="0.25">
      <c r="A969" s="148">
        <v>44783</v>
      </c>
      <c r="B969" s="149" t="s">
        <v>25648</v>
      </c>
      <c r="C969" s="160" t="s">
        <v>17856</v>
      </c>
      <c r="D969" s="178">
        <v>0</v>
      </c>
      <c r="E969" s="158" t="s">
        <v>189</v>
      </c>
      <c r="F969" s="178">
        <v>0</v>
      </c>
      <c r="G969" s="179">
        <f>Tabla19[[#This Row],[Importe]]-Tabla19[[#This Row],[Pagado]]</f>
        <v>0</v>
      </c>
      <c r="H969" s="159" t="s">
        <v>25649</v>
      </c>
    </row>
    <row r="970" spans="1:8" x14ac:dyDescent="0.25">
      <c r="A970" s="73">
        <v>44783</v>
      </c>
      <c r="B970" s="74" t="s">
        <v>25650</v>
      </c>
      <c r="C970" s="75" t="s">
        <v>396</v>
      </c>
      <c r="D970" s="176">
        <v>10776.2</v>
      </c>
      <c r="E970" s="151">
        <v>44789</v>
      </c>
      <c r="F970" s="176">
        <v>10776.2</v>
      </c>
      <c r="G970" s="177">
        <f>Tabla19[[#This Row],[Importe]]-Tabla19[[#This Row],[Pagado]]</f>
        <v>0</v>
      </c>
      <c r="H970" s="75" t="s">
        <v>10</v>
      </c>
    </row>
    <row r="971" spans="1:8" x14ac:dyDescent="0.25">
      <c r="A971" s="148">
        <v>44783</v>
      </c>
      <c r="B971" s="149" t="s">
        <v>25651</v>
      </c>
      <c r="C971" s="153" t="s">
        <v>371</v>
      </c>
      <c r="D971" s="178">
        <v>4926</v>
      </c>
      <c r="E971" s="155">
        <v>44784</v>
      </c>
      <c r="F971" s="178">
        <v>4926</v>
      </c>
      <c r="G971" s="179">
        <f>Tabla19[[#This Row],[Importe]]-Tabla19[[#This Row],[Pagado]]</f>
        <v>0</v>
      </c>
      <c r="H971" s="153" t="s">
        <v>10</v>
      </c>
    </row>
    <row r="972" spans="1:8" x14ac:dyDescent="0.25">
      <c r="A972" s="73">
        <v>44783</v>
      </c>
      <c r="B972" s="74" t="s">
        <v>25652</v>
      </c>
      <c r="C972" s="75" t="s">
        <v>296</v>
      </c>
      <c r="D972" s="176">
        <v>4356.2</v>
      </c>
      <c r="E972" s="151">
        <v>44783</v>
      </c>
      <c r="F972" s="176">
        <v>4356.2</v>
      </c>
      <c r="G972" s="177">
        <f>Tabla19[[#This Row],[Importe]]-Tabla19[[#This Row],[Pagado]]</f>
        <v>0</v>
      </c>
      <c r="H972" s="75" t="s">
        <v>10</v>
      </c>
    </row>
    <row r="973" spans="1:8" x14ac:dyDescent="0.25">
      <c r="A973" s="148">
        <v>44783</v>
      </c>
      <c r="B973" s="149" t="s">
        <v>25653</v>
      </c>
      <c r="C973" s="153" t="s">
        <v>1421</v>
      </c>
      <c r="D973" s="178">
        <v>28050.400000000001</v>
      </c>
      <c r="E973" s="155">
        <v>44783</v>
      </c>
      <c r="F973" s="178">
        <v>28050.400000000001</v>
      </c>
      <c r="G973" s="179">
        <f>Tabla19[[#This Row],[Importe]]-Tabla19[[#This Row],[Pagado]]</f>
        <v>0</v>
      </c>
      <c r="H973" s="153" t="s">
        <v>10</v>
      </c>
    </row>
    <row r="974" spans="1:8" x14ac:dyDescent="0.25">
      <c r="A974" s="73">
        <v>44783</v>
      </c>
      <c r="B974" s="74" t="s">
        <v>25654</v>
      </c>
      <c r="C974" s="75" t="s">
        <v>1008</v>
      </c>
      <c r="D974" s="176">
        <v>545.20000000000005</v>
      </c>
      <c r="E974" s="151">
        <v>44783</v>
      </c>
      <c r="F974" s="176">
        <v>545.20000000000005</v>
      </c>
      <c r="G974" s="177">
        <f>Tabla19[[#This Row],[Importe]]-Tabla19[[#This Row],[Pagado]]</f>
        <v>0</v>
      </c>
      <c r="H974" s="75" t="s">
        <v>10</v>
      </c>
    </row>
    <row r="975" spans="1:8" x14ac:dyDescent="0.25">
      <c r="A975" s="148">
        <v>44783</v>
      </c>
      <c r="B975" s="149" t="s">
        <v>25655</v>
      </c>
      <c r="C975" s="153" t="s">
        <v>135</v>
      </c>
      <c r="D975" s="178">
        <v>1639.5</v>
      </c>
      <c r="E975" s="155">
        <v>44783</v>
      </c>
      <c r="F975" s="178">
        <v>1639.5</v>
      </c>
      <c r="G975" s="179">
        <f>Tabla19[[#This Row],[Importe]]-Tabla19[[#This Row],[Pagado]]</f>
        <v>0</v>
      </c>
      <c r="H975" s="153" t="s">
        <v>10</v>
      </c>
    </row>
    <row r="976" spans="1:8" x14ac:dyDescent="0.25">
      <c r="A976" s="73">
        <v>44783</v>
      </c>
      <c r="B976" s="74" t="s">
        <v>25656</v>
      </c>
      <c r="C976" s="75" t="s">
        <v>71</v>
      </c>
      <c r="D976" s="176">
        <v>2706</v>
      </c>
      <c r="E976" s="151">
        <v>44783</v>
      </c>
      <c r="F976" s="176">
        <v>2706</v>
      </c>
      <c r="G976" s="177">
        <f>Tabla19[[#This Row],[Importe]]-Tabla19[[#This Row],[Pagado]]</f>
        <v>0</v>
      </c>
      <c r="H976" s="75" t="s">
        <v>10</v>
      </c>
    </row>
    <row r="977" spans="1:8" x14ac:dyDescent="0.25">
      <c r="A977" s="148">
        <v>44783</v>
      </c>
      <c r="B977" s="149" t="s">
        <v>25657</v>
      </c>
      <c r="C977" s="153" t="s">
        <v>25658</v>
      </c>
      <c r="D977" s="178">
        <v>0</v>
      </c>
      <c r="E977" s="158" t="s">
        <v>189</v>
      </c>
      <c r="F977" s="178">
        <v>0</v>
      </c>
      <c r="G977" s="179">
        <f>Tabla19[[#This Row],[Importe]]-Tabla19[[#This Row],[Pagado]]</f>
        <v>0</v>
      </c>
      <c r="H977" s="159" t="s">
        <v>25659</v>
      </c>
    </row>
    <row r="978" spans="1:8" x14ac:dyDescent="0.25">
      <c r="A978" s="73">
        <v>44783</v>
      </c>
      <c r="B978" s="74" t="s">
        <v>25660</v>
      </c>
      <c r="C978" s="75" t="s">
        <v>5694</v>
      </c>
      <c r="D978" s="176">
        <v>4788</v>
      </c>
      <c r="E978" s="151">
        <v>44783</v>
      </c>
      <c r="F978" s="176">
        <v>4788</v>
      </c>
      <c r="G978" s="177">
        <f>Tabla19[[#This Row],[Importe]]-Tabla19[[#This Row],[Pagado]]</f>
        <v>0</v>
      </c>
      <c r="H978" s="75" t="s">
        <v>10</v>
      </c>
    </row>
    <row r="979" spans="1:8" x14ac:dyDescent="0.25">
      <c r="A979" s="148">
        <v>44783</v>
      </c>
      <c r="B979" s="149" t="s">
        <v>25661</v>
      </c>
      <c r="C979" s="153" t="s">
        <v>459</v>
      </c>
      <c r="D979" s="178">
        <v>168</v>
      </c>
      <c r="E979" s="155">
        <v>44783</v>
      </c>
      <c r="F979" s="178">
        <v>168</v>
      </c>
      <c r="G979" s="179">
        <f>Tabla19[[#This Row],[Importe]]-Tabla19[[#This Row],[Pagado]]</f>
        <v>0</v>
      </c>
      <c r="H979" s="153" t="s">
        <v>10</v>
      </c>
    </row>
    <row r="980" spans="1:8" x14ac:dyDescent="0.25">
      <c r="A980" s="73">
        <v>44783</v>
      </c>
      <c r="B980" s="74" t="s">
        <v>25662</v>
      </c>
      <c r="C980" s="75" t="s">
        <v>31</v>
      </c>
      <c r="D980" s="176">
        <v>682.5</v>
      </c>
      <c r="E980" s="151">
        <v>44783</v>
      </c>
      <c r="F980" s="176">
        <v>682.5</v>
      </c>
      <c r="G980" s="177">
        <f>Tabla19[[#This Row],[Importe]]-Tabla19[[#This Row],[Pagado]]</f>
        <v>0</v>
      </c>
      <c r="H980" s="75" t="s">
        <v>10</v>
      </c>
    </row>
    <row r="981" spans="1:8" x14ac:dyDescent="0.25">
      <c r="A981" s="148">
        <v>44783</v>
      </c>
      <c r="B981" s="149" t="s">
        <v>25663</v>
      </c>
      <c r="C981" s="153" t="s">
        <v>296</v>
      </c>
      <c r="D981" s="178">
        <v>950.6</v>
      </c>
      <c r="E981" s="155">
        <v>44783</v>
      </c>
      <c r="F981" s="178">
        <v>950.6</v>
      </c>
      <c r="G981" s="179">
        <f>Tabla19[[#This Row],[Importe]]-Tabla19[[#This Row],[Pagado]]</f>
        <v>0</v>
      </c>
      <c r="H981" s="153" t="s">
        <v>10</v>
      </c>
    </row>
    <row r="982" spans="1:8" x14ac:dyDescent="0.25">
      <c r="A982" s="73">
        <v>44783</v>
      </c>
      <c r="B982" s="74" t="s">
        <v>25664</v>
      </c>
      <c r="C982" s="75" t="s">
        <v>5694</v>
      </c>
      <c r="D982" s="176">
        <v>3540</v>
      </c>
      <c r="E982" s="151">
        <v>44783</v>
      </c>
      <c r="F982" s="176">
        <v>3540</v>
      </c>
      <c r="G982" s="177">
        <f>Tabla19[[#This Row],[Importe]]-Tabla19[[#This Row],[Pagado]]</f>
        <v>0</v>
      </c>
      <c r="H982" s="75" t="s">
        <v>10</v>
      </c>
    </row>
    <row r="983" spans="1:8" x14ac:dyDescent="0.25">
      <c r="A983" s="148">
        <v>44783</v>
      </c>
      <c r="B983" s="149" t="s">
        <v>25665</v>
      </c>
      <c r="C983" s="153" t="s">
        <v>31</v>
      </c>
      <c r="D983" s="178">
        <v>50</v>
      </c>
      <c r="E983" s="155">
        <v>44783</v>
      </c>
      <c r="F983" s="178">
        <v>50</v>
      </c>
      <c r="G983" s="179">
        <f>Tabla19[[#This Row],[Importe]]-Tabla19[[#This Row],[Pagado]]</f>
        <v>0</v>
      </c>
      <c r="H983" s="153" t="s">
        <v>10</v>
      </c>
    </row>
    <row r="984" spans="1:8" x14ac:dyDescent="0.25">
      <c r="A984" s="73">
        <v>44783</v>
      </c>
      <c r="B984" s="74" t="s">
        <v>25666</v>
      </c>
      <c r="C984" s="75" t="s">
        <v>31</v>
      </c>
      <c r="D984" s="176">
        <v>2172</v>
      </c>
      <c r="E984" s="151">
        <v>44783</v>
      </c>
      <c r="F984" s="176">
        <v>2172</v>
      </c>
      <c r="G984" s="177">
        <f>Tabla19[[#This Row],[Importe]]-Tabla19[[#This Row],[Pagado]]</f>
        <v>0</v>
      </c>
      <c r="H984" s="75" t="s">
        <v>10</v>
      </c>
    </row>
    <row r="985" spans="1:8" x14ac:dyDescent="0.25">
      <c r="A985" s="148">
        <v>44783</v>
      </c>
      <c r="B985" s="149" t="s">
        <v>25667</v>
      </c>
      <c r="C985" s="153" t="s">
        <v>56</v>
      </c>
      <c r="D985" s="178">
        <v>3885.9</v>
      </c>
      <c r="E985" s="155">
        <v>44783</v>
      </c>
      <c r="F985" s="178">
        <v>3885.9</v>
      </c>
      <c r="G985" s="179">
        <f>Tabla19[[#This Row],[Importe]]-Tabla19[[#This Row],[Pagado]]</f>
        <v>0</v>
      </c>
      <c r="H985" s="153" t="s">
        <v>10</v>
      </c>
    </row>
    <row r="986" spans="1:8" x14ac:dyDescent="0.25">
      <c r="A986" s="73">
        <v>44783</v>
      </c>
      <c r="B986" s="74" t="s">
        <v>25668</v>
      </c>
      <c r="C986" s="75" t="s">
        <v>610</v>
      </c>
      <c r="D986" s="176">
        <v>28934</v>
      </c>
      <c r="E986" s="151">
        <v>44783</v>
      </c>
      <c r="F986" s="176">
        <v>28934</v>
      </c>
      <c r="G986" s="177">
        <f>Tabla19[[#This Row],[Importe]]-Tabla19[[#This Row],[Pagado]]</f>
        <v>0</v>
      </c>
      <c r="H986" s="75" t="s">
        <v>10</v>
      </c>
    </row>
    <row r="987" spans="1:8" x14ac:dyDescent="0.25">
      <c r="A987" s="148">
        <v>44783</v>
      </c>
      <c r="B987" s="149" t="s">
        <v>25669</v>
      </c>
      <c r="C987" s="153" t="s">
        <v>95</v>
      </c>
      <c r="D987" s="178">
        <v>30435.7</v>
      </c>
      <c r="E987" s="155">
        <v>44783</v>
      </c>
      <c r="F987" s="178">
        <v>30435.7</v>
      </c>
      <c r="G987" s="179">
        <f>Tabla19[[#This Row],[Importe]]-Tabla19[[#This Row],[Pagado]]</f>
        <v>0</v>
      </c>
      <c r="H987" s="153" t="s">
        <v>10</v>
      </c>
    </row>
    <row r="988" spans="1:8" x14ac:dyDescent="0.25">
      <c r="A988" s="73">
        <v>44783</v>
      </c>
      <c r="B988" s="74" t="s">
        <v>25670</v>
      </c>
      <c r="C988" s="75" t="s">
        <v>10819</v>
      </c>
      <c r="D988" s="176">
        <v>1743.2</v>
      </c>
      <c r="E988" s="151">
        <v>44784</v>
      </c>
      <c r="F988" s="176">
        <v>1743.2</v>
      </c>
      <c r="G988" s="177">
        <f>Tabla19[[#This Row],[Importe]]-Tabla19[[#This Row],[Pagado]]</f>
        <v>0</v>
      </c>
      <c r="H988" s="75" t="s">
        <v>10</v>
      </c>
    </row>
    <row r="989" spans="1:8" x14ac:dyDescent="0.25">
      <c r="A989" s="148">
        <v>44783</v>
      </c>
      <c r="B989" s="149" t="s">
        <v>25671</v>
      </c>
      <c r="C989" s="153" t="s">
        <v>5345</v>
      </c>
      <c r="D989" s="178">
        <v>4143.6000000000004</v>
      </c>
      <c r="E989" s="155">
        <v>44784</v>
      </c>
      <c r="F989" s="178">
        <v>4143.6000000000004</v>
      </c>
      <c r="G989" s="179">
        <f>Tabla19[[#This Row],[Importe]]-Tabla19[[#This Row],[Pagado]]</f>
        <v>0</v>
      </c>
      <c r="H989" s="153" t="s">
        <v>10</v>
      </c>
    </row>
    <row r="990" spans="1:8" x14ac:dyDescent="0.25">
      <c r="A990" s="73">
        <v>44783</v>
      </c>
      <c r="B990" s="74" t="s">
        <v>25672</v>
      </c>
      <c r="C990" s="75" t="s">
        <v>280</v>
      </c>
      <c r="D990" s="176">
        <v>814.8</v>
      </c>
      <c r="E990" s="151">
        <v>44784</v>
      </c>
      <c r="F990" s="176">
        <v>814.8</v>
      </c>
      <c r="G990" s="177">
        <f>Tabla19[[#This Row],[Importe]]-Tabla19[[#This Row],[Pagado]]</f>
        <v>0</v>
      </c>
      <c r="H990" s="75" t="s">
        <v>10</v>
      </c>
    </row>
    <row r="991" spans="1:8" x14ac:dyDescent="0.25">
      <c r="A991" s="148">
        <v>44783</v>
      </c>
      <c r="B991" s="149" t="s">
        <v>25673</v>
      </c>
      <c r="C991" s="153" t="s">
        <v>284</v>
      </c>
      <c r="D991" s="178">
        <v>8458.7999999999993</v>
      </c>
      <c r="E991" s="155">
        <v>44784</v>
      </c>
      <c r="F991" s="178">
        <v>8458.7999999999993</v>
      </c>
      <c r="G991" s="179">
        <f>Tabla19[[#This Row],[Importe]]-Tabla19[[#This Row],[Pagado]]</f>
        <v>0</v>
      </c>
      <c r="H991" s="153" t="s">
        <v>10</v>
      </c>
    </row>
    <row r="992" spans="1:8" x14ac:dyDescent="0.25">
      <c r="A992" s="73">
        <v>44783</v>
      </c>
      <c r="B992" s="74" t="s">
        <v>25674</v>
      </c>
      <c r="C992" s="75" t="s">
        <v>282</v>
      </c>
      <c r="D992" s="176">
        <v>1881.6</v>
      </c>
      <c r="E992" s="151">
        <v>44784</v>
      </c>
      <c r="F992" s="176">
        <v>1881.6</v>
      </c>
      <c r="G992" s="177">
        <f>Tabla19[[#This Row],[Importe]]-Tabla19[[#This Row],[Pagado]]</f>
        <v>0</v>
      </c>
      <c r="H992" s="75" t="s">
        <v>10</v>
      </c>
    </row>
    <row r="993" spans="1:8" x14ac:dyDescent="0.25">
      <c r="A993" s="148">
        <v>44783</v>
      </c>
      <c r="B993" s="149" t="s">
        <v>25675</v>
      </c>
      <c r="C993" s="153" t="s">
        <v>12</v>
      </c>
      <c r="D993" s="178">
        <v>1432</v>
      </c>
      <c r="E993" s="155">
        <v>44784</v>
      </c>
      <c r="F993" s="178">
        <v>1432</v>
      </c>
      <c r="G993" s="179">
        <f>Tabla19[[#This Row],[Importe]]-Tabla19[[#This Row],[Pagado]]</f>
        <v>0</v>
      </c>
      <c r="H993" s="153" t="s">
        <v>10</v>
      </c>
    </row>
    <row r="994" spans="1:8" x14ac:dyDescent="0.25">
      <c r="A994" s="73">
        <v>44783</v>
      </c>
      <c r="B994" s="74" t="s">
        <v>25676</v>
      </c>
      <c r="C994" s="75" t="s">
        <v>31</v>
      </c>
      <c r="D994" s="176">
        <v>97.5</v>
      </c>
      <c r="E994" s="151">
        <v>44784</v>
      </c>
      <c r="F994" s="176">
        <v>97.5</v>
      </c>
      <c r="G994" s="177">
        <f>Tabla19[[#This Row],[Importe]]-Tabla19[[#This Row],[Pagado]]</f>
        <v>0</v>
      </c>
      <c r="H994" s="75" t="s">
        <v>10</v>
      </c>
    </row>
    <row r="995" spans="1:8" x14ac:dyDescent="0.25">
      <c r="A995" s="148">
        <v>44783</v>
      </c>
      <c r="B995" s="149" t="s">
        <v>25677</v>
      </c>
      <c r="C995" s="153" t="s">
        <v>31</v>
      </c>
      <c r="D995" s="178">
        <v>3120</v>
      </c>
      <c r="E995" s="155">
        <v>44784</v>
      </c>
      <c r="F995" s="178">
        <v>3120</v>
      </c>
      <c r="G995" s="179">
        <f>Tabla19[[#This Row],[Importe]]-Tabla19[[#This Row],[Pagado]]</f>
        <v>0</v>
      </c>
      <c r="H995" s="153" t="s">
        <v>10</v>
      </c>
    </row>
    <row r="996" spans="1:8" x14ac:dyDescent="0.25">
      <c r="A996" s="73">
        <v>44783</v>
      </c>
      <c r="B996" s="74" t="s">
        <v>25678</v>
      </c>
      <c r="C996" s="75" t="s">
        <v>25679</v>
      </c>
      <c r="D996" s="176">
        <v>0</v>
      </c>
      <c r="E996" s="157" t="s">
        <v>189</v>
      </c>
      <c r="F996" s="176">
        <v>0</v>
      </c>
      <c r="G996" s="177">
        <f>Tabla19[[#This Row],[Importe]]-Tabla19[[#This Row],[Pagado]]</f>
        <v>0</v>
      </c>
      <c r="H996" s="161" t="s">
        <v>25680</v>
      </c>
    </row>
    <row r="997" spans="1:8" x14ac:dyDescent="0.25">
      <c r="A997" s="148">
        <v>44783</v>
      </c>
      <c r="B997" s="149" t="s">
        <v>25681</v>
      </c>
      <c r="C997" s="153" t="s">
        <v>402</v>
      </c>
      <c r="D997" s="178">
        <v>20732.7</v>
      </c>
      <c r="E997" s="155">
        <v>44789</v>
      </c>
      <c r="F997" s="178">
        <v>20732.7</v>
      </c>
      <c r="G997" s="179">
        <f>Tabla19[[#This Row],[Importe]]-Tabla19[[#This Row],[Pagado]]</f>
        <v>0</v>
      </c>
      <c r="H997" s="153" t="s">
        <v>10</v>
      </c>
    </row>
    <row r="998" spans="1:8" x14ac:dyDescent="0.25">
      <c r="A998" s="73">
        <v>44783</v>
      </c>
      <c r="B998" s="74" t="s">
        <v>25682</v>
      </c>
      <c r="C998" s="75" t="s">
        <v>4027</v>
      </c>
      <c r="D998" s="176">
        <v>430</v>
      </c>
      <c r="E998" s="151">
        <v>44784</v>
      </c>
      <c r="F998" s="176">
        <v>430</v>
      </c>
      <c r="G998" s="177">
        <f>Tabla19[[#This Row],[Importe]]-Tabla19[[#This Row],[Pagado]]</f>
        <v>0</v>
      </c>
      <c r="H998" s="75" t="s">
        <v>10</v>
      </c>
    </row>
    <row r="999" spans="1:8" x14ac:dyDescent="0.25">
      <c r="A999" s="148">
        <v>44784</v>
      </c>
      <c r="B999" s="149" t="s">
        <v>25683</v>
      </c>
      <c r="C999" s="153" t="s">
        <v>887</v>
      </c>
      <c r="D999" s="178">
        <v>15717</v>
      </c>
      <c r="E999" s="155">
        <v>44784</v>
      </c>
      <c r="F999" s="178">
        <v>15717</v>
      </c>
      <c r="G999" s="179">
        <f>Tabla19[[#This Row],[Importe]]-Tabla19[[#This Row],[Pagado]]</f>
        <v>0</v>
      </c>
      <c r="H999" s="153" t="s">
        <v>10</v>
      </c>
    </row>
    <row r="1000" spans="1:8" x14ac:dyDescent="0.25">
      <c r="A1000" s="73">
        <v>44784</v>
      </c>
      <c r="B1000" s="74" t="s">
        <v>25684</v>
      </c>
      <c r="C1000" s="75" t="s">
        <v>475</v>
      </c>
      <c r="D1000" s="176">
        <v>62175.6</v>
      </c>
      <c r="E1000" s="151">
        <v>44785</v>
      </c>
      <c r="F1000" s="176">
        <v>62175.6</v>
      </c>
      <c r="G1000" s="177">
        <f>Tabla19[[#This Row],[Importe]]-Tabla19[[#This Row],[Pagado]]</f>
        <v>0</v>
      </c>
      <c r="H1000" s="75" t="s">
        <v>10</v>
      </c>
    </row>
    <row r="1001" spans="1:8" x14ac:dyDescent="0.25">
      <c r="A1001" s="148">
        <v>44784</v>
      </c>
      <c r="B1001" s="149" t="s">
        <v>25685</v>
      </c>
      <c r="C1001" s="153" t="s">
        <v>618</v>
      </c>
      <c r="D1001" s="178">
        <v>12890.7</v>
      </c>
      <c r="E1001" s="155">
        <v>44784</v>
      </c>
      <c r="F1001" s="178">
        <v>12890.7</v>
      </c>
      <c r="G1001" s="179">
        <f>Tabla19[[#This Row],[Importe]]-Tabla19[[#This Row],[Pagado]]</f>
        <v>0</v>
      </c>
      <c r="H1001" s="153" t="s">
        <v>10</v>
      </c>
    </row>
    <row r="1002" spans="1:8" x14ac:dyDescent="0.25">
      <c r="A1002" s="73">
        <v>44784</v>
      </c>
      <c r="B1002" s="74" t="s">
        <v>25686</v>
      </c>
      <c r="C1002" s="75" t="s">
        <v>75</v>
      </c>
      <c r="D1002" s="176">
        <v>10197.6</v>
      </c>
      <c r="E1002" s="151">
        <v>44784</v>
      </c>
      <c r="F1002" s="176">
        <v>10197.6</v>
      </c>
      <c r="G1002" s="177">
        <f>Tabla19[[#This Row],[Importe]]-Tabla19[[#This Row],[Pagado]]</f>
        <v>0</v>
      </c>
      <c r="H1002" s="75" t="s">
        <v>10</v>
      </c>
    </row>
    <row r="1003" spans="1:8" x14ac:dyDescent="0.25">
      <c r="A1003" s="148">
        <v>44784</v>
      </c>
      <c r="B1003" s="149" t="s">
        <v>25687</v>
      </c>
      <c r="C1003" s="153" t="s">
        <v>275</v>
      </c>
      <c r="D1003" s="178">
        <v>14001.4</v>
      </c>
      <c r="E1003" s="155">
        <v>44806</v>
      </c>
      <c r="F1003" s="178">
        <v>14001.4</v>
      </c>
      <c r="G1003" s="179">
        <f>Tabla19[[#This Row],[Importe]]-Tabla19[[#This Row],[Pagado]]</f>
        <v>0</v>
      </c>
      <c r="H1003" s="153" t="s">
        <v>10</v>
      </c>
    </row>
    <row r="1004" spans="1:8" x14ac:dyDescent="0.25">
      <c r="A1004" s="73">
        <v>44784</v>
      </c>
      <c r="B1004" s="74" t="s">
        <v>25688</v>
      </c>
      <c r="C1004" s="75" t="s">
        <v>89</v>
      </c>
      <c r="D1004" s="176">
        <v>13607.7</v>
      </c>
      <c r="E1004" s="151">
        <v>44785</v>
      </c>
      <c r="F1004" s="176">
        <v>13607.7</v>
      </c>
      <c r="G1004" s="177">
        <f>Tabla19[[#This Row],[Importe]]-Tabla19[[#This Row],[Pagado]]</f>
        <v>0</v>
      </c>
      <c r="H1004" s="75" t="s">
        <v>10</v>
      </c>
    </row>
    <row r="1005" spans="1:8" x14ac:dyDescent="0.25">
      <c r="A1005" s="148">
        <v>44784</v>
      </c>
      <c r="B1005" s="149" t="s">
        <v>25689</v>
      </c>
      <c r="C1005" s="153" t="s">
        <v>12</v>
      </c>
      <c r="D1005" s="178">
        <v>14637</v>
      </c>
      <c r="E1005" s="155">
        <v>44784</v>
      </c>
      <c r="F1005" s="178">
        <v>14637</v>
      </c>
      <c r="G1005" s="179">
        <f>Tabla19[[#This Row],[Importe]]-Tabla19[[#This Row],[Pagado]]</f>
        <v>0</v>
      </c>
      <c r="H1005" s="153" t="s">
        <v>10</v>
      </c>
    </row>
    <row r="1006" spans="1:8" x14ac:dyDescent="0.25">
      <c r="A1006" s="73">
        <v>44784</v>
      </c>
      <c r="B1006" s="74" t="s">
        <v>25690</v>
      </c>
      <c r="C1006" s="75" t="s">
        <v>114</v>
      </c>
      <c r="D1006" s="176">
        <v>5418</v>
      </c>
      <c r="E1006" s="151">
        <v>44785</v>
      </c>
      <c r="F1006" s="176">
        <v>5418</v>
      </c>
      <c r="G1006" s="177">
        <f>Tabla19[[#This Row],[Importe]]-Tabla19[[#This Row],[Pagado]]</f>
        <v>0</v>
      </c>
      <c r="H1006" s="75" t="s">
        <v>10</v>
      </c>
    </row>
    <row r="1007" spans="1:8" x14ac:dyDescent="0.25">
      <c r="A1007" s="148">
        <v>44784</v>
      </c>
      <c r="B1007" s="149" t="s">
        <v>25691</v>
      </c>
      <c r="C1007" s="153" t="s">
        <v>64</v>
      </c>
      <c r="D1007" s="178">
        <v>5115.5</v>
      </c>
      <c r="E1007" s="155">
        <v>44785</v>
      </c>
      <c r="F1007" s="178">
        <v>5115.5</v>
      </c>
      <c r="G1007" s="179">
        <f>Tabla19[[#This Row],[Importe]]-Tabla19[[#This Row],[Pagado]]</f>
        <v>0</v>
      </c>
      <c r="H1007" s="153" t="s">
        <v>10</v>
      </c>
    </row>
    <row r="1008" spans="1:8" x14ac:dyDescent="0.25">
      <c r="A1008" s="73">
        <v>44784</v>
      </c>
      <c r="B1008" s="74" t="s">
        <v>25692</v>
      </c>
      <c r="C1008" s="75" t="s">
        <v>111</v>
      </c>
      <c r="D1008" s="176">
        <v>5594.4</v>
      </c>
      <c r="E1008" s="151">
        <v>44785</v>
      </c>
      <c r="F1008" s="176">
        <v>5594.4</v>
      </c>
      <c r="G1008" s="177">
        <f>Tabla19[[#This Row],[Importe]]-Tabla19[[#This Row],[Pagado]]</f>
        <v>0</v>
      </c>
      <c r="H1008" s="75" t="s">
        <v>10</v>
      </c>
    </row>
    <row r="1009" spans="1:8" ht="31.5" x14ac:dyDescent="0.25">
      <c r="A1009" s="148">
        <v>44784</v>
      </c>
      <c r="B1009" s="149" t="s">
        <v>25693</v>
      </c>
      <c r="C1009" s="153" t="s">
        <v>93</v>
      </c>
      <c r="D1009" s="178">
        <v>8534.7999999999993</v>
      </c>
      <c r="E1009" s="150" t="s">
        <v>25694</v>
      </c>
      <c r="F1009" s="178">
        <f>5000+3534.8</f>
        <v>8534.7999999999993</v>
      </c>
      <c r="G1009" s="179">
        <f>Tabla19[[#This Row],[Importe]]-Tabla19[[#This Row],[Pagado]]</f>
        <v>0</v>
      </c>
      <c r="H1009" s="153" t="s">
        <v>10</v>
      </c>
    </row>
    <row r="1010" spans="1:8" x14ac:dyDescent="0.25">
      <c r="A1010" s="73">
        <v>44784</v>
      </c>
      <c r="B1010" s="74" t="s">
        <v>25695</v>
      </c>
      <c r="C1010" s="75" t="s">
        <v>10742</v>
      </c>
      <c r="D1010" s="176">
        <v>5635.5</v>
      </c>
      <c r="E1010" s="151">
        <v>44786</v>
      </c>
      <c r="F1010" s="176">
        <v>5635.5</v>
      </c>
      <c r="G1010" s="177">
        <f>Tabla19[[#This Row],[Importe]]-Tabla19[[#This Row],[Pagado]]</f>
        <v>0</v>
      </c>
      <c r="H1010" s="75" t="s">
        <v>10</v>
      </c>
    </row>
    <row r="1011" spans="1:8" x14ac:dyDescent="0.25">
      <c r="A1011" s="148">
        <v>44784</v>
      </c>
      <c r="B1011" s="149" t="s">
        <v>25696</v>
      </c>
      <c r="C1011" s="153" t="s">
        <v>105</v>
      </c>
      <c r="D1011" s="178">
        <v>8158.7</v>
      </c>
      <c r="E1011" s="155">
        <v>44785</v>
      </c>
      <c r="F1011" s="178">
        <v>8158.7</v>
      </c>
      <c r="G1011" s="179">
        <f>Tabla19[[#This Row],[Importe]]-Tabla19[[#This Row],[Pagado]]</f>
        <v>0</v>
      </c>
      <c r="H1011" s="153" t="s">
        <v>10</v>
      </c>
    </row>
    <row r="1012" spans="1:8" x14ac:dyDescent="0.25">
      <c r="A1012" s="73">
        <v>44784</v>
      </c>
      <c r="B1012" s="74" t="s">
        <v>25697</v>
      </c>
      <c r="C1012" s="75" t="s">
        <v>348</v>
      </c>
      <c r="D1012" s="176">
        <v>2264.6</v>
      </c>
      <c r="E1012" s="151">
        <v>44784</v>
      </c>
      <c r="F1012" s="176">
        <v>2264.6</v>
      </c>
      <c r="G1012" s="177">
        <f>Tabla19[[#This Row],[Importe]]-Tabla19[[#This Row],[Pagado]]</f>
        <v>0</v>
      </c>
      <c r="H1012" s="75" t="s">
        <v>10</v>
      </c>
    </row>
    <row r="1013" spans="1:8" x14ac:dyDescent="0.25">
      <c r="A1013" s="148">
        <v>44784</v>
      </c>
      <c r="B1013" s="149" t="s">
        <v>25698</v>
      </c>
      <c r="C1013" s="153" t="s">
        <v>2151</v>
      </c>
      <c r="D1013" s="178">
        <v>19259.8</v>
      </c>
      <c r="E1013" s="155">
        <v>44784</v>
      </c>
      <c r="F1013" s="178">
        <v>19259.8</v>
      </c>
      <c r="G1013" s="179">
        <f>Tabla19[[#This Row],[Importe]]-Tabla19[[#This Row],[Pagado]]</f>
        <v>0</v>
      </c>
      <c r="H1013" s="153" t="s">
        <v>10</v>
      </c>
    </row>
    <row r="1014" spans="1:8" x14ac:dyDescent="0.25">
      <c r="A1014" s="73">
        <v>44784</v>
      </c>
      <c r="B1014" s="74" t="s">
        <v>25699</v>
      </c>
      <c r="C1014" s="75" t="s">
        <v>1187</v>
      </c>
      <c r="D1014" s="176">
        <v>2123.9</v>
      </c>
      <c r="E1014" s="151">
        <v>44784</v>
      </c>
      <c r="F1014" s="176">
        <v>2123.9</v>
      </c>
      <c r="G1014" s="177">
        <f>Tabla19[[#This Row],[Importe]]-Tabla19[[#This Row],[Pagado]]</f>
        <v>0</v>
      </c>
      <c r="H1014" s="75" t="s">
        <v>10</v>
      </c>
    </row>
    <row r="1015" spans="1:8" x14ac:dyDescent="0.25">
      <c r="A1015" s="148">
        <v>44784</v>
      </c>
      <c r="B1015" s="149" t="s">
        <v>25700</v>
      </c>
      <c r="C1015" s="153" t="s">
        <v>353</v>
      </c>
      <c r="D1015" s="178">
        <v>1674.8</v>
      </c>
      <c r="E1015" s="155">
        <v>44784</v>
      </c>
      <c r="F1015" s="178">
        <v>1674.8</v>
      </c>
      <c r="G1015" s="179">
        <f>Tabla19[[#This Row],[Importe]]-Tabla19[[#This Row],[Pagado]]</f>
        <v>0</v>
      </c>
      <c r="H1015" s="153" t="s">
        <v>10</v>
      </c>
    </row>
    <row r="1016" spans="1:8" x14ac:dyDescent="0.25">
      <c r="A1016" s="73">
        <v>44784</v>
      </c>
      <c r="B1016" s="74" t="s">
        <v>25701</v>
      </c>
      <c r="C1016" s="75" t="s">
        <v>481</v>
      </c>
      <c r="D1016" s="176">
        <v>937.3</v>
      </c>
      <c r="E1016" s="151">
        <v>44784</v>
      </c>
      <c r="F1016" s="176">
        <v>937.3</v>
      </c>
      <c r="G1016" s="177">
        <f>Tabla19[[#This Row],[Importe]]-Tabla19[[#This Row],[Pagado]]</f>
        <v>0</v>
      </c>
      <c r="H1016" s="75" t="s">
        <v>10</v>
      </c>
    </row>
    <row r="1017" spans="1:8" x14ac:dyDescent="0.25">
      <c r="A1017" s="148">
        <v>44784</v>
      </c>
      <c r="B1017" s="149" t="s">
        <v>25702</v>
      </c>
      <c r="C1017" s="153" t="s">
        <v>24768</v>
      </c>
      <c r="D1017" s="178">
        <v>4917</v>
      </c>
      <c r="E1017" s="155">
        <v>44784</v>
      </c>
      <c r="F1017" s="178">
        <v>4917</v>
      </c>
      <c r="G1017" s="179">
        <f>Tabla19[[#This Row],[Importe]]-Tabla19[[#This Row],[Pagado]]</f>
        <v>0</v>
      </c>
      <c r="H1017" s="153" t="s">
        <v>10</v>
      </c>
    </row>
    <row r="1018" spans="1:8" x14ac:dyDescent="0.25">
      <c r="A1018" s="73">
        <v>44784</v>
      </c>
      <c r="B1018" s="74" t="s">
        <v>25703</v>
      </c>
      <c r="C1018" s="75" t="s">
        <v>484</v>
      </c>
      <c r="D1018" s="176">
        <v>5237.2</v>
      </c>
      <c r="E1018" s="151">
        <v>44784</v>
      </c>
      <c r="F1018" s="176">
        <v>5237.2</v>
      </c>
      <c r="G1018" s="177">
        <f>Tabla19[[#This Row],[Importe]]-Tabla19[[#This Row],[Pagado]]</f>
        <v>0</v>
      </c>
      <c r="H1018" s="75" t="s">
        <v>10</v>
      </c>
    </row>
    <row r="1019" spans="1:8" x14ac:dyDescent="0.25">
      <c r="A1019" s="148">
        <v>44784</v>
      </c>
      <c r="B1019" s="149" t="s">
        <v>25704</v>
      </c>
      <c r="C1019" s="153" t="s">
        <v>9</v>
      </c>
      <c r="D1019" s="178">
        <v>9476.7999999999993</v>
      </c>
      <c r="E1019" s="155">
        <v>44784</v>
      </c>
      <c r="F1019" s="178">
        <v>9476.7999999999993</v>
      </c>
      <c r="G1019" s="179">
        <f>Tabla19[[#This Row],[Importe]]-Tabla19[[#This Row],[Pagado]]</f>
        <v>0</v>
      </c>
      <c r="H1019" s="153" t="s">
        <v>10</v>
      </c>
    </row>
    <row r="1020" spans="1:8" x14ac:dyDescent="0.25">
      <c r="A1020" s="73">
        <v>44784</v>
      </c>
      <c r="B1020" s="74" t="s">
        <v>25705</v>
      </c>
      <c r="C1020" s="75" t="s">
        <v>924</v>
      </c>
      <c r="D1020" s="176">
        <v>4141.2</v>
      </c>
      <c r="E1020" s="151">
        <v>44784</v>
      </c>
      <c r="F1020" s="176">
        <v>4141.2</v>
      </c>
      <c r="G1020" s="177">
        <f>Tabla19[[#This Row],[Importe]]-Tabla19[[#This Row],[Pagado]]</f>
        <v>0</v>
      </c>
      <c r="H1020" s="75" t="s">
        <v>10</v>
      </c>
    </row>
    <row r="1021" spans="1:8" x14ac:dyDescent="0.25">
      <c r="A1021" s="148">
        <v>44784</v>
      </c>
      <c r="B1021" s="149" t="s">
        <v>25706</v>
      </c>
      <c r="C1021" s="153" t="s">
        <v>161</v>
      </c>
      <c r="D1021" s="178">
        <v>4417.8</v>
      </c>
      <c r="E1021" s="155">
        <v>44784</v>
      </c>
      <c r="F1021" s="178">
        <v>4417.8</v>
      </c>
      <c r="G1021" s="179">
        <f>Tabla19[[#This Row],[Importe]]-Tabla19[[#This Row],[Pagado]]</f>
        <v>0</v>
      </c>
      <c r="H1021" s="153" t="s">
        <v>10</v>
      </c>
    </row>
    <row r="1022" spans="1:8" x14ac:dyDescent="0.25">
      <c r="A1022" s="73">
        <v>44784</v>
      </c>
      <c r="B1022" s="74" t="s">
        <v>25707</v>
      </c>
      <c r="C1022" s="75" t="s">
        <v>196</v>
      </c>
      <c r="D1022" s="176">
        <v>100230.24</v>
      </c>
      <c r="E1022" s="151">
        <v>44786</v>
      </c>
      <c r="F1022" s="176">
        <v>100230.24</v>
      </c>
      <c r="G1022" s="177">
        <f>Tabla19[[#This Row],[Importe]]-Tabla19[[#This Row],[Pagado]]</f>
        <v>0</v>
      </c>
      <c r="H1022" s="75" t="s">
        <v>10</v>
      </c>
    </row>
    <row r="1023" spans="1:8" x14ac:dyDescent="0.25">
      <c r="A1023" s="148">
        <v>44784</v>
      </c>
      <c r="B1023" s="149" t="s">
        <v>25708</v>
      </c>
      <c r="C1023" s="153" t="s">
        <v>131</v>
      </c>
      <c r="D1023" s="178">
        <v>1750</v>
      </c>
      <c r="E1023" s="155">
        <v>44784</v>
      </c>
      <c r="F1023" s="178">
        <v>1750</v>
      </c>
      <c r="G1023" s="179">
        <f>Tabla19[[#This Row],[Importe]]-Tabla19[[#This Row],[Pagado]]</f>
        <v>0</v>
      </c>
      <c r="H1023" s="153" t="s">
        <v>10</v>
      </c>
    </row>
    <row r="1024" spans="1:8" x14ac:dyDescent="0.25">
      <c r="A1024" s="73">
        <v>44784</v>
      </c>
      <c r="B1024" s="74" t="s">
        <v>25709</v>
      </c>
      <c r="C1024" s="75" t="s">
        <v>11033</v>
      </c>
      <c r="D1024" s="176">
        <v>2125.1</v>
      </c>
      <c r="E1024" s="151">
        <v>44784</v>
      </c>
      <c r="F1024" s="176">
        <v>2125.1</v>
      </c>
      <c r="G1024" s="177">
        <f>Tabla19[[#This Row],[Importe]]-Tabla19[[#This Row],[Pagado]]</f>
        <v>0</v>
      </c>
      <c r="H1024" s="75" t="s">
        <v>10</v>
      </c>
    </row>
    <row r="1025" spans="1:8" x14ac:dyDescent="0.25">
      <c r="A1025" s="148">
        <v>44784</v>
      </c>
      <c r="B1025" s="149" t="s">
        <v>25710</v>
      </c>
      <c r="C1025" s="153" t="s">
        <v>79</v>
      </c>
      <c r="D1025" s="178">
        <v>13216.8</v>
      </c>
      <c r="E1025" s="155">
        <v>44784</v>
      </c>
      <c r="F1025" s="178">
        <v>13216.8</v>
      </c>
      <c r="G1025" s="179">
        <f>Tabla19[[#This Row],[Importe]]-Tabla19[[#This Row],[Pagado]]</f>
        <v>0</v>
      </c>
      <c r="H1025" s="153" t="s">
        <v>10</v>
      </c>
    </row>
    <row r="1026" spans="1:8" x14ac:dyDescent="0.25">
      <c r="A1026" s="73">
        <v>44784</v>
      </c>
      <c r="B1026" s="74" t="s">
        <v>25711</v>
      </c>
      <c r="C1026" s="75" t="s">
        <v>83</v>
      </c>
      <c r="D1026" s="176">
        <v>5804</v>
      </c>
      <c r="E1026" s="151">
        <v>44784</v>
      </c>
      <c r="F1026" s="176">
        <v>5804</v>
      </c>
      <c r="G1026" s="177">
        <f>Tabla19[[#This Row],[Importe]]-Tabla19[[#This Row],[Pagado]]</f>
        <v>0</v>
      </c>
      <c r="H1026" s="75" t="s">
        <v>10</v>
      </c>
    </row>
    <row r="1027" spans="1:8" x14ac:dyDescent="0.25">
      <c r="A1027" s="148">
        <v>44784</v>
      </c>
      <c r="B1027" s="149" t="s">
        <v>25712</v>
      </c>
      <c r="C1027" s="153" t="s">
        <v>146</v>
      </c>
      <c r="D1027" s="178">
        <v>5572.8</v>
      </c>
      <c r="E1027" s="155">
        <v>44784</v>
      </c>
      <c r="F1027" s="178">
        <v>5572.8</v>
      </c>
      <c r="G1027" s="179">
        <f>Tabla19[[#This Row],[Importe]]-Tabla19[[#This Row],[Pagado]]</f>
        <v>0</v>
      </c>
      <c r="H1027" s="153" t="s">
        <v>10</v>
      </c>
    </row>
    <row r="1028" spans="1:8" x14ac:dyDescent="0.25">
      <c r="A1028" s="73">
        <v>44784</v>
      </c>
      <c r="B1028" s="74" t="s">
        <v>25713</v>
      </c>
      <c r="C1028" s="75" t="s">
        <v>357</v>
      </c>
      <c r="D1028" s="176">
        <v>1445</v>
      </c>
      <c r="E1028" s="151">
        <v>44784</v>
      </c>
      <c r="F1028" s="176">
        <v>1445</v>
      </c>
      <c r="G1028" s="177">
        <f>Tabla19[[#This Row],[Importe]]-Tabla19[[#This Row],[Pagado]]</f>
        <v>0</v>
      </c>
      <c r="H1028" s="75" t="s">
        <v>10</v>
      </c>
    </row>
    <row r="1029" spans="1:8" ht="31.5" x14ac:dyDescent="0.25">
      <c r="A1029" s="148">
        <v>44784</v>
      </c>
      <c r="B1029" s="149" t="s">
        <v>25714</v>
      </c>
      <c r="C1029" s="153" t="s">
        <v>22</v>
      </c>
      <c r="D1029" s="178">
        <v>71751.5</v>
      </c>
      <c r="E1029" s="150" t="s">
        <v>25694</v>
      </c>
      <c r="F1029" s="178">
        <f>50000+21751.5</f>
        <v>71751.5</v>
      </c>
      <c r="G1029" s="179">
        <f>Tabla19[[#This Row],[Importe]]-Tabla19[[#This Row],[Pagado]]</f>
        <v>0</v>
      </c>
      <c r="H1029" s="153" t="s">
        <v>10</v>
      </c>
    </row>
    <row r="1030" spans="1:8" x14ac:dyDescent="0.25">
      <c r="A1030" s="73">
        <v>44784</v>
      </c>
      <c r="B1030" s="74" t="s">
        <v>25715</v>
      </c>
      <c r="C1030" s="75" t="s">
        <v>140</v>
      </c>
      <c r="D1030" s="176">
        <v>1249.5</v>
      </c>
      <c r="E1030" s="151">
        <v>44784</v>
      </c>
      <c r="F1030" s="176">
        <v>1249.5</v>
      </c>
      <c r="G1030" s="177">
        <f>Tabla19[[#This Row],[Importe]]-Tabla19[[#This Row],[Pagado]]</f>
        <v>0</v>
      </c>
      <c r="H1030" s="75" t="s">
        <v>10</v>
      </c>
    </row>
    <row r="1031" spans="1:8" x14ac:dyDescent="0.25">
      <c r="A1031" s="148">
        <v>44784</v>
      </c>
      <c r="B1031" s="149" t="s">
        <v>25716</v>
      </c>
      <c r="C1031" s="153" t="s">
        <v>87</v>
      </c>
      <c r="D1031" s="178">
        <v>3719.6</v>
      </c>
      <c r="E1031" s="155">
        <v>44784</v>
      </c>
      <c r="F1031" s="178">
        <v>3719.6</v>
      </c>
      <c r="G1031" s="179">
        <f>Tabla19[[#This Row],[Importe]]-Tabla19[[#This Row],[Pagado]]</f>
        <v>0</v>
      </c>
      <c r="H1031" s="153" t="s">
        <v>10</v>
      </c>
    </row>
    <row r="1032" spans="1:8" x14ac:dyDescent="0.25">
      <c r="A1032" s="73">
        <v>44784</v>
      </c>
      <c r="B1032" s="74" t="s">
        <v>25717</v>
      </c>
      <c r="C1032" s="75" t="s">
        <v>3687</v>
      </c>
      <c r="D1032" s="176">
        <v>0</v>
      </c>
      <c r="E1032" s="157" t="s">
        <v>189</v>
      </c>
      <c r="F1032" s="176">
        <v>0</v>
      </c>
      <c r="G1032" s="177">
        <f>Tabla19[[#This Row],[Importe]]-Tabla19[[#This Row],[Pagado]]</f>
        <v>0</v>
      </c>
      <c r="H1032" s="161" t="s">
        <v>25718</v>
      </c>
    </row>
    <row r="1033" spans="1:8" x14ac:dyDescent="0.25">
      <c r="A1033" s="148">
        <v>44784</v>
      </c>
      <c r="B1033" s="149" t="s">
        <v>25719</v>
      </c>
      <c r="C1033" s="153" t="s">
        <v>25720</v>
      </c>
      <c r="D1033" s="178">
        <v>0</v>
      </c>
      <c r="E1033" s="158" t="s">
        <v>189</v>
      </c>
      <c r="F1033" s="178">
        <v>0</v>
      </c>
      <c r="G1033" s="179">
        <f>Tabla19[[#This Row],[Importe]]-Tabla19[[#This Row],[Pagado]]</f>
        <v>0</v>
      </c>
      <c r="H1033" s="159" t="s">
        <v>25721</v>
      </c>
    </row>
    <row r="1034" spans="1:8" x14ac:dyDescent="0.25">
      <c r="A1034" s="73">
        <v>44784</v>
      </c>
      <c r="B1034" s="74" t="s">
        <v>25722</v>
      </c>
      <c r="C1034" s="75" t="s">
        <v>45</v>
      </c>
      <c r="D1034" s="176">
        <v>14769.4</v>
      </c>
      <c r="E1034" s="151">
        <v>44784</v>
      </c>
      <c r="F1034" s="176">
        <v>14769.4</v>
      </c>
      <c r="G1034" s="177">
        <f>Tabla19[[#This Row],[Importe]]-Tabla19[[#This Row],[Pagado]]</f>
        <v>0</v>
      </c>
      <c r="H1034" s="75" t="s">
        <v>10</v>
      </c>
    </row>
    <row r="1035" spans="1:8" x14ac:dyDescent="0.25">
      <c r="A1035" s="148">
        <v>44784</v>
      </c>
      <c r="B1035" s="149" t="s">
        <v>25723</v>
      </c>
      <c r="C1035" s="153" t="s">
        <v>214</v>
      </c>
      <c r="D1035" s="178">
        <v>168.5</v>
      </c>
      <c r="E1035" s="155">
        <v>44784</v>
      </c>
      <c r="F1035" s="178">
        <v>168.5</v>
      </c>
      <c r="G1035" s="179">
        <f>Tabla19[[#This Row],[Importe]]-Tabla19[[#This Row],[Pagado]]</f>
        <v>0</v>
      </c>
      <c r="H1035" s="153" t="s">
        <v>10</v>
      </c>
    </row>
    <row r="1036" spans="1:8" x14ac:dyDescent="0.25">
      <c r="A1036" s="73">
        <v>44784</v>
      </c>
      <c r="B1036" s="74" t="s">
        <v>25724</v>
      </c>
      <c r="C1036" s="75" t="s">
        <v>25725</v>
      </c>
      <c r="D1036" s="176">
        <v>0</v>
      </c>
      <c r="E1036" s="157" t="s">
        <v>189</v>
      </c>
      <c r="F1036" s="176">
        <v>0</v>
      </c>
      <c r="G1036" s="177">
        <f>Tabla19[[#This Row],[Importe]]-Tabla19[[#This Row],[Pagado]]</f>
        <v>0</v>
      </c>
      <c r="H1036" s="161" t="s">
        <v>25726</v>
      </c>
    </row>
    <row r="1037" spans="1:8" x14ac:dyDescent="0.25">
      <c r="A1037" s="148">
        <v>44784</v>
      </c>
      <c r="B1037" s="149" t="s">
        <v>25727</v>
      </c>
      <c r="C1037" s="153" t="s">
        <v>1239</v>
      </c>
      <c r="D1037" s="178">
        <v>13988.8</v>
      </c>
      <c r="E1037" s="155">
        <v>44784</v>
      </c>
      <c r="F1037" s="178">
        <v>13988.8</v>
      </c>
      <c r="G1037" s="179">
        <f>Tabla19[[#This Row],[Importe]]-Tabla19[[#This Row],[Pagado]]</f>
        <v>0</v>
      </c>
      <c r="H1037" s="153" t="s">
        <v>10</v>
      </c>
    </row>
    <row r="1038" spans="1:8" x14ac:dyDescent="0.25">
      <c r="A1038" s="73">
        <v>44784</v>
      </c>
      <c r="B1038" s="74" t="s">
        <v>25728</v>
      </c>
      <c r="C1038" s="75" t="s">
        <v>647</v>
      </c>
      <c r="D1038" s="176">
        <v>6106.4</v>
      </c>
      <c r="E1038" s="151">
        <v>44784</v>
      </c>
      <c r="F1038" s="176">
        <f>2500+3606.4</f>
        <v>6106.4</v>
      </c>
      <c r="G1038" s="177">
        <f>Tabla19[[#This Row],[Importe]]-Tabla19[[#This Row],[Pagado]]</f>
        <v>0</v>
      </c>
      <c r="H1038" s="75" t="s">
        <v>10</v>
      </c>
    </row>
    <row r="1039" spans="1:8" x14ac:dyDescent="0.25">
      <c r="A1039" s="148">
        <v>44784</v>
      </c>
      <c r="B1039" s="149" t="s">
        <v>25729</v>
      </c>
      <c r="C1039" s="153" t="s">
        <v>31</v>
      </c>
      <c r="D1039" s="178">
        <v>876.8</v>
      </c>
      <c r="E1039" s="155">
        <v>44784</v>
      </c>
      <c r="F1039" s="178">
        <v>876.8</v>
      </c>
      <c r="G1039" s="179">
        <f>Tabla19[[#This Row],[Importe]]-Tabla19[[#This Row],[Pagado]]</f>
        <v>0</v>
      </c>
      <c r="H1039" s="153" t="s">
        <v>10</v>
      </c>
    </row>
    <row r="1040" spans="1:8" x14ac:dyDescent="0.25">
      <c r="A1040" s="73">
        <v>44784</v>
      </c>
      <c r="B1040" s="74" t="s">
        <v>25730</v>
      </c>
      <c r="C1040" s="75" t="s">
        <v>815</v>
      </c>
      <c r="D1040" s="176">
        <v>2612.4</v>
      </c>
      <c r="E1040" s="151">
        <v>44784</v>
      </c>
      <c r="F1040" s="176">
        <v>2612.4</v>
      </c>
      <c r="G1040" s="177">
        <f>Tabla19[[#This Row],[Importe]]-Tabla19[[#This Row],[Pagado]]</f>
        <v>0</v>
      </c>
      <c r="H1040" s="75" t="s">
        <v>10</v>
      </c>
    </row>
    <row r="1041" spans="1:8" x14ac:dyDescent="0.25">
      <c r="A1041" s="148">
        <v>44784</v>
      </c>
      <c r="B1041" s="149" t="s">
        <v>25731</v>
      </c>
      <c r="C1041" s="153" t="s">
        <v>815</v>
      </c>
      <c r="D1041" s="178">
        <v>1160</v>
      </c>
      <c r="E1041" s="155">
        <v>44784</v>
      </c>
      <c r="F1041" s="178">
        <v>1160</v>
      </c>
      <c r="G1041" s="179">
        <f>Tabla19[[#This Row],[Importe]]-Tabla19[[#This Row],[Pagado]]</f>
        <v>0</v>
      </c>
      <c r="H1041" s="153" t="s">
        <v>10</v>
      </c>
    </row>
    <row r="1042" spans="1:8" x14ac:dyDescent="0.25">
      <c r="A1042" s="73">
        <v>44784</v>
      </c>
      <c r="B1042" s="74" t="s">
        <v>25732</v>
      </c>
      <c r="C1042" s="75" t="s">
        <v>107</v>
      </c>
      <c r="D1042" s="176">
        <v>10496.5</v>
      </c>
      <c r="E1042" s="151">
        <v>44784</v>
      </c>
      <c r="F1042" s="176">
        <v>10496.5</v>
      </c>
      <c r="G1042" s="177">
        <f>Tabla19[[#This Row],[Importe]]-Tabla19[[#This Row],[Pagado]]</f>
        <v>0</v>
      </c>
      <c r="H1042" s="75" t="s">
        <v>10</v>
      </c>
    </row>
    <row r="1043" spans="1:8" x14ac:dyDescent="0.25">
      <c r="A1043" s="148">
        <v>44784</v>
      </c>
      <c r="B1043" s="149" t="s">
        <v>25733</v>
      </c>
      <c r="C1043" s="153" t="s">
        <v>470</v>
      </c>
      <c r="D1043" s="178">
        <v>15660.4</v>
      </c>
      <c r="E1043" s="155">
        <v>44784</v>
      </c>
      <c r="F1043" s="178">
        <v>15660.4</v>
      </c>
      <c r="G1043" s="179">
        <f>Tabla19[[#This Row],[Importe]]-Tabla19[[#This Row],[Pagado]]</f>
        <v>0</v>
      </c>
      <c r="H1043" s="153" t="s">
        <v>10</v>
      </c>
    </row>
    <row r="1044" spans="1:8" x14ac:dyDescent="0.25">
      <c r="A1044" s="73">
        <v>44784</v>
      </c>
      <c r="B1044" s="74" t="s">
        <v>25734</v>
      </c>
      <c r="C1044" s="75" t="s">
        <v>365</v>
      </c>
      <c r="D1044" s="176">
        <v>975</v>
      </c>
      <c r="E1044" s="151">
        <v>44784</v>
      </c>
      <c r="F1044" s="176">
        <v>975</v>
      </c>
      <c r="G1044" s="177">
        <f>Tabla19[[#This Row],[Importe]]-Tabla19[[#This Row],[Pagado]]</f>
        <v>0</v>
      </c>
      <c r="H1044" s="75" t="s">
        <v>10</v>
      </c>
    </row>
    <row r="1045" spans="1:8" x14ac:dyDescent="0.25">
      <c r="A1045" s="148">
        <v>44784</v>
      </c>
      <c r="B1045" s="149" t="s">
        <v>25735</v>
      </c>
      <c r="C1045" s="153" t="s">
        <v>49</v>
      </c>
      <c r="D1045" s="178">
        <v>5610</v>
      </c>
      <c r="E1045" s="155">
        <v>44784</v>
      </c>
      <c r="F1045" s="178">
        <v>5610</v>
      </c>
      <c r="G1045" s="179">
        <f>Tabla19[[#This Row],[Importe]]-Tabla19[[#This Row],[Pagado]]</f>
        <v>0</v>
      </c>
      <c r="H1045" s="153" t="s">
        <v>10</v>
      </c>
    </row>
    <row r="1046" spans="1:8" x14ac:dyDescent="0.25">
      <c r="A1046" s="73">
        <v>44784</v>
      </c>
      <c r="B1046" s="74" t="s">
        <v>25736</v>
      </c>
      <c r="C1046" s="75" t="s">
        <v>1505</v>
      </c>
      <c r="D1046" s="176">
        <v>7050.1</v>
      </c>
      <c r="E1046" s="151">
        <v>44784</v>
      </c>
      <c r="F1046" s="176">
        <v>7050.1</v>
      </c>
      <c r="G1046" s="177">
        <f>Tabla19[[#This Row],[Importe]]-Tabla19[[#This Row],[Pagado]]</f>
        <v>0</v>
      </c>
      <c r="H1046" s="75" t="s">
        <v>10</v>
      </c>
    </row>
    <row r="1047" spans="1:8" x14ac:dyDescent="0.25">
      <c r="A1047" s="148">
        <v>44784</v>
      </c>
      <c r="B1047" s="149" t="s">
        <v>25737</v>
      </c>
      <c r="C1047" s="153" t="s">
        <v>29</v>
      </c>
      <c r="D1047" s="178">
        <v>2990.4</v>
      </c>
      <c r="E1047" s="155">
        <v>44784</v>
      </c>
      <c r="F1047" s="178">
        <v>2990.4</v>
      </c>
      <c r="G1047" s="179">
        <f>Tabla19[[#This Row],[Importe]]-Tabla19[[#This Row],[Pagado]]</f>
        <v>0</v>
      </c>
      <c r="H1047" s="153" t="s">
        <v>10</v>
      </c>
    </row>
    <row r="1048" spans="1:8" x14ac:dyDescent="0.25">
      <c r="A1048" s="73">
        <v>44784</v>
      </c>
      <c r="B1048" s="74" t="s">
        <v>25738</v>
      </c>
      <c r="C1048" s="75" t="s">
        <v>382</v>
      </c>
      <c r="D1048" s="176">
        <v>4544.3999999999996</v>
      </c>
      <c r="E1048" s="151">
        <v>44784</v>
      </c>
      <c r="F1048" s="176">
        <v>4544.3999999999996</v>
      </c>
      <c r="G1048" s="177">
        <f>Tabla19[[#This Row],[Importe]]-Tabla19[[#This Row],[Pagado]]</f>
        <v>0</v>
      </c>
      <c r="H1048" s="75" t="s">
        <v>10</v>
      </c>
    </row>
    <row r="1049" spans="1:8" x14ac:dyDescent="0.25">
      <c r="A1049" s="148">
        <v>44784</v>
      </c>
      <c r="B1049" s="149" t="s">
        <v>25739</v>
      </c>
      <c r="C1049" s="153" t="s">
        <v>419</v>
      </c>
      <c r="D1049" s="178">
        <v>7581.4</v>
      </c>
      <c r="E1049" s="155">
        <v>44784</v>
      </c>
      <c r="F1049" s="178">
        <v>7581.4</v>
      </c>
      <c r="G1049" s="179">
        <f>Tabla19[[#This Row],[Importe]]-Tabla19[[#This Row],[Pagado]]</f>
        <v>0</v>
      </c>
      <c r="H1049" s="153" t="s">
        <v>10</v>
      </c>
    </row>
    <row r="1050" spans="1:8" x14ac:dyDescent="0.25">
      <c r="A1050" s="73">
        <v>44784</v>
      </c>
      <c r="B1050" s="74" t="s">
        <v>25740</v>
      </c>
      <c r="C1050" s="75" t="s">
        <v>191</v>
      </c>
      <c r="D1050" s="176">
        <v>1840.7</v>
      </c>
      <c r="E1050" s="151">
        <v>44784</v>
      </c>
      <c r="F1050" s="176">
        <v>1840.7</v>
      </c>
      <c r="G1050" s="177">
        <f>Tabla19[[#This Row],[Importe]]-Tabla19[[#This Row],[Pagado]]</f>
        <v>0</v>
      </c>
      <c r="H1050" s="75" t="s">
        <v>10</v>
      </c>
    </row>
    <row r="1051" spans="1:8" x14ac:dyDescent="0.25">
      <c r="A1051" s="148">
        <v>44784</v>
      </c>
      <c r="B1051" s="149" t="s">
        <v>25741</v>
      </c>
      <c r="C1051" s="153" t="s">
        <v>319</v>
      </c>
      <c r="D1051" s="178">
        <v>8983.2999999999993</v>
      </c>
      <c r="E1051" s="155">
        <v>44784</v>
      </c>
      <c r="F1051" s="178">
        <v>8983.2999999999993</v>
      </c>
      <c r="G1051" s="179">
        <f>Tabla19[[#This Row],[Importe]]-Tabla19[[#This Row],[Pagado]]</f>
        <v>0</v>
      </c>
      <c r="H1051" s="153" t="s">
        <v>10</v>
      </c>
    </row>
    <row r="1052" spans="1:8" x14ac:dyDescent="0.25">
      <c r="A1052" s="73">
        <v>44784</v>
      </c>
      <c r="B1052" s="74" t="s">
        <v>25742</v>
      </c>
      <c r="C1052" s="75" t="s">
        <v>934</v>
      </c>
      <c r="D1052" s="176">
        <v>2994</v>
      </c>
      <c r="E1052" s="151">
        <v>44784</v>
      </c>
      <c r="F1052" s="176">
        <v>2994</v>
      </c>
      <c r="G1052" s="177">
        <f>Tabla19[[#This Row],[Importe]]-Tabla19[[#This Row],[Pagado]]</f>
        <v>0</v>
      </c>
      <c r="H1052" s="75" t="s">
        <v>10</v>
      </c>
    </row>
    <row r="1053" spans="1:8" x14ac:dyDescent="0.25">
      <c r="A1053" s="148">
        <v>44784</v>
      </c>
      <c r="B1053" s="149" t="s">
        <v>25743</v>
      </c>
      <c r="C1053" s="153" t="s">
        <v>157</v>
      </c>
      <c r="D1053" s="178">
        <v>7573.3</v>
      </c>
      <c r="E1053" s="155">
        <v>44784</v>
      </c>
      <c r="F1053" s="178">
        <v>7573.3</v>
      </c>
      <c r="G1053" s="179">
        <f>Tabla19[[#This Row],[Importe]]-Tabla19[[#This Row],[Pagado]]</f>
        <v>0</v>
      </c>
      <c r="H1053" s="153" t="s">
        <v>10</v>
      </c>
    </row>
    <row r="1054" spans="1:8" x14ac:dyDescent="0.25">
      <c r="A1054" s="73">
        <v>44784</v>
      </c>
      <c r="B1054" s="74" t="s">
        <v>25744</v>
      </c>
      <c r="C1054" s="75" t="s">
        <v>151</v>
      </c>
      <c r="D1054" s="176">
        <v>15416.7</v>
      </c>
      <c r="E1054" s="151">
        <v>44784</v>
      </c>
      <c r="F1054" s="176">
        <v>15416.7</v>
      </c>
      <c r="G1054" s="177">
        <f>Tabla19[[#This Row],[Importe]]-Tabla19[[#This Row],[Pagado]]</f>
        <v>0</v>
      </c>
      <c r="H1054" s="75" t="s">
        <v>10</v>
      </c>
    </row>
    <row r="1055" spans="1:8" x14ac:dyDescent="0.25">
      <c r="A1055" s="148">
        <v>44784</v>
      </c>
      <c r="B1055" s="149" t="s">
        <v>25745</v>
      </c>
      <c r="C1055" s="153" t="s">
        <v>371</v>
      </c>
      <c r="D1055" s="178">
        <v>1554</v>
      </c>
      <c r="E1055" s="155">
        <v>44784</v>
      </c>
      <c r="F1055" s="178">
        <v>1554</v>
      </c>
      <c r="G1055" s="179">
        <f>Tabla19[[#This Row],[Importe]]-Tabla19[[#This Row],[Pagado]]</f>
        <v>0</v>
      </c>
      <c r="H1055" s="153" t="s">
        <v>10</v>
      </c>
    </row>
    <row r="1056" spans="1:8" x14ac:dyDescent="0.25">
      <c r="A1056" s="73">
        <v>44784</v>
      </c>
      <c r="B1056" s="74" t="s">
        <v>25746</v>
      </c>
      <c r="C1056" s="75" t="s">
        <v>31</v>
      </c>
      <c r="D1056" s="176">
        <v>739.2</v>
      </c>
      <c r="E1056" s="151">
        <v>44784</v>
      </c>
      <c r="F1056" s="176">
        <v>739.2</v>
      </c>
      <c r="G1056" s="177">
        <f>Tabla19[[#This Row],[Importe]]-Tabla19[[#This Row],[Pagado]]</f>
        <v>0</v>
      </c>
      <c r="H1056" s="75" t="s">
        <v>10</v>
      </c>
    </row>
    <row r="1057" spans="1:8" x14ac:dyDescent="0.25">
      <c r="A1057" s="148">
        <v>44784</v>
      </c>
      <c r="B1057" s="149" t="s">
        <v>25747</v>
      </c>
      <c r="C1057" s="153" t="s">
        <v>159</v>
      </c>
      <c r="D1057" s="178">
        <v>2224.4</v>
      </c>
      <c r="E1057" s="155">
        <v>44784</v>
      </c>
      <c r="F1057" s="178">
        <v>2224.4</v>
      </c>
      <c r="G1057" s="179">
        <f>Tabla19[[#This Row],[Importe]]-Tabla19[[#This Row],[Pagado]]</f>
        <v>0</v>
      </c>
      <c r="H1057" s="153" t="s">
        <v>10</v>
      </c>
    </row>
    <row r="1058" spans="1:8" x14ac:dyDescent="0.25">
      <c r="A1058" s="73">
        <v>44784</v>
      </c>
      <c r="B1058" s="74" t="s">
        <v>25748</v>
      </c>
      <c r="C1058" s="75" t="s">
        <v>24</v>
      </c>
      <c r="D1058" s="176">
        <v>573</v>
      </c>
      <c r="E1058" s="151">
        <v>44784</v>
      </c>
      <c r="F1058" s="176">
        <v>573</v>
      </c>
      <c r="G1058" s="177">
        <f>Tabla19[[#This Row],[Importe]]-Tabla19[[#This Row],[Pagado]]</f>
        <v>0</v>
      </c>
      <c r="H1058" s="75" t="s">
        <v>10</v>
      </c>
    </row>
    <row r="1059" spans="1:8" x14ac:dyDescent="0.25">
      <c r="A1059" s="148">
        <v>44784</v>
      </c>
      <c r="B1059" s="149" t="s">
        <v>25749</v>
      </c>
      <c r="C1059" s="153" t="s">
        <v>53</v>
      </c>
      <c r="D1059" s="178">
        <v>663</v>
      </c>
      <c r="E1059" s="155">
        <v>44784</v>
      </c>
      <c r="F1059" s="178">
        <v>663</v>
      </c>
      <c r="G1059" s="179">
        <f>Tabla19[[#This Row],[Importe]]-Tabla19[[#This Row],[Pagado]]</f>
        <v>0</v>
      </c>
      <c r="H1059" s="153" t="s">
        <v>10</v>
      </c>
    </row>
    <row r="1060" spans="1:8" x14ac:dyDescent="0.25">
      <c r="A1060" s="73">
        <v>44784</v>
      </c>
      <c r="B1060" s="74" t="s">
        <v>25750</v>
      </c>
      <c r="C1060" s="75" t="s">
        <v>142</v>
      </c>
      <c r="D1060" s="176">
        <v>60532.46</v>
      </c>
      <c r="E1060" s="151">
        <v>44837</v>
      </c>
      <c r="F1060" s="176">
        <v>60532.46</v>
      </c>
      <c r="G1060" s="177">
        <f>Tabla19[[#This Row],[Importe]]-Tabla19[[#This Row],[Pagado]]</f>
        <v>0</v>
      </c>
      <c r="H1060" s="75" t="s">
        <v>10</v>
      </c>
    </row>
    <row r="1061" spans="1:8" x14ac:dyDescent="0.25">
      <c r="A1061" s="148">
        <v>44784</v>
      </c>
      <c r="B1061" s="149" t="s">
        <v>25751</v>
      </c>
      <c r="C1061" s="153" t="s">
        <v>222</v>
      </c>
      <c r="D1061" s="178">
        <v>11430.2</v>
      </c>
      <c r="E1061" s="155">
        <v>44784</v>
      </c>
      <c r="F1061" s="178">
        <v>11430.2</v>
      </c>
      <c r="G1061" s="179">
        <f>Tabla19[[#This Row],[Importe]]-Tabla19[[#This Row],[Pagado]]</f>
        <v>0</v>
      </c>
      <c r="H1061" s="153" t="s">
        <v>10</v>
      </c>
    </row>
    <row r="1062" spans="1:8" x14ac:dyDescent="0.25">
      <c r="A1062" s="73">
        <v>44784</v>
      </c>
      <c r="B1062" s="74" t="s">
        <v>25752</v>
      </c>
      <c r="C1062" s="75" t="s">
        <v>698</v>
      </c>
      <c r="D1062" s="176">
        <v>7071.8</v>
      </c>
      <c r="E1062" s="151">
        <v>44784</v>
      </c>
      <c r="F1062" s="176">
        <v>7071.8</v>
      </c>
      <c r="G1062" s="177">
        <f>Tabla19[[#This Row],[Importe]]-Tabla19[[#This Row],[Pagado]]</f>
        <v>0</v>
      </c>
      <c r="H1062" s="75" t="s">
        <v>10</v>
      </c>
    </row>
    <row r="1063" spans="1:8" x14ac:dyDescent="0.25">
      <c r="A1063" s="148">
        <v>44784</v>
      </c>
      <c r="B1063" s="149" t="s">
        <v>25753</v>
      </c>
      <c r="C1063" s="153" t="s">
        <v>296</v>
      </c>
      <c r="D1063" s="178">
        <v>6026.4</v>
      </c>
      <c r="E1063" s="155">
        <v>44784</v>
      </c>
      <c r="F1063" s="178">
        <v>6026.4</v>
      </c>
      <c r="G1063" s="179">
        <f>Tabla19[[#This Row],[Importe]]-Tabla19[[#This Row],[Pagado]]</f>
        <v>0</v>
      </c>
      <c r="H1063" s="153" t="s">
        <v>10</v>
      </c>
    </row>
    <row r="1064" spans="1:8" x14ac:dyDescent="0.25">
      <c r="A1064" s="73">
        <v>44784</v>
      </c>
      <c r="B1064" s="74" t="s">
        <v>25754</v>
      </c>
      <c r="C1064" s="75" t="s">
        <v>31</v>
      </c>
      <c r="D1064" s="176">
        <v>6400</v>
      </c>
      <c r="E1064" s="151">
        <v>44784</v>
      </c>
      <c r="F1064" s="176">
        <v>6400</v>
      </c>
      <c r="G1064" s="177">
        <f>Tabla19[[#This Row],[Importe]]-Tabla19[[#This Row],[Pagado]]</f>
        <v>0</v>
      </c>
      <c r="H1064" s="75" t="s">
        <v>10</v>
      </c>
    </row>
    <row r="1065" spans="1:8" x14ac:dyDescent="0.25">
      <c r="A1065" s="148">
        <v>44784</v>
      </c>
      <c r="B1065" s="149" t="s">
        <v>25755</v>
      </c>
      <c r="C1065" s="153" t="s">
        <v>5620</v>
      </c>
      <c r="D1065" s="178">
        <v>5519.5</v>
      </c>
      <c r="E1065" s="155">
        <v>44784</v>
      </c>
      <c r="F1065" s="178">
        <v>5519.5</v>
      </c>
      <c r="G1065" s="179">
        <f>Tabla19[[#This Row],[Importe]]-Tabla19[[#This Row],[Pagado]]</f>
        <v>0</v>
      </c>
      <c r="H1065" s="153" t="s">
        <v>10</v>
      </c>
    </row>
    <row r="1066" spans="1:8" x14ac:dyDescent="0.25">
      <c r="A1066" s="73">
        <v>44784</v>
      </c>
      <c r="B1066" s="74" t="s">
        <v>25756</v>
      </c>
      <c r="C1066" s="75" t="s">
        <v>9827</v>
      </c>
      <c r="D1066" s="176">
        <v>4082.4</v>
      </c>
      <c r="E1066" s="151">
        <v>44784</v>
      </c>
      <c r="F1066" s="176">
        <v>4082.4</v>
      </c>
      <c r="G1066" s="177">
        <f>Tabla19[[#This Row],[Importe]]-Tabla19[[#This Row],[Pagado]]</f>
        <v>0</v>
      </c>
      <c r="H1066" s="75" t="s">
        <v>10</v>
      </c>
    </row>
    <row r="1067" spans="1:8" x14ac:dyDescent="0.25">
      <c r="A1067" s="148">
        <v>44784</v>
      </c>
      <c r="B1067" s="149" t="s">
        <v>25757</v>
      </c>
      <c r="C1067" s="153" t="s">
        <v>426</v>
      </c>
      <c r="D1067" s="178">
        <v>3791</v>
      </c>
      <c r="E1067" s="155">
        <v>44784</v>
      </c>
      <c r="F1067" s="178">
        <v>3791</v>
      </c>
      <c r="G1067" s="179">
        <f>Tabla19[[#This Row],[Importe]]-Tabla19[[#This Row],[Pagado]]</f>
        <v>0</v>
      </c>
      <c r="H1067" s="153" t="s">
        <v>10</v>
      </c>
    </row>
    <row r="1068" spans="1:8" x14ac:dyDescent="0.25">
      <c r="A1068" s="73">
        <v>44784</v>
      </c>
      <c r="B1068" s="74" t="s">
        <v>25758</v>
      </c>
      <c r="C1068" s="75" t="s">
        <v>12</v>
      </c>
      <c r="D1068" s="176">
        <v>5682</v>
      </c>
      <c r="E1068" s="151">
        <v>44785</v>
      </c>
      <c r="F1068" s="176">
        <v>5682</v>
      </c>
      <c r="G1068" s="177">
        <f>Tabla19[[#This Row],[Importe]]-Tabla19[[#This Row],[Pagado]]</f>
        <v>0</v>
      </c>
      <c r="H1068" s="75" t="s">
        <v>10</v>
      </c>
    </row>
    <row r="1069" spans="1:8" x14ac:dyDescent="0.25">
      <c r="A1069" s="148">
        <v>44784</v>
      </c>
      <c r="B1069" s="149" t="s">
        <v>25759</v>
      </c>
      <c r="C1069" s="153" t="s">
        <v>175</v>
      </c>
      <c r="D1069" s="178">
        <v>18742.599999999999</v>
      </c>
      <c r="E1069" s="155">
        <v>44784</v>
      </c>
      <c r="F1069" s="178">
        <v>18742.599999999999</v>
      </c>
      <c r="G1069" s="179">
        <f>Tabla19[[#This Row],[Importe]]-Tabla19[[#This Row],[Pagado]]</f>
        <v>0</v>
      </c>
      <c r="H1069" s="153" t="s">
        <v>10</v>
      </c>
    </row>
    <row r="1070" spans="1:8" x14ac:dyDescent="0.25">
      <c r="A1070" s="73">
        <v>44784</v>
      </c>
      <c r="B1070" s="74" t="s">
        <v>25760</v>
      </c>
      <c r="C1070" s="75" t="s">
        <v>12</v>
      </c>
      <c r="D1070" s="176">
        <v>13635.2</v>
      </c>
      <c r="E1070" s="151">
        <v>44784</v>
      </c>
      <c r="F1070" s="176">
        <v>13635.2</v>
      </c>
      <c r="G1070" s="177">
        <f>Tabla19[[#This Row],[Importe]]-Tabla19[[#This Row],[Pagado]]</f>
        <v>0</v>
      </c>
      <c r="H1070" s="75" t="s">
        <v>10</v>
      </c>
    </row>
    <row r="1071" spans="1:8" x14ac:dyDescent="0.25">
      <c r="A1071" s="148">
        <v>44784</v>
      </c>
      <c r="B1071" s="149" t="s">
        <v>25761</v>
      </c>
      <c r="C1071" s="153" t="s">
        <v>31</v>
      </c>
      <c r="D1071" s="178">
        <v>730.8</v>
      </c>
      <c r="E1071" s="155">
        <v>44784</v>
      </c>
      <c r="F1071" s="178">
        <v>730.8</v>
      </c>
      <c r="G1071" s="179">
        <f>Tabla19[[#This Row],[Importe]]-Tabla19[[#This Row],[Pagado]]</f>
        <v>0</v>
      </c>
      <c r="H1071" s="153" t="s">
        <v>10</v>
      </c>
    </row>
    <row r="1072" spans="1:8" x14ac:dyDescent="0.25">
      <c r="A1072" s="73">
        <v>44784</v>
      </c>
      <c r="B1072" s="74" t="s">
        <v>25762</v>
      </c>
      <c r="C1072" s="75" t="s">
        <v>312</v>
      </c>
      <c r="D1072" s="176">
        <v>5546.6</v>
      </c>
      <c r="E1072" s="151">
        <v>44784</v>
      </c>
      <c r="F1072" s="176">
        <v>5546.6</v>
      </c>
      <c r="G1072" s="177">
        <f>Tabla19[[#This Row],[Importe]]-Tabla19[[#This Row],[Pagado]]</f>
        <v>0</v>
      </c>
      <c r="H1072" s="75" t="s">
        <v>10</v>
      </c>
    </row>
    <row r="1073" spans="1:8" x14ac:dyDescent="0.25">
      <c r="A1073" s="148">
        <v>44784</v>
      </c>
      <c r="B1073" s="149" t="s">
        <v>25763</v>
      </c>
      <c r="C1073" s="153" t="s">
        <v>167</v>
      </c>
      <c r="D1073" s="178">
        <v>114447.2</v>
      </c>
      <c r="E1073" s="155">
        <v>44784</v>
      </c>
      <c r="F1073" s="178">
        <v>114447.2</v>
      </c>
      <c r="G1073" s="179">
        <f>Tabla19[[#This Row],[Importe]]-Tabla19[[#This Row],[Pagado]]</f>
        <v>0</v>
      </c>
      <c r="H1073" s="153" t="s">
        <v>10</v>
      </c>
    </row>
    <row r="1074" spans="1:8" x14ac:dyDescent="0.25">
      <c r="A1074" s="73">
        <v>44784</v>
      </c>
      <c r="B1074" s="74" t="s">
        <v>25764</v>
      </c>
      <c r="C1074" s="75" t="s">
        <v>56</v>
      </c>
      <c r="D1074" s="176">
        <v>2691.8</v>
      </c>
      <c r="E1074" s="151">
        <v>44784</v>
      </c>
      <c r="F1074" s="176">
        <v>2691.8</v>
      </c>
      <c r="G1074" s="177">
        <f>Tabla19[[#This Row],[Importe]]-Tabla19[[#This Row],[Pagado]]</f>
        <v>0</v>
      </c>
      <c r="H1074" s="75" t="s">
        <v>10</v>
      </c>
    </row>
    <row r="1075" spans="1:8" x14ac:dyDescent="0.25">
      <c r="A1075" s="148">
        <v>44784</v>
      </c>
      <c r="B1075" s="149" t="s">
        <v>25765</v>
      </c>
      <c r="C1075" s="153" t="s">
        <v>226</v>
      </c>
      <c r="D1075" s="178">
        <v>12473.2</v>
      </c>
      <c r="E1075" s="155">
        <v>44784</v>
      </c>
      <c r="F1075" s="178">
        <v>12473.2</v>
      </c>
      <c r="G1075" s="179">
        <f>Tabla19[[#This Row],[Importe]]-Tabla19[[#This Row],[Pagado]]</f>
        <v>0</v>
      </c>
      <c r="H1075" s="153" t="s">
        <v>10</v>
      </c>
    </row>
    <row r="1076" spans="1:8" x14ac:dyDescent="0.25">
      <c r="A1076" s="73">
        <v>44784</v>
      </c>
      <c r="B1076" s="74" t="s">
        <v>25766</v>
      </c>
      <c r="C1076" s="75" t="s">
        <v>179</v>
      </c>
      <c r="D1076" s="176">
        <v>2184</v>
      </c>
      <c r="E1076" s="151">
        <v>44784</v>
      </c>
      <c r="F1076" s="176">
        <v>2184</v>
      </c>
      <c r="G1076" s="177">
        <f>Tabla19[[#This Row],[Importe]]-Tabla19[[#This Row],[Pagado]]</f>
        <v>0</v>
      </c>
      <c r="H1076" s="75" t="s">
        <v>10</v>
      </c>
    </row>
    <row r="1077" spans="1:8" x14ac:dyDescent="0.25">
      <c r="A1077" s="148">
        <v>44784</v>
      </c>
      <c r="B1077" s="149" t="s">
        <v>25767</v>
      </c>
      <c r="C1077" s="153" t="s">
        <v>244</v>
      </c>
      <c r="D1077" s="178">
        <v>714</v>
      </c>
      <c r="E1077" s="155">
        <v>44784</v>
      </c>
      <c r="F1077" s="178">
        <v>714</v>
      </c>
      <c r="G1077" s="179">
        <f>Tabla19[[#This Row],[Importe]]-Tabla19[[#This Row],[Pagado]]</f>
        <v>0</v>
      </c>
      <c r="H1077" s="153" t="s">
        <v>10</v>
      </c>
    </row>
    <row r="1078" spans="1:8" x14ac:dyDescent="0.25">
      <c r="A1078" s="73">
        <v>44784</v>
      </c>
      <c r="B1078" s="74" t="s">
        <v>25768</v>
      </c>
      <c r="C1078" s="75" t="s">
        <v>450</v>
      </c>
      <c r="D1078" s="176">
        <v>1870</v>
      </c>
      <c r="E1078" s="151">
        <v>44784</v>
      </c>
      <c r="F1078" s="176">
        <v>1870</v>
      </c>
      <c r="G1078" s="177">
        <f>Tabla19[[#This Row],[Importe]]-Tabla19[[#This Row],[Pagado]]</f>
        <v>0</v>
      </c>
      <c r="H1078" s="75" t="s">
        <v>10</v>
      </c>
    </row>
    <row r="1079" spans="1:8" x14ac:dyDescent="0.25">
      <c r="A1079" s="148">
        <v>44784</v>
      </c>
      <c r="B1079" s="149" t="s">
        <v>25769</v>
      </c>
      <c r="C1079" s="153" t="s">
        <v>31</v>
      </c>
      <c r="D1079" s="178">
        <v>722.4</v>
      </c>
      <c r="E1079" s="155">
        <v>44784</v>
      </c>
      <c r="F1079" s="178">
        <v>722.4</v>
      </c>
      <c r="G1079" s="179">
        <f>Tabla19[[#This Row],[Importe]]-Tabla19[[#This Row],[Pagado]]</f>
        <v>0</v>
      </c>
      <c r="H1079" s="153" t="s">
        <v>10</v>
      </c>
    </row>
    <row r="1080" spans="1:8" x14ac:dyDescent="0.25">
      <c r="A1080" s="73">
        <v>44784</v>
      </c>
      <c r="B1080" s="74" t="s">
        <v>25770</v>
      </c>
      <c r="C1080" s="75" t="s">
        <v>214</v>
      </c>
      <c r="D1080" s="176">
        <v>2007.6</v>
      </c>
      <c r="E1080" s="151">
        <v>44784</v>
      </c>
      <c r="F1080" s="176">
        <v>2007.6</v>
      </c>
      <c r="G1080" s="177">
        <f>Tabla19[[#This Row],[Importe]]-Tabla19[[#This Row],[Pagado]]</f>
        <v>0</v>
      </c>
      <c r="H1080" s="75" t="s">
        <v>10</v>
      </c>
    </row>
    <row r="1081" spans="1:8" x14ac:dyDescent="0.25">
      <c r="A1081" s="148">
        <v>44784</v>
      </c>
      <c r="B1081" s="149" t="s">
        <v>25771</v>
      </c>
      <c r="C1081" s="153" t="s">
        <v>95</v>
      </c>
      <c r="D1081" s="178">
        <v>3207.4</v>
      </c>
      <c r="E1081" s="155">
        <v>44784</v>
      </c>
      <c r="F1081" s="178">
        <v>3207.4</v>
      </c>
      <c r="G1081" s="179">
        <f>Tabla19[[#This Row],[Importe]]-Tabla19[[#This Row],[Pagado]]</f>
        <v>0</v>
      </c>
      <c r="H1081" s="153" t="s">
        <v>10</v>
      </c>
    </row>
    <row r="1082" spans="1:8" x14ac:dyDescent="0.25">
      <c r="A1082" s="73">
        <v>44784</v>
      </c>
      <c r="B1082" s="74" t="s">
        <v>25772</v>
      </c>
      <c r="C1082" s="75" t="s">
        <v>69</v>
      </c>
      <c r="D1082" s="176">
        <v>3520</v>
      </c>
      <c r="E1082" s="151" t="s">
        <v>25773</v>
      </c>
      <c r="F1082" s="176">
        <v>3520</v>
      </c>
      <c r="G1082" s="177">
        <f>Tabla19[[#This Row],[Importe]]-Tabla19[[#This Row],[Pagado]]</f>
        <v>0</v>
      </c>
      <c r="H1082" s="75" t="s">
        <v>10</v>
      </c>
    </row>
    <row r="1083" spans="1:8" ht="31.5" x14ac:dyDescent="0.25">
      <c r="A1083" s="148">
        <v>44784</v>
      </c>
      <c r="B1083" s="149" t="s">
        <v>25774</v>
      </c>
      <c r="C1083" s="153" t="s">
        <v>275</v>
      </c>
      <c r="D1083" s="178">
        <v>222770.3</v>
      </c>
      <c r="E1083" s="150" t="s">
        <v>28003</v>
      </c>
      <c r="F1083" s="178">
        <f>158294.85+64475.45</f>
        <v>222770.3</v>
      </c>
      <c r="G1083" s="179">
        <f>Tabla19[[#This Row],[Importe]]-Tabla19[[#This Row],[Pagado]]</f>
        <v>0</v>
      </c>
      <c r="H1083" s="153" t="s">
        <v>1695</v>
      </c>
    </row>
    <row r="1084" spans="1:8" x14ac:dyDescent="0.25">
      <c r="A1084" s="73">
        <v>44784</v>
      </c>
      <c r="B1084" s="74" t="s">
        <v>25775</v>
      </c>
      <c r="C1084" s="75" t="s">
        <v>16</v>
      </c>
      <c r="D1084" s="176">
        <v>2024</v>
      </c>
      <c r="E1084" s="151">
        <v>44784</v>
      </c>
      <c r="F1084" s="176">
        <v>2024</v>
      </c>
      <c r="G1084" s="177">
        <f>Tabla19[[#This Row],[Importe]]-Tabla19[[#This Row],[Pagado]]</f>
        <v>0</v>
      </c>
      <c r="H1084" s="75" t="s">
        <v>10</v>
      </c>
    </row>
    <row r="1085" spans="1:8" x14ac:dyDescent="0.25">
      <c r="A1085" s="148">
        <v>44784</v>
      </c>
      <c r="B1085" s="149" t="s">
        <v>25776</v>
      </c>
      <c r="C1085" s="153" t="s">
        <v>16</v>
      </c>
      <c r="D1085" s="178">
        <v>594</v>
      </c>
      <c r="E1085" s="155">
        <v>44784</v>
      </c>
      <c r="F1085" s="178">
        <v>594</v>
      </c>
      <c r="G1085" s="179">
        <f>Tabla19[[#This Row],[Importe]]-Tabla19[[#This Row],[Pagado]]</f>
        <v>0</v>
      </c>
      <c r="H1085" s="153" t="s">
        <v>10</v>
      </c>
    </row>
    <row r="1086" spans="1:8" x14ac:dyDescent="0.25">
      <c r="A1086" s="73">
        <v>44784</v>
      </c>
      <c r="B1086" s="74" t="s">
        <v>25777</v>
      </c>
      <c r="C1086" s="75" t="s">
        <v>407</v>
      </c>
      <c r="D1086" s="176">
        <v>27416.400000000001</v>
      </c>
      <c r="E1086" s="151">
        <v>44797</v>
      </c>
      <c r="F1086" s="176">
        <v>27416.400000000001</v>
      </c>
      <c r="G1086" s="177">
        <f>Tabla19[[#This Row],[Importe]]-Tabla19[[#This Row],[Pagado]]</f>
        <v>0</v>
      </c>
      <c r="H1086" s="75" t="s">
        <v>10</v>
      </c>
    </row>
    <row r="1087" spans="1:8" x14ac:dyDescent="0.25">
      <c r="A1087" s="148">
        <v>44784</v>
      </c>
      <c r="B1087" s="149" t="s">
        <v>25778</v>
      </c>
      <c r="C1087" s="153" t="s">
        <v>127</v>
      </c>
      <c r="D1087" s="178">
        <v>5130.8999999999996</v>
      </c>
      <c r="E1087" s="155">
        <v>44785</v>
      </c>
      <c r="F1087" s="178">
        <v>5130.8999999999996</v>
      </c>
      <c r="G1087" s="179">
        <f>Tabla19[[#This Row],[Importe]]-Tabla19[[#This Row],[Pagado]]</f>
        <v>0</v>
      </c>
      <c r="H1087" s="153" t="s">
        <v>10</v>
      </c>
    </row>
    <row r="1088" spans="1:8" x14ac:dyDescent="0.25">
      <c r="A1088" s="73">
        <v>44784</v>
      </c>
      <c r="B1088" s="74" t="s">
        <v>25779</v>
      </c>
      <c r="C1088" s="75" t="s">
        <v>129</v>
      </c>
      <c r="D1088" s="176">
        <v>4221.7</v>
      </c>
      <c r="E1088" s="151">
        <v>44785</v>
      </c>
      <c r="F1088" s="176">
        <v>4221.7</v>
      </c>
      <c r="G1088" s="177">
        <f>Tabla19[[#This Row],[Importe]]-Tabla19[[#This Row],[Pagado]]</f>
        <v>0</v>
      </c>
      <c r="H1088" s="75" t="s">
        <v>10</v>
      </c>
    </row>
    <row r="1089" spans="1:8" x14ac:dyDescent="0.25">
      <c r="A1089" s="148">
        <v>44784</v>
      </c>
      <c r="B1089" s="149" t="s">
        <v>25780</v>
      </c>
      <c r="C1089" s="153" t="s">
        <v>1362</v>
      </c>
      <c r="D1089" s="178">
        <v>6359.7</v>
      </c>
      <c r="E1089" s="155">
        <v>44785</v>
      </c>
      <c r="F1089" s="178">
        <v>6359.7</v>
      </c>
      <c r="G1089" s="179">
        <f>Tabla19[[#This Row],[Importe]]-Tabla19[[#This Row],[Pagado]]</f>
        <v>0</v>
      </c>
      <c r="H1089" s="153" t="s">
        <v>10</v>
      </c>
    </row>
    <row r="1090" spans="1:8" x14ac:dyDescent="0.25">
      <c r="A1090" s="73">
        <v>44784</v>
      </c>
      <c r="B1090" s="74" t="s">
        <v>25781</v>
      </c>
      <c r="C1090" s="75" t="s">
        <v>333</v>
      </c>
      <c r="D1090" s="176">
        <v>585</v>
      </c>
      <c r="E1090" s="151">
        <v>44785</v>
      </c>
      <c r="F1090" s="176">
        <v>585</v>
      </c>
      <c r="G1090" s="177">
        <f>Tabla19[[#This Row],[Importe]]-Tabla19[[#This Row],[Pagado]]</f>
        <v>0</v>
      </c>
      <c r="H1090" s="75" t="s">
        <v>10</v>
      </c>
    </row>
    <row r="1091" spans="1:8" x14ac:dyDescent="0.25">
      <c r="A1091" s="148">
        <v>44784</v>
      </c>
      <c r="B1091" s="149" t="s">
        <v>25782</v>
      </c>
      <c r="C1091" s="153" t="s">
        <v>31</v>
      </c>
      <c r="D1091" s="178">
        <v>273</v>
      </c>
      <c r="E1091" s="155">
        <v>44784</v>
      </c>
      <c r="F1091" s="178">
        <v>273</v>
      </c>
      <c r="G1091" s="179">
        <f>Tabla19[[#This Row],[Importe]]-Tabla19[[#This Row],[Pagado]]</f>
        <v>0</v>
      </c>
      <c r="H1091" s="153" t="s">
        <v>10</v>
      </c>
    </row>
    <row r="1092" spans="1:8" x14ac:dyDescent="0.25">
      <c r="A1092" s="73">
        <v>44784</v>
      </c>
      <c r="B1092" s="74" t="s">
        <v>25783</v>
      </c>
      <c r="C1092" s="75" t="s">
        <v>729</v>
      </c>
      <c r="D1092" s="176">
        <v>29529.200000000001</v>
      </c>
      <c r="E1092" s="151">
        <v>44785</v>
      </c>
      <c r="F1092" s="176">
        <v>29529.200000000001</v>
      </c>
      <c r="G1092" s="177">
        <f>Tabla19[[#This Row],[Importe]]-Tabla19[[#This Row],[Pagado]]</f>
        <v>0</v>
      </c>
      <c r="H1092" s="75" t="s">
        <v>10</v>
      </c>
    </row>
    <row r="1093" spans="1:8" x14ac:dyDescent="0.25">
      <c r="A1093" s="148">
        <v>44784</v>
      </c>
      <c r="B1093" s="149" t="s">
        <v>25784</v>
      </c>
      <c r="C1093" s="153" t="s">
        <v>10819</v>
      </c>
      <c r="D1093" s="178">
        <v>840</v>
      </c>
      <c r="E1093" s="155">
        <v>44785</v>
      </c>
      <c r="F1093" s="178">
        <v>840</v>
      </c>
      <c r="G1093" s="179">
        <f>Tabla19[[#This Row],[Importe]]-Tabla19[[#This Row],[Pagado]]</f>
        <v>0</v>
      </c>
      <c r="H1093" s="153" t="s">
        <v>10</v>
      </c>
    </row>
    <row r="1094" spans="1:8" x14ac:dyDescent="0.25">
      <c r="A1094" s="73">
        <v>44784</v>
      </c>
      <c r="B1094" s="74" t="s">
        <v>25785</v>
      </c>
      <c r="C1094" s="75" t="s">
        <v>5345</v>
      </c>
      <c r="D1094" s="176">
        <v>3544.8</v>
      </c>
      <c r="E1094" s="151">
        <v>44785</v>
      </c>
      <c r="F1094" s="176">
        <v>3544.8</v>
      </c>
      <c r="G1094" s="177">
        <f>Tabla19[[#This Row],[Importe]]-Tabla19[[#This Row],[Pagado]]</f>
        <v>0</v>
      </c>
      <c r="H1094" s="75" t="s">
        <v>10</v>
      </c>
    </row>
    <row r="1095" spans="1:8" x14ac:dyDescent="0.25">
      <c r="A1095" s="148">
        <v>44784</v>
      </c>
      <c r="B1095" s="149" t="s">
        <v>25786</v>
      </c>
      <c r="C1095" s="153" t="s">
        <v>280</v>
      </c>
      <c r="D1095" s="178">
        <v>1713.6</v>
      </c>
      <c r="E1095" s="155">
        <v>44785</v>
      </c>
      <c r="F1095" s="178">
        <v>1713.6</v>
      </c>
      <c r="G1095" s="179">
        <f>Tabla19[[#This Row],[Importe]]-Tabla19[[#This Row],[Pagado]]</f>
        <v>0</v>
      </c>
      <c r="H1095" s="153" t="s">
        <v>10</v>
      </c>
    </row>
    <row r="1096" spans="1:8" x14ac:dyDescent="0.25">
      <c r="A1096" s="73">
        <v>44784</v>
      </c>
      <c r="B1096" s="74" t="s">
        <v>25787</v>
      </c>
      <c r="C1096" s="75" t="s">
        <v>282</v>
      </c>
      <c r="D1096" s="176">
        <v>1705.2</v>
      </c>
      <c r="E1096" s="151">
        <v>44785</v>
      </c>
      <c r="F1096" s="176">
        <v>1705.2</v>
      </c>
      <c r="G1096" s="177">
        <f>Tabla19[[#This Row],[Importe]]-Tabla19[[#This Row],[Pagado]]</f>
        <v>0</v>
      </c>
      <c r="H1096" s="75" t="s">
        <v>10</v>
      </c>
    </row>
    <row r="1097" spans="1:8" x14ac:dyDescent="0.25">
      <c r="A1097" s="148">
        <v>44784</v>
      </c>
      <c r="B1097" s="149" t="s">
        <v>25788</v>
      </c>
      <c r="C1097" s="153" t="s">
        <v>284</v>
      </c>
      <c r="D1097" s="178">
        <v>10995.6</v>
      </c>
      <c r="E1097" s="155">
        <v>44785</v>
      </c>
      <c r="F1097" s="178">
        <v>10995.6</v>
      </c>
      <c r="G1097" s="179">
        <f>Tabla19[[#This Row],[Importe]]-Tabla19[[#This Row],[Pagado]]</f>
        <v>0</v>
      </c>
      <c r="H1097" s="153" t="s">
        <v>10</v>
      </c>
    </row>
    <row r="1098" spans="1:8" x14ac:dyDescent="0.25">
      <c r="A1098" s="73">
        <v>44784</v>
      </c>
      <c r="B1098" s="74" t="s">
        <v>25789</v>
      </c>
      <c r="C1098" s="75" t="s">
        <v>53</v>
      </c>
      <c r="D1098" s="176">
        <v>688.5</v>
      </c>
      <c r="E1098" s="151">
        <v>44784</v>
      </c>
      <c r="F1098" s="176">
        <v>688.5</v>
      </c>
      <c r="G1098" s="177">
        <f>Tabla19[[#This Row],[Importe]]-Tabla19[[#This Row],[Pagado]]</f>
        <v>0</v>
      </c>
      <c r="H1098" s="75" t="s">
        <v>10</v>
      </c>
    </row>
    <row r="1099" spans="1:8" x14ac:dyDescent="0.25">
      <c r="A1099" s="148">
        <v>44784</v>
      </c>
      <c r="B1099" s="149" t="s">
        <v>25790</v>
      </c>
      <c r="C1099" s="153" t="s">
        <v>226</v>
      </c>
      <c r="D1099" s="178">
        <v>650</v>
      </c>
      <c r="E1099" s="155">
        <v>44784</v>
      </c>
      <c r="F1099" s="178">
        <v>650</v>
      </c>
      <c r="G1099" s="179">
        <f>Tabla19[[#This Row],[Importe]]-Tabla19[[#This Row],[Pagado]]</f>
        <v>0</v>
      </c>
      <c r="H1099" s="153" t="s">
        <v>10</v>
      </c>
    </row>
    <row r="1100" spans="1:8" x14ac:dyDescent="0.25">
      <c r="A1100" s="73">
        <v>44784</v>
      </c>
      <c r="B1100" s="74" t="s">
        <v>25791</v>
      </c>
      <c r="C1100" s="75" t="s">
        <v>870</v>
      </c>
      <c r="D1100" s="176">
        <v>12000</v>
      </c>
      <c r="E1100" s="151">
        <v>44785</v>
      </c>
      <c r="F1100" s="176">
        <v>12000</v>
      </c>
      <c r="G1100" s="177">
        <f>Tabla19[[#This Row],[Importe]]-Tabla19[[#This Row],[Pagado]]</f>
        <v>0</v>
      </c>
      <c r="H1100" s="75" t="s">
        <v>10</v>
      </c>
    </row>
    <row r="1101" spans="1:8" x14ac:dyDescent="0.25">
      <c r="A1101" s="148">
        <v>44784</v>
      </c>
      <c r="B1101" s="149" t="s">
        <v>25792</v>
      </c>
      <c r="C1101" s="153" t="s">
        <v>191</v>
      </c>
      <c r="D1101" s="178">
        <v>276</v>
      </c>
      <c r="E1101" s="155">
        <v>44784</v>
      </c>
      <c r="F1101" s="178">
        <v>276</v>
      </c>
      <c r="G1101" s="179">
        <f>Tabla19[[#This Row],[Importe]]-Tabla19[[#This Row],[Pagado]]</f>
        <v>0</v>
      </c>
      <c r="H1101" s="153" t="s">
        <v>10</v>
      </c>
    </row>
    <row r="1102" spans="1:8" x14ac:dyDescent="0.25">
      <c r="A1102" s="73">
        <v>44784</v>
      </c>
      <c r="B1102" s="74" t="s">
        <v>25793</v>
      </c>
      <c r="C1102" s="75" t="s">
        <v>291</v>
      </c>
      <c r="D1102" s="176">
        <v>833</v>
      </c>
      <c r="E1102" s="151">
        <v>44785</v>
      </c>
      <c r="F1102" s="176">
        <v>833</v>
      </c>
      <c r="G1102" s="177">
        <f>Tabla19[[#This Row],[Importe]]-Tabla19[[#This Row],[Pagado]]</f>
        <v>0</v>
      </c>
      <c r="H1102" s="75" t="s">
        <v>10</v>
      </c>
    </row>
    <row r="1103" spans="1:8" x14ac:dyDescent="0.25">
      <c r="A1103" s="148">
        <v>44784</v>
      </c>
      <c r="B1103" s="149" t="s">
        <v>25794</v>
      </c>
      <c r="C1103" s="153" t="s">
        <v>442</v>
      </c>
      <c r="D1103" s="178">
        <v>13673.4</v>
      </c>
      <c r="E1103" s="155">
        <v>44785</v>
      </c>
      <c r="F1103" s="178">
        <v>13673.4</v>
      </c>
      <c r="G1103" s="179">
        <f>Tabla19[[#This Row],[Importe]]-Tabla19[[#This Row],[Pagado]]</f>
        <v>0</v>
      </c>
      <c r="H1103" s="153" t="s">
        <v>10</v>
      </c>
    </row>
    <row r="1104" spans="1:8" x14ac:dyDescent="0.25">
      <c r="A1104" s="73">
        <v>44785</v>
      </c>
      <c r="B1104" s="74" t="s">
        <v>25795</v>
      </c>
      <c r="C1104" s="75" t="s">
        <v>887</v>
      </c>
      <c r="D1104" s="176">
        <v>10493.9</v>
      </c>
      <c r="E1104" s="151">
        <v>44785</v>
      </c>
      <c r="F1104" s="176">
        <v>10493.9</v>
      </c>
      <c r="G1104" s="177">
        <f>Tabla19[[#This Row],[Importe]]-Tabla19[[#This Row],[Pagado]]</f>
        <v>0</v>
      </c>
      <c r="H1104" s="75" t="s">
        <v>10</v>
      </c>
    </row>
    <row r="1105" spans="1:8" ht="31.5" x14ac:dyDescent="0.25">
      <c r="A1105" s="148">
        <v>44785</v>
      </c>
      <c r="B1105" s="149" t="s">
        <v>25796</v>
      </c>
      <c r="C1105" s="153" t="s">
        <v>475</v>
      </c>
      <c r="D1105" s="178">
        <v>63118.5</v>
      </c>
      <c r="E1105" s="150" t="s">
        <v>25797</v>
      </c>
      <c r="F1105" s="178">
        <f>41000+22118.5</f>
        <v>63118.5</v>
      </c>
      <c r="G1105" s="179">
        <f>Tabla19[[#This Row],[Importe]]-Tabla19[[#This Row],[Pagado]]</f>
        <v>0</v>
      </c>
      <c r="H1105" s="153" t="s">
        <v>10</v>
      </c>
    </row>
    <row r="1106" spans="1:8" x14ac:dyDescent="0.25">
      <c r="A1106" s="73">
        <v>44785</v>
      </c>
      <c r="B1106" s="74" t="s">
        <v>25798</v>
      </c>
      <c r="C1106" s="75" t="s">
        <v>12</v>
      </c>
      <c r="D1106" s="176">
        <v>4321.8</v>
      </c>
      <c r="E1106" s="151">
        <v>44785</v>
      </c>
      <c r="F1106" s="176">
        <v>4321.8</v>
      </c>
      <c r="G1106" s="177">
        <f>Tabla19[[#This Row],[Importe]]-Tabla19[[#This Row],[Pagado]]</f>
        <v>0</v>
      </c>
      <c r="H1106" s="75" t="s">
        <v>10</v>
      </c>
    </row>
    <row r="1107" spans="1:8" x14ac:dyDescent="0.25">
      <c r="A1107" s="148">
        <v>44785</v>
      </c>
      <c r="B1107" s="149" t="s">
        <v>25799</v>
      </c>
      <c r="C1107" s="153" t="s">
        <v>473</v>
      </c>
      <c r="D1107" s="178">
        <v>5720.2</v>
      </c>
      <c r="E1107" s="155">
        <v>44785</v>
      </c>
      <c r="F1107" s="178">
        <v>5720.2</v>
      </c>
      <c r="G1107" s="179">
        <f>Tabla19[[#This Row],[Importe]]-Tabla19[[#This Row],[Pagado]]</f>
        <v>0</v>
      </c>
      <c r="H1107" s="153" t="s">
        <v>10</v>
      </c>
    </row>
    <row r="1108" spans="1:8" x14ac:dyDescent="0.25">
      <c r="A1108" s="73">
        <v>44785</v>
      </c>
      <c r="B1108" s="74" t="s">
        <v>25800</v>
      </c>
      <c r="C1108" s="75" t="s">
        <v>25801</v>
      </c>
      <c r="D1108" s="176">
        <v>0</v>
      </c>
      <c r="E1108" s="157" t="s">
        <v>189</v>
      </c>
      <c r="F1108" s="176">
        <v>0</v>
      </c>
      <c r="G1108" s="177">
        <f>Tabla19[[#This Row],[Importe]]-Tabla19[[#This Row],[Pagado]]</f>
        <v>0</v>
      </c>
      <c r="H1108" s="161" t="s">
        <v>25802</v>
      </c>
    </row>
    <row r="1109" spans="1:8" x14ac:dyDescent="0.25">
      <c r="A1109" s="148">
        <v>44785</v>
      </c>
      <c r="B1109" s="149" t="s">
        <v>25803</v>
      </c>
      <c r="C1109" s="153" t="s">
        <v>473</v>
      </c>
      <c r="D1109" s="178">
        <v>3148.4</v>
      </c>
      <c r="E1109" s="155">
        <v>44785</v>
      </c>
      <c r="F1109" s="178">
        <v>3148.4</v>
      </c>
      <c r="G1109" s="179">
        <f>Tabla19[[#This Row],[Importe]]-Tabla19[[#This Row],[Pagado]]</f>
        <v>0</v>
      </c>
      <c r="H1109" s="153" t="s">
        <v>10</v>
      </c>
    </row>
    <row r="1110" spans="1:8" x14ac:dyDescent="0.25">
      <c r="A1110" s="73">
        <v>44785</v>
      </c>
      <c r="B1110" s="74" t="s">
        <v>25804</v>
      </c>
      <c r="C1110" s="75" t="s">
        <v>75</v>
      </c>
      <c r="D1110" s="176">
        <v>10063.200000000001</v>
      </c>
      <c r="E1110" s="151">
        <v>44785</v>
      </c>
      <c r="F1110" s="176">
        <v>10063.200000000001</v>
      </c>
      <c r="G1110" s="177">
        <f>Tabla19[[#This Row],[Importe]]-Tabla19[[#This Row],[Pagado]]</f>
        <v>0</v>
      </c>
      <c r="H1110" s="75" t="s">
        <v>10</v>
      </c>
    </row>
    <row r="1111" spans="1:8" x14ac:dyDescent="0.25">
      <c r="A1111" s="148">
        <v>44785</v>
      </c>
      <c r="B1111" s="149" t="s">
        <v>25805</v>
      </c>
      <c r="C1111" s="153" t="s">
        <v>2563</v>
      </c>
      <c r="D1111" s="178">
        <v>4914</v>
      </c>
      <c r="E1111" s="155">
        <v>44786</v>
      </c>
      <c r="F1111" s="178">
        <v>4914</v>
      </c>
      <c r="G1111" s="179">
        <f>Tabla19[[#This Row],[Importe]]-Tabla19[[#This Row],[Pagado]]</f>
        <v>0</v>
      </c>
      <c r="H1111" s="153" t="s">
        <v>10</v>
      </c>
    </row>
    <row r="1112" spans="1:8" x14ac:dyDescent="0.25">
      <c r="A1112" s="73">
        <v>44785</v>
      </c>
      <c r="B1112" s="74" t="s">
        <v>25806</v>
      </c>
      <c r="C1112" s="75" t="s">
        <v>111</v>
      </c>
      <c r="D1112" s="176">
        <v>5323.5</v>
      </c>
      <c r="E1112" s="151">
        <v>44786</v>
      </c>
      <c r="F1112" s="176">
        <v>5323.5</v>
      </c>
      <c r="G1112" s="177">
        <f>Tabla19[[#This Row],[Importe]]-Tabla19[[#This Row],[Pagado]]</f>
        <v>0</v>
      </c>
      <c r="H1112" s="75" t="s">
        <v>10</v>
      </c>
    </row>
    <row r="1113" spans="1:8" ht="31.5" x14ac:dyDescent="0.25">
      <c r="A1113" s="148">
        <v>44785</v>
      </c>
      <c r="B1113" s="149" t="s">
        <v>25807</v>
      </c>
      <c r="C1113" s="153" t="s">
        <v>60</v>
      </c>
      <c r="D1113" s="178">
        <v>4901</v>
      </c>
      <c r="E1113" s="150" t="s">
        <v>25808</v>
      </c>
      <c r="F1113" s="178">
        <f>2500+2401</f>
        <v>4901</v>
      </c>
      <c r="G1113" s="179">
        <f>Tabla19[[#This Row],[Importe]]-Tabla19[[#This Row],[Pagado]]</f>
        <v>0</v>
      </c>
      <c r="H1113" s="153" t="s">
        <v>10</v>
      </c>
    </row>
    <row r="1114" spans="1:8" x14ac:dyDescent="0.25">
      <c r="A1114" s="73">
        <v>44785</v>
      </c>
      <c r="B1114" s="74" t="s">
        <v>25809</v>
      </c>
      <c r="C1114" s="75" t="s">
        <v>97</v>
      </c>
      <c r="D1114" s="176">
        <v>10166</v>
      </c>
      <c r="E1114" s="151">
        <v>44786</v>
      </c>
      <c r="F1114" s="176">
        <v>10166</v>
      </c>
      <c r="G1114" s="177">
        <f>Tabla19[[#This Row],[Importe]]-Tabla19[[#This Row],[Pagado]]</f>
        <v>0</v>
      </c>
      <c r="H1114" s="75" t="s">
        <v>10</v>
      </c>
    </row>
    <row r="1115" spans="1:8" x14ac:dyDescent="0.25">
      <c r="A1115" s="148">
        <v>44785</v>
      </c>
      <c r="B1115" s="149" t="s">
        <v>25810</v>
      </c>
      <c r="C1115" s="153" t="s">
        <v>348</v>
      </c>
      <c r="D1115" s="178">
        <v>2776.7</v>
      </c>
      <c r="E1115" s="155">
        <v>44785</v>
      </c>
      <c r="F1115" s="178">
        <v>2776.7</v>
      </c>
      <c r="G1115" s="179">
        <f>Tabla19[[#This Row],[Importe]]-Tabla19[[#This Row],[Pagado]]</f>
        <v>0</v>
      </c>
      <c r="H1115" s="153" t="s">
        <v>10</v>
      </c>
    </row>
    <row r="1116" spans="1:8" x14ac:dyDescent="0.25">
      <c r="A1116" s="73">
        <v>44785</v>
      </c>
      <c r="B1116" s="74" t="s">
        <v>25811</v>
      </c>
      <c r="C1116" s="75" t="s">
        <v>105</v>
      </c>
      <c r="D1116" s="176">
        <v>11756.1</v>
      </c>
      <c r="E1116" s="151">
        <v>44786</v>
      </c>
      <c r="F1116" s="176">
        <v>11756.1</v>
      </c>
      <c r="G1116" s="177">
        <f>Tabla19[[#This Row],[Importe]]-Tabla19[[#This Row],[Pagado]]</f>
        <v>0</v>
      </c>
      <c r="H1116" s="75" t="s">
        <v>10</v>
      </c>
    </row>
    <row r="1117" spans="1:8" x14ac:dyDescent="0.25">
      <c r="A1117" s="148">
        <v>44785</v>
      </c>
      <c r="B1117" s="149" t="s">
        <v>25812</v>
      </c>
      <c r="C1117" s="153" t="s">
        <v>114</v>
      </c>
      <c r="D1117" s="178">
        <v>13742.4</v>
      </c>
      <c r="E1117" s="155">
        <v>44786</v>
      </c>
      <c r="F1117" s="178">
        <v>13742.4</v>
      </c>
      <c r="G1117" s="179">
        <f>Tabla19[[#This Row],[Importe]]-Tabla19[[#This Row],[Pagado]]</f>
        <v>0</v>
      </c>
      <c r="H1117" s="153" t="s">
        <v>10</v>
      </c>
    </row>
    <row r="1118" spans="1:8" x14ac:dyDescent="0.25">
      <c r="A1118" s="73">
        <v>44785</v>
      </c>
      <c r="B1118" s="74" t="s">
        <v>25813</v>
      </c>
      <c r="C1118" s="75" t="s">
        <v>99</v>
      </c>
      <c r="D1118" s="176">
        <v>3309.8</v>
      </c>
      <c r="E1118" s="151">
        <v>44788</v>
      </c>
      <c r="F1118" s="176">
        <v>3309.8</v>
      </c>
      <c r="G1118" s="177">
        <f>Tabla19[[#This Row],[Importe]]-Tabla19[[#This Row],[Pagado]]</f>
        <v>0</v>
      </c>
      <c r="H1118" s="75" t="s">
        <v>10</v>
      </c>
    </row>
    <row r="1119" spans="1:8" ht="31.5" x14ac:dyDescent="0.25">
      <c r="A1119" s="148">
        <v>44785</v>
      </c>
      <c r="B1119" s="149" t="s">
        <v>25814</v>
      </c>
      <c r="C1119" s="153" t="s">
        <v>93</v>
      </c>
      <c r="D1119" s="178">
        <v>10272.9</v>
      </c>
      <c r="E1119" s="150" t="s">
        <v>25815</v>
      </c>
      <c r="F1119" s="178">
        <f>5000+5272.9</f>
        <v>10272.9</v>
      </c>
      <c r="G1119" s="179">
        <f>Tabla19[[#This Row],[Importe]]-Tabla19[[#This Row],[Pagado]]</f>
        <v>0</v>
      </c>
      <c r="H1119" s="153" t="s">
        <v>10</v>
      </c>
    </row>
    <row r="1120" spans="1:8" x14ac:dyDescent="0.25">
      <c r="A1120" s="73">
        <v>44785</v>
      </c>
      <c r="B1120" s="74" t="s">
        <v>25816</v>
      </c>
      <c r="C1120" s="75" t="s">
        <v>83</v>
      </c>
      <c r="D1120" s="176">
        <v>6064</v>
      </c>
      <c r="E1120" s="151">
        <v>44785</v>
      </c>
      <c r="F1120" s="176">
        <v>6064</v>
      </c>
      <c r="G1120" s="177">
        <f>Tabla19[[#This Row],[Importe]]-Tabla19[[#This Row],[Pagado]]</f>
        <v>0</v>
      </c>
      <c r="H1120" s="75" t="s">
        <v>10</v>
      </c>
    </row>
    <row r="1121" spans="1:8" x14ac:dyDescent="0.25">
      <c r="A1121" s="148">
        <v>44785</v>
      </c>
      <c r="B1121" s="149" t="s">
        <v>25817</v>
      </c>
      <c r="C1121" s="153" t="s">
        <v>89</v>
      </c>
      <c r="D1121" s="178">
        <v>17446.8</v>
      </c>
      <c r="E1121" s="155">
        <v>44786</v>
      </c>
      <c r="F1121" s="178">
        <v>17446.8</v>
      </c>
      <c r="G1121" s="179">
        <f>Tabla19[[#This Row],[Importe]]-Tabla19[[#This Row],[Pagado]]</f>
        <v>0</v>
      </c>
      <c r="H1121" s="153" t="s">
        <v>10</v>
      </c>
    </row>
    <row r="1122" spans="1:8" x14ac:dyDescent="0.25">
      <c r="A1122" s="73">
        <v>44785</v>
      </c>
      <c r="B1122" s="74" t="s">
        <v>25818</v>
      </c>
      <c r="C1122" s="75" t="s">
        <v>2151</v>
      </c>
      <c r="D1122" s="176">
        <v>24620.3</v>
      </c>
      <c r="E1122" s="151">
        <v>44785</v>
      </c>
      <c r="F1122" s="176">
        <v>24620.3</v>
      </c>
      <c r="G1122" s="177">
        <f>Tabla19[[#This Row],[Importe]]-Tabla19[[#This Row],[Pagado]]</f>
        <v>0</v>
      </c>
      <c r="H1122" s="75" t="s">
        <v>10</v>
      </c>
    </row>
    <row r="1123" spans="1:8" x14ac:dyDescent="0.25">
      <c r="A1123" s="148">
        <v>44785</v>
      </c>
      <c r="B1123" s="149" t="s">
        <v>25819</v>
      </c>
      <c r="C1123" s="153" t="s">
        <v>314</v>
      </c>
      <c r="D1123" s="178">
        <v>4300.3999999999996</v>
      </c>
      <c r="E1123" s="155">
        <v>44785</v>
      </c>
      <c r="F1123" s="178">
        <v>4300.3999999999996</v>
      </c>
      <c r="G1123" s="179">
        <f>Tabla19[[#This Row],[Importe]]-Tabla19[[#This Row],[Pagado]]</f>
        <v>0</v>
      </c>
      <c r="H1123" s="153" t="s">
        <v>10</v>
      </c>
    </row>
    <row r="1124" spans="1:8" x14ac:dyDescent="0.25">
      <c r="A1124" s="73">
        <v>44785</v>
      </c>
      <c r="B1124" s="74" t="s">
        <v>25820</v>
      </c>
      <c r="C1124" s="75" t="s">
        <v>64</v>
      </c>
      <c r="D1124" s="176">
        <v>10253.6</v>
      </c>
      <c r="E1124" s="151">
        <v>44786</v>
      </c>
      <c r="F1124" s="176">
        <v>10253.6</v>
      </c>
      <c r="G1124" s="177">
        <f>Tabla19[[#This Row],[Importe]]-Tabla19[[#This Row],[Pagado]]</f>
        <v>0</v>
      </c>
      <c r="H1124" s="75" t="s">
        <v>10</v>
      </c>
    </row>
    <row r="1125" spans="1:8" x14ac:dyDescent="0.25">
      <c r="A1125" s="148">
        <v>44785</v>
      </c>
      <c r="B1125" s="149" t="s">
        <v>25821</v>
      </c>
      <c r="C1125" s="153" t="s">
        <v>924</v>
      </c>
      <c r="D1125" s="178">
        <v>13801.5</v>
      </c>
      <c r="E1125" s="155">
        <v>44785</v>
      </c>
      <c r="F1125" s="178">
        <v>13801.5</v>
      </c>
      <c r="G1125" s="179">
        <f>Tabla19[[#This Row],[Importe]]-Tabla19[[#This Row],[Pagado]]</f>
        <v>0</v>
      </c>
      <c r="H1125" s="153" t="s">
        <v>10</v>
      </c>
    </row>
    <row r="1126" spans="1:8" x14ac:dyDescent="0.25">
      <c r="A1126" s="73">
        <v>44785</v>
      </c>
      <c r="B1126" s="74" t="s">
        <v>25822</v>
      </c>
      <c r="C1126" s="75" t="s">
        <v>87</v>
      </c>
      <c r="D1126" s="176">
        <v>4819.6000000000004</v>
      </c>
      <c r="E1126" s="151">
        <v>44785</v>
      </c>
      <c r="F1126" s="176">
        <v>4819.6000000000004</v>
      </c>
      <c r="G1126" s="177">
        <f>Tabla19[[#This Row],[Importe]]-Tabla19[[#This Row],[Pagado]]</f>
        <v>0</v>
      </c>
      <c r="H1126" s="75" t="s">
        <v>10</v>
      </c>
    </row>
    <row r="1127" spans="1:8" x14ac:dyDescent="0.25">
      <c r="A1127" s="148">
        <v>44785</v>
      </c>
      <c r="B1127" s="149" t="s">
        <v>25823</v>
      </c>
      <c r="C1127" s="153" t="s">
        <v>9</v>
      </c>
      <c r="D1127" s="178">
        <v>7078.7</v>
      </c>
      <c r="E1127" s="155">
        <v>44785</v>
      </c>
      <c r="F1127" s="178">
        <v>7078.7</v>
      </c>
      <c r="G1127" s="179">
        <f>Tabla19[[#This Row],[Importe]]-Tabla19[[#This Row],[Pagado]]</f>
        <v>0</v>
      </c>
      <c r="H1127" s="153" t="s">
        <v>10</v>
      </c>
    </row>
    <row r="1128" spans="1:8" x14ac:dyDescent="0.25">
      <c r="A1128" s="73">
        <v>44785</v>
      </c>
      <c r="B1128" s="74" t="s">
        <v>25824</v>
      </c>
      <c r="C1128" s="75" t="s">
        <v>924</v>
      </c>
      <c r="D1128" s="176">
        <v>4920</v>
      </c>
      <c r="E1128" s="151">
        <v>44785</v>
      </c>
      <c r="F1128" s="176">
        <v>4920</v>
      </c>
      <c r="G1128" s="177">
        <f>Tabla19[[#This Row],[Importe]]-Tabla19[[#This Row],[Pagado]]</f>
        <v>0</v>
      </c>
      <c r="H1128" s="75" t="s">
        <v>10</v>
      </c>
    </row>
    <row r="1129" spans="1:8" x14ac:dyDescent="0.25">
      <c r="A1129" s="148">
        <v>44785</v>
      </c>
      <c r="B1129" s="149" t="s">
        <v>25825</v>
      </c>
      <c r="C1129" s="153" t="s">
        <v>9</v>
      </c>
      <c r="D1129" s="178">
        <v>3789.2</v>
      </c>
      <c r="E1129" s="155">
        <v>44785</v>
      </c>
      <c r="F1129" s="178">
        <v>3789.2</v>
      </c>
      <c r="G1129" s="179">
        <f>Tabla19[[#This Row],[Importe]]-Tabla19[[#This Row],[Pagado]]</f>
        <v>0</v>
      </c>
      <c r="H1129" s="153" t="s">
        <v>10</v>
      </c>
    </row>
    <row r="1130" spans="1:8" x14ac:dyDescent="0.25">
      <c r="A1130" s="73">
        <v>44785</v>
      </c>
      <c r="B1130" s="74" t="s">
        <v>25826</v>
      </c>
      <c r="C1130" s="75" t="s">
        <v>29</v>
      </c>
      <c r="D1130" s="176">
        <v>6720</v>
      </c>
      <c r="E1130" s="151">
        <v>44785</v>
      </c>
      <c r="F1130" s="176">
        <v>6720</v>
      </c>
      <c r="G1130" s="177">
        <f>Tabla19[[#This Row],[Importe]]-Tabla19[[#This Row],[Pagado]]</f>
        <v>0</v>
      </c>
      <c r="H1130" s="75" t="s">
        <v>10</v>
      </c>
    </row>
    <row r="1131" spans="1:8" x14ac:dyDescent="0.25">
      <c r="A1131" s="148">
        <v>44785</v>
      </c>
      <c r="B1131" s="149" t="s">
        <v>25827</v>
      </c>
      <c r="C1131" s="153" t="s">
        <v>1187</v>
      </c>
      <c r="D1131" s="178">
        <v>2592.9</v>
      </c>
      <c r="E1131" s="155">
        <v>44785</v>
      </c>
      <c r="F1131" s="178">
        <v>2592.9</v>
      </c>
      <c r="G1131" s="179">
        <f>Tabla19[[#This Row],[Importe]]-Tabla19[[#This Row],[Pagado]]</f>
        <v>0</v>
      </c>
      <c r="H1131" s="153" t="s">
        <v>10</v>
      </c>
    </row>
    <row r="1132" spans="1:8" x14ac:dyDescent="0.25">
      <c r="A1132" s="73">
        <v>44785</v>
      </c>
      <c r="B1132" s="74" t="s">
        <v>25828</v>
      </c>
      <c r="C1132" s="75" t="s">
        <v>212</v>
      </c>
      <c r="D1132" s="176">
        <v>66209.2</v>
      </c>
      <c r="E1132" s="151">
        <v>44790</v>
      </c>
      <c r="F1132" s="176">
        <v>66209.2</v>
      </c>
      <c r="G1132" s="177">
        <f>Tabla19[[#This Row],[Importe]]-Tabla19[[#This Row],[Pagado]]</f>
        <v>0</v>
      </c>
      <c r="H1132" s="75" t="s">
        <v>10</v>
      </c>
    </row>
    <row r="1133" spans="1:8" x14ac:dyDescent="0.25">
      <c r="A1133" s="148">
        <v>44785</v>
      </c>
      <c r="B1133" s="149" t="s">
        <v>25829</v>
      </c>
      <c r="C1133" s="153" t="s">
        <v>4136</v>
      </c>
      <c r="D1133" s="178">
        <v>2845.6</v>
      </c>
      <c r="E1133" s="155">
        <v>44785</v>
      </c>
      <c r="F1133" s="178">
        <v>2845.6</v>
      </c>
      <c r="G1133" s="179">
        <f>Tabla19[[#This Row],[Importe]]-Tabla19[[#This Row],[Pagado]]</f>
        <v>0</v>
      </c>
      <c r="H1133" s="153" t="s">
        <v>10</v>
      </c>
    </row>
    <row r="1134" spans="1:8" x14ac:dyDescent="0.25">
      <c r="A1134" s="73">
        <v>44785</v>
      </c>
      <c r="B1134" s="74" t="s">
        <v>25830</v>
      </c>
      <c r="C1134" s="75" t="s">
        <v>348</v>
      </c>
      <c r="D1134" s="176">
        <v>4482.3</v>
      </c>
      <c r="E1134" s="151">
        <v>44785</v>
      </c>
      <c r="F1134" s="176">
        <v>4482.3</v>
      </c>
      <c r="G1134" s="177">
        <f>Tabla19[[#This Row],[Importe]]-Tabla19[[#This Row],[Pagado]]</f>
        <v>0</v>
      </c>
      <c r="H1134" s="75" t="s">
        <v>10</v>
      </c>
    </row>
    <row r="1135" spans="1:8" x14ac:dyDescent="0.25">
      <c r="A1135" s="148">
        <v>44785</v>
      </c>
      <c r="B1135" s="149" t="s">
        <v>25831</v>
      </c>
      <c r="C1135" s="153" t="s">
        <v>17556</v>
      </c>
      <c r="D1135" s="178">
        <v>4299.3999999999996</v>
      </c>
      <c r="E1135" s="155">
        <v>44785</v>
      </c>
      <c r="F1135" s="178">
        <v>4299.3999999999996</v>
      </c>
      <c r="G1135" s="179">
        <f>Tabla19[[#This Row],[Importe]]-Tabla19[[#This Row],[Pagado]]</f>
        <v>0</v>
      </c>
      <c r="H1135" s="153" t="s">
        <v>10</v>
      </c>
    </row>
    <row r="1136" spans="1:8" ht="31.5" x14ac:dyDescent="0.25">
      <c r="A1136" s="73">
        <v>44785</v>
      </c>
      <c r="B1136" s="74" t="s">
        <v>25832</v>
      </c>
      <c r="C1136" s="75" t="s">
        <v>22</v>
      </c>
      <c r="D1136" s="176">
        <v>77544.5</v>
      </c>
      <c r="E1136" s="147" t="s">
        <v>25797</v>
      </c>
      <c r="F1136" s="176">
        <f>64000+13544.5</f>
        <v>77544.5</v>
      </c>
      <c r="G1136" s="177">
        <f>Tabla19[[#This Row],[Importe]]-Tabla19[[#This Row],[Pagado]]</f>
        <v>0</v>
      </c>
      <c r="H1136" s="75" t="s">
        <v>10</v>
      </c>
    </row>
    <row r="1137" spans="1:8" x14ac:dyDescent="0.25">
      <c r="A1137" s="148">
        <v>44785</v>
      </c>
      <c r="B1137" s="149" t="s">
        <v>25833</v>
      </c>
      <c r="C1137" s="153" t="s">
        <v>27</v>
      </c>
      <c r="D1137" s="178">
        <v>4289.7</v>
      </c>
      <c r="E1137" s="155">
        <v>44785</v>
      </c>
      <c r="F1137" s="178">
        <v>4289.7</v>
      </c>
      <c r="G1137" s="179">
        <f>Tabla19[[#This Row],[Importe]]-Tabla19[[#This Row],[Pagado]]</f>
        <v>0</v>
      </c>
      <c r="H1137" s="153" t="s">
        <v>10</v>
      </c>
    </row>
    <row r="1138" spans="1:8" x14ac:dyDescent="0.25">
      <c r="A1138" s="73">
        <v>44785</v>
      </c>
      <c r="B1138" s="74" t="s">
        <v>25834</v>
      </c>
      <c r="C1138" s="75" t="s">
        <v>45</v>
      </c>
      <c r="D1138" s="176">
        <v>17538.8</v>
      </c>
      <c r="E1138" s="151">
        <v>44785</v>
      </c>
      <c r="F1138" s="176">
        <v>17538.8</v>
      </c>
      <c r="G1138" s="177">
        <f>Tabla19[[#This Row],[Importe]]-Tabla19[[#This Row],[Pagado]]</f>
        <v>0</v>
      </c>
      <c r="H1138" s="75" t="s">
        <v>10</v>
      </c>
    </row>
    <row r="1139" spans="1:8" x14ac:dyDescent="0.25">
      <c r="A1139" s="148">
        <v>44785</v>
      </c>
      <c r="B1139" s="149" t="s">
        <v>25835</v>
      </c>
      <c r="C1139" s="153" t="s">
        <v>196</v>
      </c>
      <c r="D1139" s="178">
        <v>37154</v>
      </c>
      <c r="E1139" s="155">
        <v>44786</v>
      </c>
      <c r="F1139" s="178">
        <v>37154</v>
      </c>
      <c r="G1139" s="179">
        <f>Tabla19[[#This Row],[Importe]]-Tabla19[[#This Row],[Pagado]]</f>
        <v>0</v>
      </c>
      <c r="H1139" s="153" t="s">
        <v>10</v>
      </c>
    </row>
    <row r="1140" spans="1:8" x14ac:dyDescent="0.25">
      <c r="A1140" s="73">
        <v>44785</v>
      </c>
      <c r="B1140" s="74" t="s">
        <v>25836</v>
      </c>
      <c r="C1140" s="75" t="s">
        <v>218</v>
      </c>
      <c r="D1140" s="176">
        <v>12444</v>
      </c>
      <c r="E1140" s="151">
        <v>44791</v>
      </c>
      <c r="F1140" s="176">
        <v>12444</v>
      </c>
      <c r="G1140" s="177">
        <f>Tabla19[[#This Row],[Importe]]-Tabla19[[#This Row],[Pagado]]</f>
        <v>0</v>
      </c>
      <c r="H1140" s="75" t="s">
        <v>10</v>
      </c>
    </row>
    <row r="1141" spans="1:8" x14ac:dyDescent="0.25">
      <c r="A1141" s="148">
        <v>44785</v>
      </c>
      <c r="B1141" s="149" t="s">
        <v>25837</v>
      </c>
      <c r="C1141" s="153" t="s">
        <v>647</v>
      </c>
      <c r="D1141" s="178">
        <v>3537</v>
      </c>
      <c r="E1141" s="155">
        <v>44785</v>
      </c>
      <c r="F1141" s="178">
        <v>3537</v>
      </c>
      <c r="G1141" s="179">
        <f>Tabla19[[#This Row],[Importe]]-Tabla19[[#This Row],[Pagado]]</f>
        <v>0</v>
      </c>
      <c r="H1141" s="153" t="s">
        <v>10</v>
      </c>
    </row>
    <row r="1142" spans="1:8" x14ac:dyDescent="0.25">
      <c r="A1142" s="73">
        <v>44785</v>
      </c>
      <c r="B1142" s="74" t="s">
        <v>25838</v>
      </c>
      <c r="C1142" s="75" t="s">
        <v>154</v>
      </c>
      <c r="D1142" s="176">
        <v>42448.1</v>
      </c>
      <c r="E1142" s="151">
        <v>44790</v>
      </c>
      <c r="F1142" s="176">
        <v>42448.1</v>
      </c>
      <c r="G1142" s="177">
        <f>Tabla19[[#This Row],[Importe]]-Tabla19[[#This Row],[Pagado]]</f>
        <v>0</v>
      </c>
      <c r="H1142" s="75" t="s">
        <v>10</v>
      </c>
    </row>
    <row r="1143" spans="1:8" x14ac:dyDescent="0.25">
      <c r="A1143" s="148">
        <v>44785</v>
      </c>
      <c r="B1143" s="149" t="s">
        <v>25839</v>
      </c>
      <c r="C1143" s="153" t="s">
        <v>218</v>
      </c>
      <c r="D1143" s="178">
        <v>12432</v>
      </c>
      <c r="E1143" s="155">
        <v>44791</v>
      </c>
      <c r="F1143" s="178">
        <v>12432</v>
      </c>
      <c r="G1143" s="179">
        <f>Tabla19[[#This Row],[Importe]]-Tabla19[[#This Row],[Pagado]]</f>
        <v>0</v>
      </c>
      <c r="H1143" s="153" t="s">
        <v>10</v>
      </c>
    </row>
    <row r="1144" spans="1:8" x14ac:dyDescent="0.25">
      <c r="A1144" s="73">
        <v>44785</v>
      </c>
      <c r="B1144" s="74" t="s">
        <v>25840</v>
      </c>
      <c r="C1144" s="75" t="s">
        <v>212</v>
      </c>
      <c r="D1144" s="176">
        <v>238.5</v>
      </c>
      <c r="E1144" s="151">
        <v>44786</v>
      </c>
      <c r="F1144" s="176">
        <v>238.5</v>
      </c>
      <c r="G1144" s="177">
        <f>Tabla19[[#This Row],[Importe]]-Tabla19[[#This Row],[Pagado]]</f>
        <v>0</v>
      </c>
      <c r="H1144" s="75" t="s">
        <v>10</v>
      </c>
    </row>
    <row r="1145" spans="1:8" x14ac:dyDescent="0.25">
      <c r="A1145" s="148">
        <v>44785</v>
      </c>
      <c r="B1145" s="149" t="s">
        <v>25841</v>
      </c>
      <c r="C1145" s="153" t="s">
        <v>206</v>
      </c>
      <c r="D1145" s="178">
        <v>29417.4</v>
      </c>
      <c r="E1145" s="155">
        <v>44790</v>
      </c>
      <c r="F1145" s="178">
        <v>29417.4</v>
      </c>
      <c r="G1145" s="179">
        <f>Tabla19[[#This Row],[Importe]]-Tabla19[[#This Row],[Pagado]]</f>
        <v>0</v>
      </c>
      <c r="H1145" s="153" t="s">
        <v>10</v>
      </c>
    </row>
    <row r="1146" spans="1:8" x14ac:dyDescent="0.25">
      <c r="A1146" s="73">
        <v>44785</v>
      </c>
      <c r="B1146" s="74" t="s">
        <v>25842</v>
      </c>
      <c r="C1146" s="75" t="s">
        <v>154</v>
      </c>
      <c r="D1146" s="176">
        <v>17434.400000000001</v>
      </c>
      <c r="E1146" s="151">
        <v>44790</v>
      </c>
      <c r="F1146" s="176">
        <v>17434.400000000001</v>
      </c>
      <c r="G1146" s="177">
        <f>Tabla19[[#This Row],[Importe]]-Tabla19[[#This Row],[Pagado]]</f>
        <v>0</v>
      </c>
      <c r="H1146" s="75" t="s">
        <v>10</v>
      </c>
    </row>
    <row r="1147" spans="1:8" x14ac:dyDescent="0.25">
      <c r="A1147" s="148">
        <v>44785</v>
      </c>
      <c r="B1147" s="149" t="s">
        <v>25843</v>
      </c>
      <c r="C1147" s="153" t="s">
        <v>392</v>
      </c>
      <c r="D1147" s="178">
        <v>25678.2</v>
      </c>
      <c r="E1147" s="155">
        <v>44792</v>
      </c>
      <c r="F1147" s="178">
        <v>25678.2</v>
      </c>
      <c r="G1147" s="179">
        <f>Tabla19[[#This Row],[Importe]]-Tabla19[[#This Row],[Pagado]]</f>
        <v>0</v>
      </c>
      <c r="H1147" s="153" t="s">
        <v>10</v>
      </c>
    </row>
    <row r="1148" spans="1:8" x14ac:dyDescent="0.25">
      <c r="A1148" s="73">
        <v>44785</v>
      </c>
      <c r="B1148" s="74" t="s">
        <v>25844</v>
      </c>
      <c r="C1148" s="75" t="s">
        <v>35</v>
      </c>
      <c r="D1148" s="176">
        <v>2080</v>
      </c>
      <c r="E1148" s="151">
        <v>44785</v>
      </c>
      <c r="F1148" s="176">
        <v>2080</v>
      </c>
      <c r="G1148" s="177">
        <f>Tabla19[[#This Row],[Importe]]-Tabla19[[#This Row],[Pagado]]</f>
        <v>0</v>
      </c>
      <c r="H1148" s="75" t="s">
        <v>10</v>
      </c>
    </row>
    <row r="1149" spans="1:8" x14ac:dyDescent="0.25">
      <c r="A1149" s="148">
        <v>44785</v>
      </c>
      <c r="B1149" s="149" t="s">
        <v>25845</v>
      </c>
      <c r="C1149" s="153" t="s">
        <v>2114</v>
      </c>
      <c r="D1149" s="178">
        <v>1672</v>
      </c>
      <c r="E1149" s="155">
        <v>44785</v>
      </c>
      <c r="F1149" s="178">
        <v>1672</v>
      </c>
      <c r="G1149" s="179">
        <f>Tabla19[[#This Row],[Importe]]-Tabla19[[#This Row],[Pagado]]</f>
        <v>0</v>
      </c>
      <c r="H1149" s="153" t="s">
        <v>10</v>
      </c>
    </row>
    <row r="1150" spans="1:8" x14ac:dyDescent="0.25">
      <c r="A1150" s="73">
        <v>44785</v>
      </c>
      <c r="B1150" s="74" t="s">
        <v>25846</v>
      </c>
      <c r="C1150" s="75" t="s">
        <v>151</v>
      </c>
      <c r="D1150" s="176">
        <v>42084</v>
      </c>
      <c r="E1150" s="151">
        <v>44785</v>
      </c>
      <c r="F1150" s="176">
        <v>42084</v>
      </c>
      <c r="G1150" s="177">
        <f>Tabla19[[#This Row],[Importe]]-Tabla19[[#This Row],[Pagado]]</f>
        <v>0</v>
      </c>
      <c r="H1150" s="75" t="s">
        <v>10</v>
      </c>
    </row>
    <row r="1151" spans="1:8" x14ac:dyDescent="0.25">
      <c r="A1151" s="148">
        <v>44785</v>
      </c>
      <c r="B1151" s="149" t="s">
        <v>25847</v>
      </c>
      <c r="C1151" s="153" t="s">
        <v>541</v>
      </c>
      <c r="D1151" s="178">
        <v>16771.400000000001</v>
      </c>
      <c r="E1151" s="155">
        <v>44786</v>
      </c>
      <c r="F1151" s="178">
        <v>16771.400000000001</v>
      </c>
      <c r="G1151" s="179">
        <f>Tabla19[[#This Row],[Importe]]-Tabla19[[#This Row],[Pagado]]</f>
        <v>0</v>
      </c>
      <c r="H1151" s="153" t="s">
        <v>10</v>
      </c>
    </row>
    <row r="1152" spans="1:8" x14ac:dyDescent="0.25">
      <c r="A1152" s="73">
        <v>44785</v>
      </c>
      <c r="B1152" s="74" t="s">
        <v>25848</v>
      </c>
      <c r="C1152" s="75" t="s">
        <v>484</v>
      </c>
      <c r="D1152" s="176">
        <v>3962.4</v>
      </c>
      <c r="E1152" s="151">
        <v>44785</v>
      </c>
      <c r="F1152" s="176">
        <v>3962.4</v>
      </c>
      <c r="G1152" s="177">
        <f>Tabla19[[#This Row],[Importe]]-Tabla19[[#This Row],[Pagado]]</f>
        <v>0</v>
      </c>
      <c r="H1152" s="75" t="s">
        <v>10</v>
      </c>
    </row>
    <row r="1153" spans="1:8" x14ac:dyDescent="0.25">
      <c r="A1153" s="148">
        <v>44785</v>
      </c>
      <c r="B1153" s="149" t="s">
        <v>25849</v>
      </c>
      <c r="C1153" s="153" t="s">
        <v>181</v>
      </c>
      <c r="D1153" s="178">
        <v>11396.7</v>
      </c>
      <c r="E1153" s="155">
        <v>44785</v>
      </c>
      <c r="F1153" s="178">
        <v>11396.7</v>
      </c>
      <c r="G1153" s="179">
        <f>Tabla19[[#This Row],[Importe]]-Tabla19[[#This Row],[Pagado]]</f>
        <v>0</v>
      </c>
      <c r="H1153" s="153" t="s">
        <v>10</v>
      </c>
    </row>
    <row r="1154" spans="1:8" x14ac:dyDescent="0.25">
      <c r="A1154" s="73">
        <v>44785</v>
      </c>
      <c r="B1154" s="74" t="s">
        <v>25850</v>
      </c>
      <c r="C1154" s="75" t="s">
        <v>200</v>
      </c>
      <c r="D1154" s="176">
        <v>1352.4</v>
      </c>
      <c r="E1154" s="151">
        <v>44785</v>
      </c>
      <c r="F1154" s="176">
        <v>1352.4</v>
      </c>
      <c r="G1154" s="177">
        <f>Tabla19[[#This Row],[Importe]]-Tabla19[[#This Row],[Pagado]]</f>
        <v>0</v>
      </c>
      <c r="H1154" s="75" t="s">
        <v>10</v>
      </c>
    </row>
    <row r="1155" spans="1:8" x14ac:dyDescent="0.25">
      <c r="A1155" s="148">
        <v>44785</v>
      </c>
      <c r="B1155" s="149" t="s">
        <v>25851</v>
      </c>
      <c r="C1155" s="153" t="s">
        <v>359</v>
      </c>
      <c r="D1155" s="178">
        <v>669.6</v>
      </c>
      <c r="E1155" s="155">
        <v>44785</v>
      </c>
      <c r="F1155" s="178">
        <v>669.6</v>
      </c>
      <c r="G1155" s="179">
        <f>Tabla19[[#This Row],[Importe]]-Tabla19[[#This Row],[Pagado]]</f>
        <v>0</v>
      </c>
      <c r="H1155" s="153" t="s">
        <v>10</v>
      </c>
    </row>
    <row r="1156" spans="1:8" x14ac:dyDescent="0.25">
      <c r="A1156" s="73">
        <v>44785</v>
      </c>
      <c r="B1156" s="74" t="s">
        <v>25852</v>
      </c>
      <c r="C1156" s="75" t="s">
        <v>56</v>
      </c>
      <c r="D1156" s="176">
        <v>9391.4</v>
      </c>
      <c r="E1156" s="151">
        <v>44785</v>
      </c>
      <c r="F1156" s="176">
        <v>9391.4</v>
      </c>
      <c r="G1156" s="177">
        <f>Tabla19[[#This Row],[Importe]]-Tabla19[[#This Row],[Pagado]]</f>
        <v>0</v>
      </c>
      <c r="H1156" s="75" t="s">
        <v>10</v>
      </c>
    </row>
    <row r="1157" spans="1:8" x14ac:dyDescent="0.25">
      <c r="A1157" s="148">
        <v>44785</v>
      </c>
      <c r="B1157" s="149" t="s">
        <v>25853</v>
      </c>
      <c r="C1157" s="153" t="s">
        <v>142</v>
      </c>
      <c r="D1157" s="178">
        <v>73336.13</v>
      </c>
      <c r="E1157" s="155">
        <v>44837</v>
      </c>
      <c r="F1157" s="178">
        <v>73336.13</v>
      </c>
      <c r="G1157" s="179">
        <f>Tabla19[[#This Row],[Importe]]-Tabla19[[#This Row],[Pagado]]</f>
        <v>0</v>
      </c>
      <c r="H1157" s="153" t="s">
        <v>10</v>
      </c>
    </row>
    <row r="1158" spans="1:8" x14ac:dyDescent="0.25">
      <c r="A1158" s="73">
        <v>44785</v>
      </c>
      <c r="B1158" s="74" t="s">
        <v>25854</v>
      </c>
      <c r="C1158" s="75" t="s">
        <v>175</v>
      </c>
      <c r="D1158" s="176">
        <v>9644.2999999999993</v>
      </c>
      <c r="E1158" s="151">
        <v>44785</v>
      </c>
      <c r="F1158" s="176">
        <v>9644.2999999999993</v>
      </c>
      <c r="G1158" s="177">
        <f>Tabla19[[#This Row],[Importe]]-Tabla19[[#This Row],[Pagado]]</f>
        <v>0</v>
      </c>
      <c r="H1158" s="75" t="s">
        <v>10</v>
      </c>
    </row>
    <row r="1159" spans="1:8" x14ac:dyDescent="0.25">
      <c r="A1159" s="148">
        <v>44785</v>
      </c>
      <c r="B1159" s="149" t="s">
        <v>25855</v>
      </c>
      <c r="C1159" s="153" t="s">
        <v>198</v>
      </c>
      <c r="D1159" s="178">
        <v>1170.5999999999999</v>
      </c>
      <c r="E1159" s="155">
        <v>44785</v>
      </c>
      <c r="F1159" s="178">
        <v>1170.5999999999999</v>
      </c>
      <c r="G1159" s="179">
        <f>Tabla19[[#This Row],[Importe]]-Tabla19[[#This Row],[Pagado]]</f>
        <v>0</v>
      </c>
      <c r="H1159" s="153" t="s">
        <v>10</v>
      </c>
    </row>
    <row r="1160" spans="1:8" x14ac:dyDescent="0.25">
      <c r="A1160" s="73">
        <v>44785</v>
      </c>
      <c r="B1160" s="74" t="s">
        <v>25856</v>
      </c>
      <c r="C1160" s="75" t="s">
        <v>191</v>
      </c>
      <c r="D1160" s="176">
        <v>2551.6999999999998</v>
      </c>
      <c r="E1160" s="151">
        <v>44785</v>
      </c>
      <c r="F1160" s="176">
        <v>2551.6999999999998</v>
      </c>
      <c r="G1160" s="177">
        <f>Tabla19[[#This Row],[Importe]]-Tabla19[[#This Row],[Pagado]]</f>
        <v>0</v>
      </c>
      <c r="H1160" s="75" t="s">
        <v>10</v>
      </c>
    </row>
    <row r="1161" spans="1:8" x14ac:dyDescent="0.25">
      <c r="A1161" s="148">
        <v>44785</v>
      </c>
      <c r="B1161" s="149" t="s">
        <v>25857</v>
      </c>
      <c r="C1161" s="153" t="s">
        <v>1003</v>
      </c>
      <c r="D1161" s="178">
        <v>10712.9</v>
      </c>
      <c r="E1161" s="155">
        <v>44787</v>
      </c>
      <c r="F1161" s="178">
        <v>10712.9</v>
      </c>
      <c r="G1161" s="179">
        <f>Tabla19[[#This Row],[Importe]]-Tabla19[[#This Row],[Pagado]]</f>
        <v>0</v>
      </c>
      <c r="H1161" s="153" t="s">
        <v>10</v>
      </c>
    </row>
    <row r="1162" spans="1:8" x14ac:dyDescent="0.25">
      <c r="A1162" s="73">
        <v>44785</v>
      </c>
      <c r="B1162" s="74" t="s">
        <v>25858</v>
      </c>
      <c r="C1162" s="75" t="s">
        <v>452</v>
      </c>
      <c r="D1162" s="176">
        <v>7928</v>
      </c>
      <c r="E1162" s="151">
        <v>44785</v>
      </c>
      <c r="F1162" s="176">
        <v>7928</v>
      </c>
      <c r="G1162" s="177">
        <f>Tabla19[[#This Row],[Importe]]-Tabla19[[#This Row],[Pagado]]</f>
        <v>0</v>
      </c>
      <c r="H1162" s="75" t="s">
        <v>10</v>
      </c>
    </row>
    <row r="1163" spans="1:8" x14ac:dyDescent="0.25">
      <c r="A1163" s="148">
        <v>44785</v>
      </c>
      <c r="B1163" s="149" t="s">
        <v>25859</v>
      </c>
      <c r="C1163" s="153" t="s">
        <v>140</v>
      </c>
      <c r="D1163" s="178">
        <v>4447.5</v>
      </c>
      <c r="E1163" s="155">
        <v>44785</v>
      </c>
      <c r="F1163" s="178">
        <v>4447.5</v>
      </c>
      <c r="G1163" s="179">
        <f>Tabla19[[#This Row],[Importe]]-Tabla19[[#This Row],[Pagado]]</f>
        <v>0</v>
      </c>
      <c r="H1163" s="153" t="s">
        <v>10</v>
      </c>
    </row>
    <row r="1164" spans="1:8" x14ac:dyDescent="0.25">
      <c r="A1164" s="73">
        <v>44785</v>
      </c>
      <c r="B1164" s="74" t="s">
        <v>25860</v>
      </c>
      <c r="C1164" s="75" t="s">
        <v>357</v>
      </c>
      <c r="D1164" s="176">
        <v>756.5</v>
      </c>
      <c r="E1164" s="151">
        <v>44785</v>
      </c>
      <c r="F1164" s="176">
        <v>756.5</v>
      </c>
      <c r="G1164" s="177">
        <f>Tabla19[[#This Row],[Importe]]-Tabla19[[#This Row],[Pagado]]</f>
        <v>0</v>
      </c>
      <c r="H1164" s="75" t="s">
        <v>10</v>
      </c>
    </row>
    <row r="1165" spans="1:8" x14ac:dyDescent="0.25">
      <c r="A1165" s="148">
        <v>44785</v>
      </c>
      <c r="B1165" s="149" t="s">
        <v>25861</v>
      </c>
      <c r="C1165" s="153" t="s">
        <v>127</v>
      </c>
      <c r="D1165" s="178">
        <v>2239.1</v>
      </c>
      <c r="E1165" s="155">
        <v>44785</v>
      </c>
      <c r="F1165" s="178">
        <v>2239.1</v>
      </c>
      <c r="G1165" s="179">
        <f>Tabla19[[#This Row],[Importe]]-Tabla19[[#This Row],[Pagado]]</f>
        <v>0</v>
      </c>
      <c r="H1165" s="153" t="s">
        <v>10</v>
      </c>
    </row>
    <row r="1166" spans="1:8" x14ac:dyDescent="0.25">
      <c r="A1166" s="73">
        <v>44785</v>
      </c>
      <c r="B1166" s="74" t="s">
        <v>25862</v>
      </c>
      <c r="C1166" s="75" t="s">
        <v>129</v>
      </c>
      <c r="D1166" s="176">
        <v>1504.5</v>
      </c>
      <c r="E1166" s="151">
        <v>44785</v>
      </c>
      <c r="F1166" s="176">
        <v>1504.5</v>
      </c>
      <c r="G1166" s="177">
        <f>Tabla19[[#This Row],[Importe]]-Tabla19[[#This Row],[Pagado]]</f>
        <v>0</v>
      </c>
      <c r="H1166" s="75" t="s">
        <v>10</v>
      </c>
    </row>
    <row r="1167" spans="1:8" x14ac:dyDescent="0.25">
      <c r="A1167" s="148">
        <v>44785</v>
      </c>
      <c r="B1167" s="149" t="s">
        <v>25863</v>
      </c>
      <c r="C1167" s="153" t="s">
        <v>849</v>
      </c>
      <c r="D1167" s="178">
        <v>4104</v>
      </c>
      <c r="E1167" s="155">
        <v>44785</v>
      </c>
      <c r="F1167" s="178">
        <v>4104</v>
      </c>
      <c r="G1167" s="179">
        <f>Tabla19[[#This Row],[Importe]]-Tabla19[[#This Row],[Pagado]]</f>
        <v>0</v>
      </c>
      <c r="H1167" s="153" t="s">
        <v>10</v>
      </c>
    </row>
    <row r="1168" spans="1:8" x14ac:dyDescent="0.25">
      <c r="A1168" s="73">
        <v>44785</v>
      </c>
      <c r="B1168" s="74" t="s">
        <v>25864</v>
      </c>
      <c r="C1168" s="75" t="s">
        <v>1362</v>
      </c>
      <c r="D1168" s="176">
        <v>6116.1</v>
      </c>
      <c r="E1168" s="151">
        <v>44785</v>
      </c>
      <c r="F1168" s="176">
        <v>6116.1</v>
      </c>
      <c r="G1168" s="177">
        <f>Tabla19[[#This Row],[Importe]]-Tabla19[[#This Row],[Pagado]]</f>
        <v>0</v>
      </c>
      <c r="H1168" s="75" t="s">
        <v>10</v>
      </c>
    </row>
    <row r="1169" spans="1:8" x14ac:dyDescent="0.25">
      <c r="A1169" s="148">
        <v>44785</v>
      </c>
      <c r="B1169" s="149" t="s">
        <v>25865</v>
      </c>
      <c r="C1169" s="153" t="s">
        <v>146</v>
      </c>
      <c r="D1169" s="178">
        <v>6364</v>
      </c>
      <c r="E1169" s="155">
        <v>44785</v>
      </c>
      <c r="F1169" s="178">
        <v>6364</v>
      </c>
      <c r="G1169" s="179">
        <f>Tabla19[[#This Row],[Importe]]-Tabla19[[#This Row],[Pagado]]</f>
        <v>0</v>
      </c>
      <c r="H1169" s="153" t="s">
        <v>10</v>
      </c>
    </row>
    <row r="1170" spans="1:8" x14ac:dyDescent="0.25">
      <c r="A1170" s="73">
        <v>44785</v>
      </c>
      <c r="B1170" s="74" t="s">
        <v>25866</v>
      </c>
      <c r="C1170" s="75" t="s">
        <v>333</v>
      </c>
      <c r="D1170" s="176">
        <v>313.26</v>
      </c>
      <c r="E1170" s="151">
        <v>44785</v>
      </c>
      <c r="F1170" s="176">
        <v>313.26</v>
      </c>
      <c r="G1170" s="177">
        <f>Tabla19[[#This Row],[Importe]]-Tabla19[[#This Row],[Pagado]]</f>
        <v>0</v>
      </c>
      <c r="H1170" s="75" t="s">
        <v>10</v>
      </c>
    </row>
    <row r="1171" spans="1:8" x14ac:dyDescent="0.25">
      <c r="A1171" s="148">
        <v>44785</v>
      </c>
      <c r="B1171" s="149" t="s">
        <v>25867</v>
      </c>
      <c r="C1171" s="153" t="s">
        <v>555</v>
      </c>
      <c r="D1171" s="178">
        <v>19578</v>
      </c>
      <c r="E1171" s="155">
        <v>44786</v>
      </c>
      <c r="F1171" s="178">
        <v>19578</v>
      </c>
      <c r="G1171" s="179">
        <f>Tabla19[[#This Row],[Importe]]-Tabla19[[#This Row],[Pagado]]</f>
        <v>0</v>
      </c>
      <c r="H1171" s="153" t="s">
        <v>10</v>
      </c>
    </row>
    <row r="1172" spans="1:8" x14ac:dyDescent="0.25">
      <c r="A1172" s="73">
        <v>44785</v>
      </c>
      <c r="B1172" s="74" t="s">
        <v>25868</v>
      </c>
      <c r="C1172" s="75" t="s">
        <v>173</v>
      </c>
      <c r="D1172" s="176">
        <v>36072</v>
      </c>
      <c r="E1172" s="151">
        <v>44786</v>
      </c>
      <c r="F1172" s="176">
        <v>36072</v>
      </c>
      <c r="G1172" s="177">
        <f>Tabla19[[#This Row],[Importe]]-Tabla19[[#This Row],[Pagado]]</f>
        <v>0</v>
      </c>
      <c r="H1172" s="75" t="s">
        <v>10</v>
      </c>
    </row>
    <row r="1173" spans="1:8" x14ac:dyDescent="0.25">
      <c r="A1173" s="148">
        <v>44785</v>
      </c>
      <c r="B1173" s="149" t="s">
        <v>25869</v>
      </c>
      <c r="C1173" s="153" t="s">
        <v>24</v>
      </c>
      <c r="D1173" s="178">
        <v>700</v>
      </c>
      <c r="E1173" s="155">
        <v>44785</v>
      </c>
      <c r="F1173" s="178">
        <v>700</v>
      </c>
      <c r="G1173" s="179">
        <f>Tabla19[[#This Row],[Importe]]-Tabla19[[#This Row],[Pagado]]</f>
        <v>0</v>
      </c>
      <c r="H1173" s="153" t="s">
        <v>10</v>
      </c>
    </row>
    <row r="1174" spans="1:8" x14ac:dyDescent="0.25">
      <c r="A1174" s="73">
        <v>44785</v>
      </c>
      <c r="B1174" s="74" t="s">
        <v>25870</v>
      </c>
      <c r="C1174" s="75" t="s">
        <v>107</v>
      </c>
      <c r="D1174" s="176">
        <v>15588.4</v>
      </c>
      <c r="E1174" s="151">
        <v>44785</v>
      </c>
      <c r="F1174" s="176">
        <v>15588.4</v>
      </c>
      <c r="G1174" s="177">
        <f>Tabla19[[#This Row],[Importe]]-Tabla19[[#This Row],[Pagado]]</f>
        <v>0</v>
      </c>
      <c r="H1174" s="75" t="s">
        <v>10</v>
      </c>
    </row>
    <row r="1175" spans="1:8" x14ac:dyDescent="0.25">
      <c r="A1175" s="148">
        <v>44785</v>
      </c>
      <c r="B1175" s="149" t="s">
        <v>25871</v>
      </c>
      <c r="C1175" s="153" t="s">
        <v>1362</v>
      </c>
      <c r="D1175" s="178">
        <v>4071.6</v>
      </c>
      <c r="E1175" s="155">
        <v>44785</v>
      </c>
      <c r="F1175" s="178">
        <v>4071.6</v>
      </c>
      <c r="G1175" s="179">
        <f>Tabla19[[#This Row],[Importe]]-Tabla19[[#This Row],[Pagado]]</f>
        <v>0</v>
      </c>
      <c r="H1175" s="153" t="s">
        <v>10</v>
      </c>
    </row>
    <row r="1176" spans="1:8" x14ac:dyDescent="0.25">
      <c r="A1176" s="73">
        <v>44785</v>
      </c>
      <c r="B1176" s="74" t="s">
        <v>25872</v>
      </c>
      <c r="C1176" s="75" t="s">
        <v>51</v>
      </c>
      <c r="D1176" s="176">
        <v>3572</v>
      </c>
      <c r="E1176" s="151">
        <v>44785</v>
      </c>
      <c r="F1176" s="176">
        <v>3572</v>
      </c>
      <c r="G1176" s="177">
        <f>Tabla19[[#This Row],[Importe]]-Tabla19[[#This Row],[Pagado]]</f>
        <v>0</v>
      </c>
      <c r="H1176" s="75" t="s">
        <v>10</v>
      </c>
    </row>
    <row r="1177" spans="1:8" x14ac:dyDescent="0.25">
      <c r="A1177" s="148">
        <v>44785</v>
      </c>
      <c r="B1177" s="149" t="s">
        <v>25873</v>
      </c>
      <c r="C1177" s="153" t="s">
        <v>67</v>
      </c>
      <c r="D1177" s="178">
        <v>13236.6</v>
      </c>
      <c r="E1177" s="155">
        <v>44785</v>
      </c>
      <c r="F1177" s="178">
        <v>13236.6</v>
      </c>
      <c r="G1177" s="179">
        <f>Tabla19[[#This Row],[Importe]]-Tabla19[[#This Row],[Pagado]]</f>
        <v>0</v>
      </c>
      <c r="H1177" s="153" t="s">
        <v>10</v>
      </c>
    </row>
    <row r="1178" spans="1:8" x14ac:dyDescent="0.25">
      <c r="A1178" s="73">
        <v>44785</v>
      </c>
      <c r="B1178" s="74" t="s">
        <v>25874</v>
      </c>
      <c r="C1178" s="75" t="s">
        <v>173</v>
      </c>
      <c r="D1178" s="176">
        <v>16542.68</v>
      </c>
      <c r="E1178" s="151">
        <v>44786</v>
      </c>
      <c r="F1178" s="176">
        <v>16542.68</v>
      </c>
      <c r="G1178" s="177">
        <f>Tabla19[[#This Row],[Importe]]-Tabla19[[#This Row],[Pagado]]</f>
        <v>0</v>
      </c>
      <c r="H1178" s="75" t="s">
        <v>10</v>
      </c>
    </row>
    <row r="1179" spans="1:8" x14ac:dyDescent="0.25">
      <c r="A1179" s="148">
        <v>44785</v>
      </c>
      <c r="B1179" s="149" t="s">
        <v>25875</v>
      </c>
      <c r="C1179" s="153" t="s">
        <v>133</v>
      </c>
      <c r="D1179" s="178">
        <v>30458.400000000001</v>
      </c>
      <c r="E1179" s="155">
        <v>44786</v>
      </c>
      <c r="F1179" s="178">
        <f>1500+28958.4</f>
        <v>30458.400000000001</v>
      </c>
      <c r="G1179" s="179">
        <f>Tabla19[[#This Row],[Importe]]-Tabla19[[#This Row],[Pagado]]</f>
        <v>0</v>
      </c>
      <c r="H1179" s="153" t="s">
        <v>10</v>
      </c>
    </row>
    <row r="1180" spans="1:8" x14ac:dyDescent="0.25">
      <c r="A1180" s="73">
        <v>44785</v>
      </c>
      <c r="B1180" s="74" t="s">
        <v>25876</v>
      </c>
      <c r="C1180" s="75" t="s">
        <v>31</v>
      </c>
      <c r="D1180" s="176">
        <v>1285.2</v>
      </c>
      <c r="E1180" s="151">
        <v>44785</v>
      </c>
      <c r="F1180" s="176">
        <v>1285.2</v>
      </c>
      <c r="G1180" s="177">
        <f>Tabla19[[#This Row],[Importe]]-Tabla19[[#This Row],[Pagado]]</f>
        <v>0</v>
      </c>
      <c r="H1180" s="75" t="s">
        <v>10</v>
      </c>
    </row>
    <row r="1181" spans="1:8" x14ac:dyDescent="0.25">
      <c r="A1181" s="148">
        <v>44785</v>
      </c>
      <c r="B1181" s="149" t="s">
        <v>25877</v>
      </c>
      <c r="C1181" s="153" t="s">
        <v>414</v>
      </c>
      <c r="D1181" s="178">
        <v>25452</v>
      </c>
      <c r="E1181" s="155">
        <v>44791</v>
      </c>
      <c r="F1181" s="178">
        <v>25452</v>
      </c>
      <c r="G1181" s="179">
        <f>Tabla19[[#This Row],[Importe]]-Tabla19[[#This Row],[Pagado]]</f>
        <v>0</v>
      </c>
      <c r="H1181" s="153" t="s">
        <v>10</v>
      </c>
    </row>
    <row r="1182" spans="1:8" x14ac:dyDescent="0.25">
      <c r="A1182" s="73">
        <v>44785</v>
      </c>
      <c r="B1182" s="74" t="s">
        <v>25878</v>
      </c>
      <c r="C1182" s="75" t="s">
        <v>289</v>
      </c>
      <c r="D1182" s="176">
        <v>16801.900000000001</v>
      </c>
      <c r="E1182" s="151">
        <v>44785</v>
      </c>
      <c r="F1182" s="176">
        <v>16801.900000000001</v>
      </c>
      <c r="G1182" s="177">
        <f>Tabla19[[#This Row],[Importe]]-Tabla19[[#This Row],[Pagado]]</f>
        <v>0</v>
      </c>
      <c r="H1182" s="75" t="s">
        <v>10</v>
      </c>
    </row>
    <row r="1183" spans="1:8" x14ac:dyDescent="0.25">
      <c r="A1183" s="148">
        <v>44785</v>
      </c>
      <c r="B1183" s="149" t="s">
        <v>25879</v>
      </c>
      <c r="C1183" s="153" t="s">
        <v>1644</v>
      </c>
      <c r="D1183" s="178">
        <v>8744.4</v>
      </c>
      <c r="E1183" s="155">
        <v>44786</v>
      </c>
      <c r="F1183" s="178">
        <v>8744.4</v>
      </c>
      <c r="G1183" s="179">
        <f>Tabla19[[#This Row],[Importe]]-Tabla19[[#This Row],[Pagado]]</f>
        <v>0</v>
      </c>
      <c r="H1183" s="153" t="s">
        <v>10</v>
      </c>
    </row>
    <row r="1184" spans="1:8" x14ac:dyDescent="0.25">
      <c r="A1184" s="73">
        <v>44785</v>
      </c>
      <c r="B1184" s="74" t="s">
        <v>25880</v>
      </c>
      <c r="C1184" s="75" t="s">
        <v>31</v>
      </c>
      <c r="D1184" s="176">
        <v>4845</v>
      </c>
      <c r="E1184" s="151">
        <v>44785</v>
      </c>
      <c r="F1184" s="176">
        <v>4845</v>
      </c>
      <c r="G1184" s="177">
        <f>Tabla19[[#This Row],[Importe]]-Tabla19[[#This Row],[Pagado]]</f>
        <v>0</v>
      </c>
      <c r="H1184" s="75" t="s">
        <v>10</v>
      </c>
    </row>
    <row r="1185" spans="1:8" x14ac:dyDescent="0.25">
      <c r="A1185" s="148">
        <v>44785</v>
      </c>
      <c r="B1185" s="149" t="s">
        <v>25881</v>
      </c>
      <c r="C1185" s="153" t="s">
        <v>53</v>
      </c>
      <c r="D1185" s="178">
        <v>826.5</v>
      </c>
      <c r="E1185" s="155">
        <v>44785</v>
      </c>
      <c r="F1185" s="178">
        <v>826.5</v>
      </c>
      <c r="G1185" s="179">
        <f>Tabla19[[#This Row],[Importe]]-Tabla19[[#This Row],[Pagado]]</f>
        <v>0</v>
      </c>
      <c r="H1185" s="153" t="s">
        <v>10</v>
      </c>
    </row>
    <row r="1186" spans="1:8" x14ac:dyDescent="0.25">
      <c r="A1186" s="73">
        <v>44785</v>
      </c>
      <c r="B1186" s="74" t="s">
        <v>25882</v>
      </c>
      <c r="C1186" s="75" t="s">
        <v>9827</v>
      </c>
      <c r="D1186" s="176">
        <v>4317.6000000000004</v>
      </c>
      <c r="E1186" s="151">
        <v>44785</v>
      </c>
      <c r="F1186" s="176">
        <v>4317.6000000000004</v>
      </c>
      <c r="G1186" s="177">
        <f>Tabla19[[#This Row],[Importe]]-Tabla19[[#This Row],[Pagado]]</f>
        <v>0</v>
      </c>
      <c r="H1186" s="75" t="s">
        <v>10</v>
      </c>
    </row>
    <row r="1187" spans="1:8" x14ac:dyDescent="0.25">
      <c r="A1187" s="148">
        <v>44785</v>
      </c>
      <c r="B1187" s="149" t="s">
        <v>25883</v>
      </c>
      <c r="C1187" s="153" t="s">
        <v>698</v>
      </c>
      <c r="D1187" s="178">
        <v>3865</v>
      </c>
      <c r="E1187" s="155">
        <v>44785</v>
      </c>
      <c r="F1187" s="178">
        <v>3865</v>
      </c>
      <c r="G1187" s="179">
        <f>Tabla19[[#This Row],[Importe]]-Tabla19[[#This Row],[Pagado]]</f>
        <v>0</v>
      </c>
      <c r="H1187" s="153" t="s">
        <v>10</v>
      </c>
    </row>
    <row r="1188" spans="1:8" x14ac:dyDescent="0.25">
      <c r="A1188" s="73">
        <v>44785</v>
      </c>
      <c r="B1188" s="74" t="s">
        <v>25884</v>
      </c>
      <c r="C1188" s="75" t="s">
        <v>226</v>
      </c>
      <c r="D1188" s="176">
        <v>8690.9</v>
      </c>
      <c r="E1188" s="151">
        <v>44785</v>
      </c>
      <c r="F1188" s="176">
        <v>8690.9</v>
      </c>
      <c r="G1188" s="177">
        <f>Tabla19[[#This Row],[Importe]]-Tabla19[[#This Row],[Pagado]]</f>
        <v>0</v>
      </c>
      <c r="H1188" s="75" t="s">
        <v>10</v>
      </c>
    </row>
    <row r="1189" spans="1:8" x14ac:dyDescent="0.25">
      <c r="A1189" s="148">
        <v>44785</v>
      </c>
      <c r="B1189" s="149" t="s">
        <v>25885</v>
      </c>
      <c r="C1189" s="153" t="s">
        <v>843</v>
      </c>
      <c r="D1189" s="178">
        <v>19896</v>
      </c>
      <c r="E1189" s="155">
        <v>44785</v>
      </c>
      <c r="F1189" s="178">
        <v>19896</v>
      </c>
      <c r="G1189" s="179">
        <f>Tabla19[[#This Row],[Importe]]-Tabla19[[#This Row],[Pagado]]</f>
        <v>0</v>
      </c>
      <c r="H1189" s="153" t="s">
        <v>10</v>
      </c>
    </row>
    <row r="1190" spans="1:8" x14ac:dyDescent="0.25">
      <c r="A1190" s="73">
        <v>44785</v>
      </c>
      <c r="B1190" s="74" t="s">
        <v>25886</v>
      </c>
      <c r="C1190" s="75" t="s">
        <v>179</v>
      </c>
      <c r="D1190" s="176">
        <v>2730</v>
      </c>
      <c r="E1190" s="151">
        <v>44785</v>
      </c>
      <c r="F1190" s="176">
        <v>2730</v>
      </c>
      <c r="G1190" s="177">
        <f>Tabla19[[#This Row],[Importe]]-Tabla19[[#This Row],[Pagado]]</f>
        <v>0</v>
      </c>
      <c r="H1190" s="75" t="s">
        <v>10</v>
      </c>
    </row>
    <row r="1191" spans="1:8" x14ac:dyDescent="0.25">
      <c r="A1191" s="148">
        <v>44785</v>
      </c>
      <c r="B1191" s="149" t="s">
        <v>25887</v>
      </c>
      <c r="C1191" s="153" t="s">
        <v>31</v>
      </c>
      <c r="D1191" s="178">
        <v>4137.6000000000004</v>
      </c>
      <c r="E1191" s="155">
        <v>44785</v>
      </c>
      <c r="F1191" s="178">
        <v>4137.6000000000004</v>
      </c>
      <c r="G1191" s="179">
        <f>Tabla19[[#This Row],[Importe]]-Tabla19[[#This Row],[Pagado]]</f>
        <v>0</v>
      </c>
      <c r="H1191" s="153" t="s">
        <v>10</v>
      </c>
    </row>
    <row r="1192" spans="1:8" x14ac:dyDescent="0.25">
      <c r="A1192" s="73">
        <v>44785</v>
      </c>
      <c r="B1192" s="74" t="s">
        <v>25888</v>
      </c>
      <c r="C1192" s="75" t="s">
        <v>31</v>
      </c>
      <c r="D1192" s="176">
        <v>1520.4</v>
      </c>
      <c r="E1192" s="151">
        <v>44785</v>
      </c>
      <c r="F1192" s="176">
        <v>1520.4</v>
      </c>
      <c r="G1192" s="177">
        <f>Tabla19[[#This Row],[Importe]]-Tabla19[[#This Row],[Pagado]]</f>
        <v>0</v>
      </c>
      <c r="H1192" s="75" t="s">
        <v>10</v>
      </c>
    </row>
    <row r="1193" spans="1:8" x14ac:dyDescent="0.25">
      <c r="A1193" s="148">
        <v>44785</v>
      </c>
      <c r="B1193" s="149" t="s">
        <v>25889</v>
      </c>
      <c r="C1193" s="153" t="s">
        <v>9415</v>
      </c>
      <c r="D1193" s="178">
        <v>2126.6</v>
      </c>
      <c r="E1193" s="155">
        <v>44790</v>
      </c>
      <c r="F1193" s="178">
        <v>2126.6</v>
      </c>
      <c r="G1193" s="179">
        <f>Tabla19[[#This Row],[Importe]]-Tabla19[[#This Row],[Pagado]]</f>
        <v>0</v>
      </c>
      <c r="H1193" s="153" t="s">
        <v>10</v>
      </c>
    </row>
    <row r="1194" spans="1:8" x14ac:dyDescent="0.25">
      <c r="A1194" s="73">
        <v>44785</v>
      </c>
      <c r="B1194" s="74" t="s">
        <v>25890</v>
      </c>
      <c r="C1194" s="75" t="s">
        <v>244</v>
      </c>
      <c r="D1194" s="176">
        <v>2143.8000000000002</v>
      </c>
      <c r="E1194" s="151">
        <v>44785</v>
      </c>
      <c r="F1194" s="176">
        <v>2143.8000000000002</v>
      </c>
      <c r="G1194" s="177">
        <f>Tabla19[[#This Row],[Importe]]-Tabla19[[#This Row],[Pagado]]</f>
        <v>0</v>
      </c>
      <c r="H1194" s="75" t="s">
        <v>10</v>
      </c>
    </row>
    <row r="1195" spans="1:8" x14ac:dyDescent="0.25">
      <c r="A1195" s="148">
        <v>44785</v>
      </c>
      <c r="B1195" s="149" t="s">
        <v>25891</v>
      </c>
      <c r="C1195" s="153" t="s">
        <v>244</v>
      </c>
      <c r="D1195" s="178">
        <v>1663.2</v>
      </c>
      <c r="E1195" s="155">
        <v>44785</v>
      </c>
      <c r="F1195" s="178">
        <v>1663.2</v>
      </c>
      <c r="G1195" s="179">
        <f>Tabla19[[#This Row],[Importe]]-Tabla19[[#This Row],[Pagado]]</f>
        <v>0</v>
      </c>
      <c r="H1195" s="153" t="s">
        <v>10</v>
      </c>
    </row>
    <row r="1196" spans="1:8" x14ac:dyDescent="0.25">
      <c r="A1196" s="73">
        <v>44785</v>
      </c>
      <c r="B1196" s="74" t="s">
        <v>25892</v>
      </c>
      <c r="C1196" s="75" t="s">
        <v>31</v>
      </c>
      <c r="D1196" s="176">
        <v>7176</v>
      </c>
      <c r="E1196" s="151">
        <v>44785</v>
      </c>
      <c r="F1196" s="176">
        <v>7176</v>
      </c>
      <c r="G1196" s="177">
        <f>Tabla19[[#This Row],[Importe]]-Tabla19[[#This Row],[Pagado]]</f>
        <v>0</v>
      </c>
      <c r="H1196" s="75" t="s">
        <v>10</v>
      </c>
    </row>
    <row r="1197" spans="1:8" x14ac:dyDescent="0.25">
      <c r="A1197" s="148">
        <v>44785</v>
      </c>
      <c r="B1197" s="149" t="s">
        <v>25893</v>
      </c>
      <c r="C1197" s="153" t="s">
        <v>10678</v>
      </c>
      <c r="D1197" s="178">
        <v>5817.8</v>
      </c>
      <c r="E1197" s="155">
        <v>44785</v>
      </c>
      <c r="F1197" s="178">
        <v>5817.8</v>
      </c>
      <c r="G1197" s="179">
        <f>Tabla19[[#This Row],[Importe]]-Tabla19[[#This Row],[Pagado]]</f>
        <v>0</v>
      </c>
      <c r="H1197" s="153" t="s">
        <v>10</v>
      </c>
    </row>
    <row r="1198" spans="1:8" x14ac:dyDescent="0.25">
      <c r="A1198" s="73">
        <v>44785</v>
      </c>
      <c r="B1198" s="74" t="s">
        <v>25894</v>
      </c>
      <c r="C1198" s="75" t="s">
        <v>296</v>
      </c>
      <c r="D1198" s="176">
        <v>2252.1</v>
      </c>
      <c r="E1198" s="151">
        <v>44785</v>
      </c>
      <c r="F1198" s="176">
        <v>2252.1</v>
      </c>
      <c r="G1198" s="177">
        <f>Tabla19[[#This Row],[Importe]]-Tabla19[[#This Row],[Pagado]]</f>
        <v>0</v>
      </c>
      <c r="H1198" s="75" t="s">
        <v>10</v>
      </c>
    </row>
    <row r="1199" spans="1:8" x14ac:dyDescent="0.25">
      <c r="A1199" s="148">
        <v>44785</v>
      </c>
      <c r="B1199" s="149" t="s">
        <v>25895</v>
      </c>
      <c r="C1199" s="153" t="s">
        <v>5694</v>
      </c>
      <c r="D1199" s="178">
        <v>4267.2</v>
      </c>
      <c r="E1199" s="155">
        <v>44785</v>
      </c>
      <c r="F1199" s="178">
        <v>4267.2</v>
      </c>
      <c r="G1199" s="179">
        <f>Tabla19[[#This Row],[Importe]]-Tabla19[[#This Row],[Pagado]]</f>
        <v>0</v>
      </c>
      <c r="H1199" s="153" t="s">
        <v>10</v>
      </c>
    </row>
    <row r="1200" spans="1:8" x14ac:dyDescent="0.25">
      <c r="A1200" s="73">
        <v>44785</v>
      </c>
      <c r="B1200" s="74" t="s">
        <v>25896</v>
      </c>
      <c r="C1200" s="75" t="s">
        <v>301</v>
      </c>
      <c r="D1200" s="176">
        <v>24895.200000000001</v>
      </c>
      <c r="E1200" s="151">
        <v>44785</v>
      </c>
      <c r="F1200" s="176">
        <v>24895.200000000001</v>
      </c>
      <c r="G1200" s="177">
        <f>Tabla19[[#This Row],[Importe]]-Tabla19[[#This Row],[Pagado]]</f>
        <v>0</v>
      </c>
      <c r="H1200" s="75" t="s">
        <v>10</v>
      </c>
    </row>
    <row r="1201" spans="1:8" x14ac:dyDescent="0.25">
      <c r="A1201" s="148">
        <v>44785</v>
      </c>
      <c r="B1201" s="149" t="s">
        <v>25897</v>
      </c>
      <c r="C1201" s="153" t="s">
        <v>1008</v>
      </c>
      <c r="D1201" s="178">
        <v>3195</v>
      </c>
      <c r="E1201" s="155">
        <v>44785</v>
      </c>
      <c r="F1201" s="178">
        <v>3195</v>
      </c>
      <c r="G1201" s="179">
        <f>Tabla19[[#This Row],[Importe]]-Tabla19[[#This Row],[Pagado]]</f>
        <v>0</v>
      </c>
      <c r="H1201" s="153" t="s">
        <v>10</v>
      </c>
    </row>
    <row r="1202" spans="1:8" x14ac:dyDescent="0.25">
      <c r="A1202" s="73">
        <v>44785</v>
      </c>
      <c r="B1202" s="74" t="s">
        <v>25898</v>
      </c>
      <c r="C1202" s="75" t="s">
        <v>179</v>
      </c>
      <c r="D1202" s="176">
        <v>2192.4</v>
      </c>
      <c r="E1202" s="151">
        <v>44786</v>
      </c>
      <c r="F1202" s="176">
        <v>2192.4</v>
      </c>
      <c r="G1202" s="177">
        <f>Tabla19[[#This Row],[Importe]]-Tabla19[[#This Row],[Pagado]]</f>
        <v>0</v>
      </c>
      <c r="H1202" s="75" t="s">
        <v>10</v>
      </c>
    </row>
    <row r="1203" spans="1:8" x14ac:dyDescent="0.25">
      <c r="A1203" s="148">
        <v>44785</v>
      </c>
      <c r="B1203" s="149" t="s">
        <v>25899</v>
      </c>
      <c r="C1203" s="153" t="s">
        <v>135</v>
      </c>
      <c r="D1203" s="178">
        <v>3486.5</v>
      </c>
      <c r="E1203" s="155">
        <v>44786</v>
      </c>
      <c r="F1203" s="178">
        <v>3486.5</v>
      </c>
      <c r="G1203" s="179">
        <f>Tabla19[[#This Row],[Importe]]-Tabla19[[#This Row],[Pagado]]</f>
        <v>0</v>
      </c>
      <c r="H1203" s="153" t="s">
        <v>10</v>
      </c>
    </row>
    <row r="1204" spans="1:8" x14ac:dyDescent="0.25">
      <c r="A1204" s="73">
        <v>44785</v>
      </c>
      <c r="B1204" s="74" t="s">
        <v>25900</v>
      </c>
      <c r="C1204" s="75" t="s">
        <v>442</v>
      </c>
      <c r="D1204" s="176">
        <v>33128</v>
      </c>
      <c r="E1204" s="151">
        <v>44785</v>
      </c>
      <c r="F1204" s="176">
        <v>33128</v>
      </c>
      <c r="G1204" s="177">
        <f>Tabla19[[#This Row],[Importe]]-Tabla19[[#This Row],[Pagado]]</f>
        <v>0</v>
      </c>
      <c r="H1204" s="75" t="s">
        <v>10</v>
      </c>
    </row>
    <row r="1205" spans="1:8" x14ac:dyDescent="0.25">
      <c r="A1205" s="148">
        <v>44785</v>
      </c>
      <c r="B1205" s="149" t="s">
        <v>25901</v>
      </c>
      <c r="C1205" s="153" t="s">
        <v>19637</v>
      </c>
      <c r="D1205" s="178">
        <v>7165.9</v>
      </c>
      <c r="E1205" s="155">
        <v>44789</v>
      </c>
      <c r="F1205" s="178">
        <v>7165.9</v>
      </c>
      <c r="G1205" s="179">
        <f>Tabla19[[#This Row],[Importe]]-Tabla19[[#This Row],[Pagado]]</f>
        <v>0</v>
      </c>
      <c r="H1205" s="153" t="s">
        <v>10</v>
      </c>
    </row>
    <row r="1206" spans="1:8" x14ac:dyDescent="0.25">
      <c r="A1206" s="73">
        <v>44785</v>
      </c>
      <c r="B1206" s="74" t="s">
        <v>25902</v>
      </c>
      <c r="C1206" s="75" t="s">
        <v>400</v>
      </c>
      <c r="D1206" s="176">
        <v>11087</v>
      </c>
      <c r="E1206" s="151">
        <v>44790</v>
      </c>
      <c r="F1206" s="176">
        <v>11087</v>
      </c>
      <c r="G1206" s="177">
        <f>Tabla19[[#This Row],[Importe]]-Tabla19[[#This Row],[Pagado]]</f>
        <v>0</v>
      </c>
      <c r="H1206" s="75" t="s">
        <v>10</v>
      </c>
    </row>
    <row r="1207" spans="1:8" x14ac:dyDescent="0.25">
      <c r="A1207" s="148">
        <v>44785</v>
      </c>
      <c r="B1207" s="149" t="s">
        <v>25903</v>
      </c>
      <c r="C1207" s="153" t="s">
        <v>5345</v>
      </c>
      <c r="D1207" s="178">
        <v>6206</v>
      </c>
      <c r="E1207" s="155">
        <v>44786</v>
      </c>
      <c r="F1207" s="178">
        <v>6206</v>
      </c>
      <c r="G1207" s="179">
        <f>Tabla19[[#This Row],[Importe]]-Tabla19[[#This Row],[Pagado]]</f>
        <v>0</v>
      </c>
      <c r="H1207" s="153" t="s">
        <v>10</v>
      </c>
    </row>
    <row r="1208" spans="1:8" x14ac:dyDescent="0.25">
      <c r="A1208" s="73">
        <v>44785</v>
      </c>
      <c r="B1208" s="74" t="s">
        <v>25904</v>
      </c>
      <c r="C1208" s="75" t="s">
        <v>10819</v>
      </c>
      <c r="D1208" s="176">
        <v>1419.6</v>
      </c>
      <c r="E1208" s="151">
        <v>44786</v>
      </c>
      <c r="F1208" s="176">
        <v>1419.6</v>
      </c>
      <c r="G1208" s="177">
        <f>Tabla19[[#This Row],[Importe]]-Tabla19[[#This Row],[Pagado]]</f>
        <v>0</v>
      </c>
      <c r="H1208" s="75" t="s">
        <v>10</v>
      </c>
    </row>
    <row r="1209" spans="1:8" x14ac:dyDescent="0.25">
      <c r="A1209" s="148">
        <v>44785</v>
      </c>
      <c r="B1209" s="149" t="s">
        <v>25905</v>
      </c>
      <c r="C1209" s="153" t="s">
        <v>280</v>
      </c>
      <c r="D1209" s="178">
        <v>2335.1999999999998</v>
      </c>
      <c r="E1209" s="155">
        <v>44786</v>
      </c>
      <c r="F1209" s="178">
        <v>2335.1999999999998</v>
      </c>
      <c r="G1209" s="179">
        <f>Tabla19[[#This Row],[Importe]]-Tabla19[[#This Row],[Pagado]]</f>
        <v>0</v>
      </c>
      <c r="H1209" s="153" t="s">
        <v>10</v>
      </c>
    </row>
    <row r="1210" spans="1:8" x14ac:dyDescent="0.25">
      <c r="A1210" s="73">
        <v>44785</v>
      </c>
      <c r="B1210" s="74" t="s">
        <v>25906</v>
      </c>
      <c r="C1210" s="75" t="s">
        <v>282</v>
      </c>
      <c r="D1210" s="176">
        <v>1923.6</v>
      </c>
      <c r="E1210" s="151">
        <v>44786</v>
      </c>
      <c r="F1210" s="176">
        <v>1923.6</v>
      </c>
      <c r="G1210" s="177">
        <f>Tabla19[[#This Row],[Importe]]-Tabla19[[#This Row],[Pagado]]</f>
        <v>0</v>
      </c>
      <c r="H1210" s="75" t="s">
        <v>10</v>
      </c>
    </row>
    <row r="1211" spans="1:8" x14ac:dyDescent="0.25">
      <c r="A1211" s="148">
        <v>44785</v>
      </c>
      <c r="B1211" s="149" t="s">
        <v>25907</v>
      </c>
      <c r="C1211" s="153" t="s">
        <v>284</v>
      </c>
      <c r="D1211" s="178">
        <v>11172</v>
      </c>
      <c r="E1211" s="155">
        <v>44786</v>
      </c>
      <c r="F1211" s="178">
        <v>11172</v>
      </c>
      <c r="G1211" s="179">
        <f>Tabla19[[#This Row],[Importe]]-Tabla19[[#This Row],[Pagado]]</f>
        <v>0</v>
      </c>
      <c r="H1211" s="153" t="s">
        <v>10</v>
      </c>
    </row>
    <row r="1212" spans="1:8" x14ac:dyDescent="0.25">
      <c r="A1212" s="73">
        <v>44785</v>
      </c>
      <c r="B1212" s="74" t="s">
        <v>25908</v>
      </c>
      <c r="C1212" s="75" t="s">
        <v>31</v>
      </c>
      <c r="D1212" s="176">
        <v>966.4</v>
      </c>
      <c r="E1212" s="151">
        <v>44785</v>
      </c>
      <c r="F1212" s="176">
        <v>966.4</v>
      </c>
      <c r="G1212" s="177">
        <f>Tabla19[[#This Row],[Importe]]-Tabla19[[#This Row],[Pagado]]</f>
        <v>0</v>
      </c>
      <c r="H1212" s="75" t="s">
        <v>10</v>
      </c>
    </row>
    <row r="1213" spans="1:8" x14ac:dyDescent="0.25">
      <c r="A1213" s="148">
        <v>44785</v>
      </c>
      <c r="B1213" s="149" t="s">
        <v>25909</v>
      </c>
      <c r="C1213" s="153" t="s">
        <v>31</v>
      </c>
      <c r="D1213" s="178">
        <v>1444</v>
      </c>
      <c r="E1213" s="155">
        <v>44785</v>
      </c>
      <c r="F1213" s="178">
        <v>1444</v>
      </c>
      <c r="G1213" s="179">
        <f>Tabla19[[#This Row],[Importe]]-Tabla19[[#This Row],[Pagado]]</f>
        <v>0</v>
      </c>
      <c r="H1213" s="153" t="s">
        <v>10</v>
      </c>
    </row>
    <row r="1214" spans="1:8" x14ac:dyDescent="0.25">
      <c r="A1214" s="73">
        <v>44785</v>
      </c>
      <c r="B1214" s="74" t="s">
        <v>25910</v>
      </c>
      <c r="C1214" s="75" t="s">
        <v>365</v>
      </c>
      <c r="D1214" s="176">
        <v>891</v>
      </c>
      <c r="E1214" s="151">
        <v>44785</v>
      </c>
      <c r="F1214" s="176">
        <v>891</v>
      </c>
      <c r="G1214" s="177">
        <f>Tabla19[[#This Row],[Importe]]-Tabla19[[#This Row],[Pagado]]</f>
        <v>0</v>
      </c>
      <c r="H1214" s="75" t="s">
        <v>10</v>
      </c>
    </row>
    <row r="1215" spans="1:8" x14ac:dyDescent="0.25">
      <c r="A1215" s="148">
        <v>44785</v>
      </c>
      <c r="B1215" s="149" t="s">
        <v>25911</v>
      </c>
      <c r="C1215" s="153" t="s">
        <v>56</v>
      </c>
      <c r="D1215" s="178">
        <v>10495</v>
      </c>
      <c r="E1215" s="155">
        <v>44785</v>
      </c>
      <c r="F1215" s="178">
        <v>10495</v>
      </c>
      <c r="G1215" s="179">
        <f>Tabla19[[#This Row],[Importe]]-Tabla19[[#This Row],[Pagado]]</f>
        <v>0</v>
      </c>
      <c r="H1215" s="153" t="s">
        <v>10</v>
      </c>
    </row>
    <row r="1216" spans="1:8" x14ac:dyDescent="0.25">
      <c r="A1216" s="73">
        <v>44785</v>
      </c>
      <c r="B1216" s="74" t="s">
        <v>25912</v>
      </c>
      <c r="C1216" s="75" t="s">
        <v>857</v>
      </c>
      <c r="D1216" s="176">
        <v>988</v>
      </c>
      <c r="E1216" s="151">
        <v>44785</v>
      </c>
      <c r="F1216" s="176">
        <v>988</v>
      </c>
      <c r="G1216" s="177">
        <f>Tabla19[[#This Row],[Importe]]-Tabla19[[#This Row],[Pagado]]</f>
        <v>0</v>
      </c>
      <c r="H1216" s="75" t="s">
        <v>10</v>
      </c>
    </row>
    <row r="1217" spans="1:8" x14ac:dyDescent="0.25">
      <c r="A1217" s="148">
        <v>44785</v>
      </c>
      <c r="B1217" s="149" t="s">
        <v>25913</v>
      </c>
      <c r="C1217" s="153" t="s">
        <v>31</v>
      </c>
      <c r="D1217" s="178">
        <v>429</v>
      </c>
      <c r="E1217" s="155">
        <v>44785</v>
      </c>
      <c r="F1217" s="178">
        <v>429</v>
      </c>
      <c r="G1217" s="179">
        <f>Tabla19[[#This Row],[Importe]]-Tabla19[[#This Row],[Pagado]]</f>
        <v>0</v>
      </c>
      <c r="H1217" s="153" t="s">
        <v>10</v>
      </c>
    </row>
    <row r="1218" spans="1:8" x14ac:dyDescent="0.25">
      <c r="A1218" s="73">
        <v>44785</v>
      </c>
      <c r="B1218" s="74" t="s">
        <v>25914</v>
      </c>
      <c r="C1218" s="75" t="s">
        <v>22</v>
      </c>
      <c r="D1218" s="176">
        <v>4452.5</v>
      </c>
      <c r="E1218" s="151">
        <v>44786</v>
      </c>
      <c r="F1218" s="176">
        <v>4452.5</v>
      </c>
      <c r="G1218" s="177">
        <f>Tabla19[[#This Row],[Importe]]-Tabla19[[#This Row],[Pagado]]</f>
        <v>0</v>
      </c>
      <c r="H1218" s="75" t="s">
        <v>10</v>
      </c>
    </row>
    <row r="1219" spans="1:8" x14ac:dyDescent="0.25">
      <c r="A1219" s="148">
        <v>44785</v>
      </c>
      <c r="B1219" s="149" t="s">
        <v>25915</v>
      </c>
      <c r="C1219" s="153" t="s">
        <v>31</v>
      </c>
      <c r="D1219" s="178">
        <v>944</v>
      </c>
      <c r="E1219" s="155">
        <v>44785</v>
      </c>
      <c r="F1219" s="178">
        <v>944</v>
      </c>
      <c r="G1219" s="179">
        <f>Tabla19[[#This Row],[Importe]]-Tabla19[[#This Row],[Pagado]]</f>
        <v>0</v>
      </c>
      <c r="H1219" s="153" t="s">
        <v>10</v>
      </c>
    </row>
    <row r="1220" spans="1:8" ht="31.5" x14ac:dyDescent="0.25">
      <c r="A1220" s="73">
        <v>44785</v>
      </c>
      <c r="B1220" s="74" t="s">
        <v>25916</v>
      </c>
      <c r="C1220" s="75" t="s">
        <v>12</v>
      </c>
      <c r="D1220" s="176">
        <v>10040</v>
      </c>
      <c r="E1220" s="147" t="s">
        <v>25694</v>
      </c>
      <c r="F1220" s="176">
        <f>7500+2540</f>
        <v>10040</v>
      </c>
      <c r="G1220" s="177">
        <f>Tabla19[[#This Row],[Importe]]-Tabla19[[#This Row],[Pagado]]</f>
        <v>0</v>
      </c>
      <c r="H1220" s="75" t="s">
        <v>10</v>
      </c>
    </row>
    <row r="1221" spans="1:8" x14ac:dyDescent="0.25">
      <c r="A1221" s="148">
        <v>44785</v>
      </c>
      <c r="B1221" s="149" t="s">
        <v>25917</v>
      </c>
      <c r="C1221" s="153" t="s">
        <v>296</v>
      </c>
      <c r="D1221" s="178">
        <v>908</v>
      </c>
      <c r="E1221" s="155">
        <v>44786</v>
      </c>
      <c r="F1221" s="178">
        <v>908</v>
      </c>
      <c r="G1221" s="179">
        <f>Tabla19[[#This Row],[Importe]]-Tabla19[[#This Row],[Pagado]]</f>
        <v>0</v>
      </c>
      <c r="H1221" s="153" t="s">
        <v>10</v>
      </c>
    </row>
    <row r="1222" spans="1:8" x14ac:dyDescent="0.25">
      <c r="A1222" s="73">
        <v>44785</v>
      </c>
      <c r="B1222" s="74" t="s">
        <v>25918</v>
      </c>
      <c r="C1222" s="75" t="s">
        <v>409</v>
      </c>
      <c r="D1222" s="176">
        <v>11754</v>
      </c>
      <c r="E1222" s="151">
        <v>44789</v>
      </c>
      <c r="F1222" s="176">
        <v>11754</v>
      </c>
      <c r="G1222" s="177">
        <f>Tabla19[[#This Row],[Importe]]-Tabla19[[#This Row],[Pagado]]</f>
        <v>0</v>
      </c>
      <c r="H1222" s="75" t="s">
        <v>10</v>
      </c>
    </row>
    <row r="1223" spans="1:8" x14ac:dyDescent="0.25">
      <c r="A1223" s="148">
        <v>44785</v>
      </c>
      <c r="B1223" s="149" t="s">
        <v>25919</v>
      </c>
      <c r="C1223" s="153" t="s">
        <v>31</v>
      </c>
      <c r="D1223" s="178">
        <v>3177.46</v>
      </c>
      <c r="E1223" s="155">
        <v>44786</v>
      </c>
      <c r="F1223" s="178">
        <v>3177.46</v>
      </c>
      <c r="G1223" s="179">
        <f>Tabla19[[#This Row],[Importe]]-Tabla19[[#This Row],[Pagado]]</f>
        <v>0</v>
      </c>
      <c r="H1223" s="153" t="s">
        <v>10</v>
      </c>
    </row>
    <row r="1224" spans="1:8" x14ac:dyDescent="0.25">
      <c r="A1224" s="73">
        <v>44786</v>
      </c>
      <c r="B1224" s="74" t="s">
        <v>25920</v>
      </c>
      <c r="C1224" s="75" t="s">
        <v>887</v>
      </c>
      <c r="D1224" s="176">
        <v>19285.5</v>
      </c>
      <c r="E1224" s="151">
        <v>44786</v>
      </c>
      <c r="F1224" s="176">
        <v>19285.5</v>
      </c>
      <c r="G1224" s="177">
        <f>Tabla19[[#This Row],[Importe]]-Tabla19[[#This Row],[Pagado]]</f>
        <v>0</v>
      </c>
      <c r="H1224" s="75" t="s">
        <v>10</v>
      </c>
    </row>
    <row r="1225" spans="1:8" ht="31.5" x14ac:dyDescent="0.25">
      <c r="A1225" s="148">
        <v>44786</v>
      </c>
      <c r="B1225" s="149" t="s">
        <v>25921</v>
      </c>
      <c r="C1225" s="153" t="s">
        <v>475</v>
      </c>
      <c r="D1225" s="178">
        <v>41924.800000000003</v>
      </c>
      <c r="E1225" s="150" t="s">
        <v>25922</v>
      </c>
      <c r="F1225" s="178">
        <f>23000+18924.8</f>
        <v>41924.800000000003</v>
      </c>
      <c r="G1225" s="179">
        <f>Tabla19[[#This Row],[Importe]]-Tabla19[[#This Row],[Pagado]]</f>
        <v>0</v>
      </c>
      <c r="H1225" s="153" t="s">
        <v>10</v>
      </c>
    </row>
    <row r="1226" spans="1:8" x14ac:dyDescent="0.25">
      <c r="A1226" s="73">
        <v>44786</v>
      </c>
      <c r="B1226" s="74" t="s">
        <v>25923</v>
      </c>
      <c r="C1226" s="75" t="s">
        <v>12</v>
      </c>
      <c r="D1226" s="176">
        <v>14468.4</v>
      </c>
      <c r="E1226" s="151">
        <v>44786</v>
      </c>
      <c r="F1226" s="176">
        <v>14468.4</v>
      </c>
      <c r="G1226" s="177">
        <f>Tabla19[[#This Row],[Importe]]-Tabla19[[#This Row],[Pagado]]</f>
        <v>0</v>
      </c>
      <c r="H1226" s="75" t="s">
        <v>10</v>
      </c>
    </row>
    <row r="1227" spans="1:8" x14ac:dyDescent="0.25">
      <c r="A1227" s="148">
        <v>44786</v>
      </c>
      <c r="B1227" s="149" t="s">
        <v>25924</v>
      </c>
      <c r="C1227" s="153" t="s">
        <v>24768</v>
      </c>
      <c r="D1227" s="178">
        <v>5464.8</v>
      </c>
      <c r="E1227" s="155">
        <v>44786</v>
      </c>
      <c r="F1227" s="178">
        <v>5464.8</v>
      </c>
      <c r="G1227" s="179">
        <f>Tabla19[[#This Row],[Importe]]-Tabla19[[#This Row],[Pagado]]</f>
        <v>0</v>
      </c>
      <c r="H1227" s="153" t="s">
        <v>10</v>
      </c>
    </row>
    <row r="1228" spans="1:8" x14ac:dyDescent="0.25">
      <c r="A1228" s="73">
        <v>44786</v>
      </c>
      <c r="B1228" s="74" t="s">
        <v>25925</v>
      </c>
      <c r="C1228" s="75" t="s">
        <v>12</v>
      </c>
      <c r="D1228" s="176">
        <v>7152</v>
      </c>
      <c r="E1228" s="151">
        <v>44786</v>
      </c>
      <c r="F1228" s="176">
        <v>7152</v>
      </c>
      <c r="G1228" s="177">
        <f>Tabla19[[#This Row],[Importe]]-Tabla19[[#This Row],[Pagado]]</f>
        <v>0</v>
      </c>
      <c r="H1228" s="75" t="s">
        <v>10</v>
      </c>
    </row>
    <row r="1229" spans="1:8" x14ac:dyDescent="0.25">
      <c r="A1229" s="148">
        <v>44786</v>
      </c>
      <c r="B1229" s="149" t="s">
        <v>25926</v>
      </c>
      <c r="C1229" s="153" t="s">
        <v>407</v>
      </c>
      <c r="D1229" s="178">
        <v>19380.5</v>
      </c>
      <c r="E1229" s="155">
        <v>44789</v>
      </c>
      <c r="F1229" s="178">
        <v>19380.5</v>
      </c>
      <c r="G1229" s="179">
        <f>Tabla19[[#This Row],[Importe]]-Tabla19[[#This Row],[Pagado]]</f>
        <v>0</v>
      </c>
      <c r="H1229" s="153" t="s">
        <v>10</v>
      </c>
    </row>
    <row r="1230" spans="1:8" x14ac:dyDescent="0.25">
      <c r="A1230" s="73">
        <v>44786</v>
      </c>
      <c r="B1230" s="74" t="s">
        <v>25927</v>
      </c>
      <c r="C1230" s="75" t="s">
        <v>12</v>
      </c>
      <c r="D1230" s="176">
        <v>5465.6</v>
      </c>
      <c r="E1230" s="151">
        <v>44786</v>
      </c>
      <c r="F1230" s="176">
        <v>5465.6</v>
      </c>
      <c r="G1230" s="177">
        <f>Tabla19[[#This Row],[Importe]]-Tabla19[[#This Row],[Pagado]]</f>
        <v>0</v>
      </c>
      <c r="H1230" s="75" t="s">
        <v>10</v>
      </c>
    </row>
    <row r="1231" spans="1:8" x14ac:dyDescent="0.25">
      <c r="A1231" s="148">
        <v>44786</v>
      </c>
      <c r="B1231" s="149" t="s">
        <v>25928</v>
      </c>
      <c r="C1231" s="153" t="s">
        <v>481</v>
      </c>
      <c r="D1231" s="178">
        <v>1180.9000000000001</v>
      </c>
      <c r="E1231" s="155">
        <v>44786</v>
      </c>
      <c r="F1231" s="178">
        <v>1180.9000000000001</v>
      </c>
      <c r="G1231" s="179">
        <f>Tabla19[[#This Row],[Importe]]-Tabla19[[#This Row],[Pagado]]</f>
        <v>0</v>
      </c>
      <c r="H1231" s="153" t="s">
        <v>10</v>
      </c>
    </row>
    <row r="1232" spans="1:8" x14ac:dyDescent="0.25">
      <c r="A1232" s="73">
        <v>44786</v>
      </c>
      <c r="B1232" s="74" t="s">
        <v>25929</v>
      </c>
      <c r="C1232" s="75" t="s">
        <v>326</v>
      </c>
      <c r="D1232" s="176">
        <v>14690</v>
      </c>
      <c r="E1232" s="151">
        <v>44788</v>
      </c>
      <c r="F1232" s="176">
        <v>14690</v>
      </c>
      <c r="G1232" s="177">
        <f>Tabla19[[#This Row],[Importe]]-Tabla19[[#This Row],[Pagado]]</f>
        <v>0</v>
      </c>
      <c r="H1232" s="75" t="s">
        <v>10</v>
      </c>
    </row>
    <row r="1233" spans="1:8" x14ac:dyDescent="0.25">
      <c r="A1233" s="148">
        <v>44786</v>
      </c>
      <c r="B1233" s="149" t="s">
        <v>25930</v>
      </c>
      <c r="C1233" s="153" t="s">
        <v>105</v>
      </c>
      <c r="D1233" s="178">
        <v>6104.7</v>
      </c>
      <c r="E1233" s="155">
        <v>44788</v>
      </c>
      <c r="F1233" s="178">
        <v>6104.7</v>
      </c>
      <c r="G1233" s="179">
        <f>Tabla19[[#This Row],[Importe]]-Tabla19[[#This Row],[Pagado]]</f>
        <v>0</v>
      </c>
      <c r="H1233" s="153" t="s">
        <v>10</v>
      </c>
    </row>
    <row r="1234" spans="1:8" x14ac:dyDescent="0.25">
      <c r="A1234" s="73">
        <v>44786</v>
      </c>
      <c r="B1234" s="74" t="s">
        <v>25931</v>
      </c>
      <c r="C1234" s="75" t="s">
        <v>5043</v>
      </c>
      <c r="D1234" s="176">
        <v>14248</v>
      </c>
      <c r="E1234" s="151">
        <v>44788</v>
      </c>
      <c r="F1234" s="176">
        <v>14248</v>
      </c>
      <c r="G1234" s="177">
        <f>Tabla19[[#This Row],[Importe]]-Tabla19[[#This Row],[Pagado]]</f>
        <v>0</v>
      </c>
      <c r="H1234" s="75" t="s">
        <v>10</v>
      </c>
    </row>
    <row r="1235" spans="1:8" x14ac:dyDescent="0.25">
      <c r="A1235" s="148">
        <v>44786</v>
      </c>
      <c r="B1235" s="149" t="s">
        <v>25932</v>
      </c>
      <c r="C1235" s="153" t="s">
        <v>60</v>
      </c>
      <c r="D1235" s="178">
        <v>4972.5</v>
      </c>
      <c r="E1235" s="155">
        <v>44792</v>
      </c>
      <c r="F1235" s="178">
        <v>4972.5</v>
      </c>
      <c r="G1235" s="179">
        <f>Tabla19[[#This Row],[Importe]]-Tabla19[[#This Row],[Pagado]]</f>
        <v>0</v>
      </c>
      <c r="H1235" s="153" t="s">
        <v>10</v>
      </c>
    </row>
    <row r="1236" spans="1:8" x14ac:dyDescent="0.25">
      <c r="A1236" s="73">
        <v>44786</v>
      </c>
      <c r="B1236" s="74" t="s">
        <v>25933</v>
      </c>
      <c r="C1236" s="75" t="s">
        <v>64</v>
      </c>
      <c r="D1236" s="176">
        <v>10556</v>
      </c>
      <c r="E1236" s="151">
        <v>44789</v>
      </c>
      <c r="F1236" s="176">
        <v>10556</v>
      </c>
      <c r="G1236" s="177">
        <f>Tabla19[[#This Row],[Importe]]-Tabla19[[#This Row],[Pagado]]</f>
        <v>0</v>
      </c>
      <c r="H1236" s="75" t="s">
        <v>10</v>
      </c>
    </row>
    <row r="1237" spans="1:8" x14ac:dyDescent="0.25">
      <c r="A1237" s="148">
        <v>44786</v>
      </c>
      <c r="B1237" s="149" t="s">
        <v>25934</v>
      </c>
      <c r="C1237" s="153" t="s">
        <v>348</v>
      </c>
      <c r="D1237" s="178">
        <v>8427.7999999999993</v>
      </c>
      <c r="E1237" s="155">
        <v>44786</v>
      </c>
      <c r="F1237" s="178">
        <v>8427.7999999999993</v>
      </c>
      <c r="G1237" s="179">
        <f>Tabla19[[#This Row],[Importe]]-Tabla19[[#This Row],[Pagado]]</f>
        <v>0</v>
      </c>
      <c r="H1237" s="153" t="s">
        <v>10</v>
      </c>
    </row>
    <row r="1238" spans="1:8" x14ac:dyDescent="0.25">
      <c r="A1238" s="73">
        <v>44786</v>
      </c>
      <c r="B1238" s="74" t="s">
        <v>25935</v>
      </c>
      <c r="C1238" s="75" t="s">
        <v>75</v>
      </c>
      <c r="D1238" s="176">
        <v>16783.2</v>
      </c>
      <c r="E1238" s="151">
        <v>44786</v>
      </c>
      <c r="F1238" s="176">
        <v>16783.2</v>
      </c>
      <c r="G1238" s="177">
        <f>Tabla19[[#This Row],[Importe]]-Tabla19[[#This Row],[Pagado]]</f>
        <v>0</v>
      </c>
      <c r="H1238" s="75" t="s">
        <v>10</v>
      </c>
    </row>
    <row r="1239" spans="1:8" x14ac:dyDescent="0.25">
      <c r="A1239" s="148">
        <v>44786</v>
      </c>
      <c r="B1239" s="149" t="s">
        <v>25936</v>
      </c>
      <c r="C1239" s="153" t="s">
        <v>114</v>
      </c>
      <c r="D1239" s="178">
        <v>17150.5</v>
      </c>
      <c r="E1239" s="155">
        <v>44788</v>
      </c>
      <c r="F1239" s="178">
        <v>17150.5</v>
      </c>
      <c r="G1239" s="179">
        <f>Tabla19[[#This Row],[Importe]]-Tabla19[[#This Row],[Pagado]]</f>
        <v>0</v>
      </c>
      <c r="H1239" s="153" t="s">
        <v>10</v>
      </c>
    </row>
    <row r="1240" spans="1:8" ht="31.5" x14ac:dyDescent="0.25">
      <c r="A1240" s="73">
        <v>44786</v>
      </c>
      <c r="B1240" s="74" t="s">
        <v>25937</v>
      </c>
      <c r="C1240" s="75" t="s">
        <v>93</v>
      </c>
      <c r="D1240" s="176">
        <v>17844.3</v>
      </c>
      <c r="E1240" s="147" t="s">
        <v>25938</v>
      </c>
      <c r="F1240" s="176">
        <f>10000+7844.3</f>
        <v>17844.3</v>
      </c>
      <c r="G1240" s="177">
        <f>Tabla19[[#This Row],[Importe]]-Tabla19[[#This Row],[Pagado]]</f>
        <v>0</v>
      </c>
      <c r="H1240" s="75" t="s">
        <v>10</v>
      </c>
    </row>
    <row r="1241" spans="1:8" x14ac:dyDescent="0.25">
      <c r="A1241" s="148">
        <v>44786</v>
      </c>
      <c r="B1241" s="149" t="s">
        <v>25939</v>
      </c>
      <c r="C1241" s="153" t="s">
        <v>97</v>
      </c>
      <c r="D1241" s="178">
        <v>10140</v>
      </c>
      <c r="E1241" s="155">
        <v>44788</v>
      </c>
      <c r="F1241" s="178">
        <v>10140</v>
      </c>
      <c r="G1241" s="179">
        <f>Tabla19[[#This Row],[Importe]]-Tabla19[[#This Row],[Pagado]]</f>
        <v>0</v>
      </c>
      <c r="H1241" s="153" t="s">
        <v>10</v>
      </c>
    </row>
    <row r="1242" spans="1:8" x14ac:dyDescent="0.25">
      <c r="A1242" s="73">
        <v>44786</v>
      </c>
      <c r="B1242" s="74" t="s">
        <v>25940</v>
      </c>
      <c r="C1242" s="75" t="s">
        <v>2151</v>
      </c>
      <c r="D1242" s="176">
        <v>43437.8</v>
      </c>
      <c r="E1242" s="151">
        <v>44786</v>
      </c>
      <c r="F1242" s="176">
        <v>43437.8</v>
      </c>
      <c r="G1242" s="177">
        <f>Tabla19[[#This Row],[Importe]]-Tabla19[[#This Row],[Pagado]]</f>
        <v>0</v>
      </c>
      <c r="H1242" s="75" t="s">
        <v>10</v>
      </c>
    </row>
    <row r="1243" spans="1:8" ht="47.25" x14ac:dyDescent="0.25">
      <c r="A1243" s="148">
        <v>44786</v>
      </c>
      <c r="B1243" s="149" t="s">
        <v>25941</v>
      </c>
      <c r="C1243" s="153" t="s">
        <v>99</v>
      </c>
      <c r="D1243" s="178">
        <v>10483.200000000001</v>
      </c>
      <c r="E1243" s="150" t="s">
        <v>25942</v>
      </c>
      <c r="F1243" s="178">
        <f>2000+2500+3000+2983.2</f>
        <v>10483.200000000001</v>
      </c>
      <c r="G1243" s="179">
        <f>Tabla19[[#This Row],[Importe]]-Tabla19[[#This Row],[Pagado]]</f>
        <v>0</v>
      </c>
      <c r="H1243" s="153" t="s">
        <v>10</v>
      </c>
    </row>
    <row r="1244" spans="1:8" x14ac:dyDescent="0.25">
      <c r="A1244" s="73">
        <v>44786</v>
      </c>
      <c r="B1244" s="74" t="s">
        <v>25943</v>
      </c>
      <c r="C1244" s="75" t="s">
        <v>89</v>
      </c>
      <c r="D1244" s="176">
        <v>14597.1</v>
      </c>
      <c r="E1244" s="151">
        <v>44788</v>
      </c>
      <c r="F1244" s="176">
        <v>14597.1</v>
      </c>
      <c r="G1244" s="177">
        <f>Tabla19[[#This Row],[Importe]]-Tabla19[[#This Row],[Pagado]]</f>
        <v>0</v>
      </c>
      <c r="H1244" s="75" t="s">
        <v>10</v>
      </c>
    </row>
    <row r="1245" spans="1:8" x14ac:dyDescent="0.25">
      <c r="A1245" s="148">
        <v>44786</v>
      </c>
      <c r="B1245" s="149" t="s">
        <v>25944</v>
      </c>
      <c r="C1245" s="153" t="s">
        <v>111</v>
      </c>
      <c r="D1245" s="178">
        <v>12077.1</v>
      </c>
      <c r="E1245" s="155">
        <v>44788</v>
      </c>
      <c r="F1245" s="178">
        <v>12077.1</v>
      </c>
      <c r="G1245" s="179">
        <f>Tabla19[[#This Row],[Importe]]-Tabla19[[#This Row],[Pagado]]</f>
        <v>0</v>
      </c>
      <c r="H1245" s="153" t="s">
        <v>10</v>
      </c>
    </row>
    <row r="1246" spans="1:8" x14ac:dyDescent="0.25">
      <c r="A1246" s="73">
        <v>44786</v>
      </c>
      <c r="B1246" s="74" t="s">
        <v>25945</v>
      </c>
      <c r="C1246" s="75" t="s">
        <v>918</v>
      </c>
      <c r="D1246" s="176">
        <v>994</v>
      </c>
      <c r="E1246" s="151">
        <v>44786</v>
      </c>
      <c r="F1246" s="176">
        <v>994</v>
      </c>
      <c r="G1246" s="177">
        <f>Tabla19[[#This Row],[Importe]]-Tabla19[[#This Row],[Pagado]]</f>
        <v>0</v>
      </c>
      <c r="H1246" s="75" t="s">
        <v>10</v>
      </c>
    </row>
    <row r="1247" spans="1:8" ht="31.5" x14ac:dyDescent="0.25">
      <c r="A1247" s="148">
        <v>44786</v>
      </c>
      <c r="B1247" s="149" t="s">
        <v>25946</v>
      </c>
      <c r="C1247" s="153" t="s">
        <v>345</v>
      </c>
      <c r="D1247" s="178">
        <v>4940</v>
      </c>
      <c r="E1247" s="150" t="s">
        <v>25815</v>
      </c>
      <c r="F1247" s="178">
        <f>2000+2940</f>
        <v>4940</v>
      </c>
      <c r="G1247" s="179">
        <f>Tabla19[[#This Row],[Importe]]-Tabla19[[#This Row],[Pagado]]</f>
        <v>0</v>
      </c>
      <c r="H1247" s="153" t="s">
        <v>10</v>
      </c>
    </row>
    <row r="1248" spans="1:8" x14ac:dyDescent="0.25">
      <c r="A1248" s="73">
        <v>44786</v>
      </c>
      <c r="B1248" s="74" t="s">
        <v>25947</v>
      </c>
      <c r="C1248" s="75" t="s">
        <v>9</v>
      </c>
      <c r="D1248" s="176">
        <v>14842.9</v>
      </c>
      <c r="E1248" s="151">
        <v>44786</v>
      </c>
      <c r="F1248" s="176">
        <v>14842.9</v>
      </c>
      <c r="G1248" s="177">
        <f>Tabla19[[#This Row],[Importe]]-Tabla19[[#This Row],[Pagado]]</f>
        <v>0</v>
      </c>
      <c r="H1248" s="75" t="s">
        <v>10</v>
      </c>
    </row>
    <row r="1249" spans="1:8" x14ac:dyDescent="0.25">
      <c r="A1249" s="148">
        <v>44786</v>
      </c>
      <c r="B1249" s="149" t="s">
        <v>25948</v>
      </c>
      <c r="C1249" s="153" t="s">
        <v>918</v>
      </c>
      <c r="D1249" s="178">
        <v>1122</v>
      </c>
      <c r="E1249" s="155">
        <v>44786</v>
      </c>
      <c r="F1249" s="178">
        <v>1122</v>
      </c>
      <c r="G1249" s="179">
        <f>Tabla19[[#This Row],[Importe]]-Tabla19[[#This Row],[Pagado]]</f>
        <v>0</v>
      </c>
      <c r="H1249" s="153" t="s">
        <v>10</v>
      </c>
    </row>
    <row r="1250" spans="1:8" ht="31.5" x14ac:dyDescent="0.25">
      <c r="A1250" s="73">
        <v>44786</v>
      </c>
      <c r="B1250" s="74" t="s">
        <v>25949</v>
      </c>
      <c r="C1250" s="75" t="s">
        <v>22</v>
      </c>
      <c r="D1250" s="176">
        <v>81968.3</v>
      </c>
      <c r="E1250" s="147" t="s">
        <v>25922</v>
      </c>
      <c r="F1250" s="176">
        <f>57000+24968.3</f>
        <v>81968.3</v>
      </c>
      <c r="G1250" s="177">
        <f>Tabla19[[#This Row],[Importe]]-Tabla19[[#This Row],[Pagado]]</f>
        <v>0</v>
      </c>
      <c r="H1250" s="75" t="s">
        <v>10</v>
      </c>
    </row>
    <row r="1251" spans="1:8" x14ac:dyDescent="0.25">
      <c r="A1251" s="148">
        <v>44786</v>
      </c>
      <c r="B1251" s="149" t="s">
        <v>25950</v>
      </c>
      <c r="C1251" s="153" t="s">
        <v>29</v>
      </c>
      <c r="D1251" s="178">
        <v>8198.4</v>
      </c>
      <c r="E1251" s="155">
        <v>44786</v>
      </c>
      <c r="F1251" s="178">
        <v>8198.4</v>
      </c>
      <c r="G1251" s="179">
        <f>Tabla19[[#This Row],[Importe]]-Tabla19[[#This Row],[Pagado]]</f>
        <v>0</v>
      </c>
      <c r="H1251" s="153" t="s">
        <v>10</v>
      </c>
    </row>
    <row r="1252" spans="1:8" x14ac:dyDescent="0.25">
      <c r="A1252" s="73">
        <v>44786</v>
      </c>
      <c r="B1252" s="74" t="s">
        <v>25951</v>
      </c>
      <c r="C1252" s="75" t="s">
        <v>29</v>
      </c>
      <c r="D1252" s="176">
        <v>1344</v>
      </c>
      <c r="E1252" s="151">
        <v>44786</v>
      </c>
      <c r="F1252" s="176">
        <v>1344</v>
      </c>
      <c r="G1252" s="177">
        <f>Tabla19[[#This Row],[Importe]]-Tabla19[[#This Row],[Pagado]]</f>
        <v>0</v>
      </c>
      <c r="H1252" s="75" t="s">
        <v>10</v>
      </c>
    </row>
    <row r="1253" spans="1:8" x14ac:dyDescent="0.25">
      <c r="A1253" s="148">
        <v>44786</v>
      </c>
      <c r="B1253" s="149" t="s">
        <v>25952</v>
      </c>
      <c r="C1253" s="153" t="s">
        <v>1187</v>
      </c>
      <c r="D1253" s="178">
        <v>1073</v>
      </c>
      <c r="E1253" s="155">
        <v>44786</v>
      </c>
      <c r="F1253" s="178">
        <v>1073</v>
      </c>
      <c r="G1253" s="179">
        <f>Tabla19[[#This Row],[Importe]]-Tabla19[[#This Row],[Pagado]]</f>
        <v>0</v>
      </c>
      <c r="H1253" s="153" t="s">
        <v>10</v>
      </c>
    </row>
    <row r="1254" spans="1:8" x14ac:dyDescent="0.25">
      <c r="A1254" s="73">
        <v>44786</v>
      </c>
      <c r="B1254" s="74" t="s">
        <v>25953</v>
      </c>
      <c r="C1254" s="75" t="s">
        <v>16</v>
      </c>
      <c r="D1254" s="176">
        <v>6346</v>
      </c>
      <c r="E1254" s="151">
        <v>44786</v>
      </c>
      <c r="F1254" s="176">
        <v>6346</v>
      </c>
      <c r="G1254" s="177">
        <f>Tabla19[[#This Row],[Importe]]-Tabla19[[#This Row],[Pagado]]</f>
        <v>0</v>
      </c>
      <c r="H1254" s="75" t="s">
        <v>10</v>
      </c>
    </row>
    <row r="1255" spans="1:8" x14ac:dyDescent="0.25">
      <c r="A1255" s="148">
        <v>44786</v>
      </c>
      <c r="B1255" s="149" t="s">
        <v>25954</v>
      </c>
      <c r="C1255" s="153" t="s">
        <v>275</v>
      </c>
      <c r="D1255" s="178">
        <v>212413.8</v>
      </c>
      <c r="E1255" s="155">
        <v>44813</v>
      </c>
      <c r="F1255" s="178">
        <v>212413.8</v>
      </c>
      <c r="G1255" s="179">
        <f>Tabla19[[#This Row],[Importe]]-Tabla19[[#This Row],[Pagado]]</f>
        <v>0</v>
      </c>
      <c r="H1255" s="153" t="s">
        <v>10</v>
      </c>
    </row>
    <row r="1256" spans="1:8" x14ac:dyDescent="0.25">
      <c r="A1256" s="73">
        <v>44786</v>
      </c>
      <c r="B1256" s="74" t="s">
        <v>25955</v>
      </c>
      <c r="C1256" s="75" t="s">
        <v>924</v>
      </c>
      <c r="D1256" s="176">
        <v>4945.5</v>
      </c>
      <c r="E1256" s="151">
        <v>44786</v>
      </c>
      <c r="F1256" s="176">
        <v>4945.5</v>
      </c>
      <c r="G1256" s="177">
        <f>Tabla19[[#This Row],[Importe]]-Tabla19[[#This Row],[Pagado]]</f>
        <v>0</v>
      </c>
      <c r="H1256" s="75" t="s">
        <v>10</v>
      </c>
    </row>
    <row r="1257" spans="1:8" x14ac:dyDescent="0.25">
      <c r="A1257" s="148">
        <v>44786</v>
      </c>
      <c r="B1257" s="149" t="s">
        <v>25956</v>
      </c>
      <c r="C1257" s="153" t="s">
        <v>161</v>
      </c>
      <c r="D1257" s="178">
        <v>4669.3999999999996</v>
      </c>
      <c r="E1257" s="155">
        <v>44786</v>
      </c>
      <c r="F1257" s="178">
        <v>4669.3999999999996</v>
      </c>
      <c r="G1257" s="179">
        <f>Tabla19[[#This Row],[Importe]]-Tabla19[[#This Row],[Pagado]]</f>
        <v>0</v>
      </c>
      <c r="H1257" s="153" t="s">
        <v>10</v>
      </c>
    </row>
    <row r="1258" spans="1:8" x14ac:dyDescent="0.25">
      <c r="A1258" s="73">
        <v>44786</v>
      </c>
      <c r="B1258" s="74" t="s">
        <v>25957</v>
      </c>
      <c r="C1258" s="75" t="s">
        <v>49</v>
      </c>
      <c r="D1258" s="176">
        <v>4491.8999999999996</v>
      </c>
      <c r="E1258" s="151">
        <v>44786</v>
      </c>
      <c r="F1258" s="176">
        <v>4491.8999999999996</v>
      </c>
      <c r="G1258" s="177">
        <f>Tabla19[[#This Row],[Importe]]-Tabla19[[#This Row],[Pagado]]</f>
        <v>0</v>
      </c>
      <c r="H1258" s="75" t="s">
        <v>10</v>
      </c>
    </row>
    <row r="1259" spans="1:8" x14ac:dyDescent="0.25">
      <c r="A1259" s="148">
        <v>44786</v>
      </c>
      <c r="B1259" s="149" t="s">
        <v>25958</v>
      </c>
      <c r="C1259" s="153" t="s">
        <v>161</v>
      </c>
      <c r="D1259" s="178">
        <v>574.20000000000005</v>
      </c>
      <c r="E1259" s="155">
        <v>44786</v>
      </c>
      <c r="F1259" s="178">
        <v>574.20000000000005</v>
      </c>
      <c r="G1259" s="179">
        <f>Tabla19[[#This Row],[Importe]]-Tabla19[[#This Row],[Pagado]]</f>
        <v>0</v>
      </c>
      <c r="H1259" s="153" t="s">
        <v>10</v>
      </c>
    </row>
    <row r="1260" spans="1:8" x14ac:dyDescent="0.25">
      <c r="A1260" s="73">
        <v>44786</v>
      </c>
      <c r="B1260" s="74" t="s">
        <v>25959</v>
      </c>
      <c r="C1260" s="75" t="s">
        <v>27</v>
      </c>
      <c r="D1260" s="176">
        <v>4202.5</v>
      </c>
      <c r="E1260" s="151">
        <v>44786</v>
      </c>
      <c r="F1260" s="176">
        <v>4202.5</v>
      </c>
      <c r="G1260" s="177">
        <f>Tabla19[[#This Row],[Importe]]-Tabla19[[#This Row],[Pagado]]</f>
        <v>0</v>
      </c>
      <c r="H1260" s="75" t="s">
        <v>10</v>
      </c>
    </row>
    <row r="1261" spans="1:8" x14ac:dyDescent="0.25">
      <c r="A1261" s="148">
        <v>44786</v>
      </c>
      <c r="B1261" s="149" t="s">
        <v>25960</v>
      </c>
      <c r="C1261" s="153" t="s">
        <v>14</v>
      </c>
      <c r="D1261" s="178">
        <v>35882</v>
      </c>
      <c r="E1261" s="155">
        <v>44786</v>
      </c>
      <c r="F1261" s="178">
        <v>35882</v>
      </c>
      <c r="G1261" s="179">
        <f>Tabla19[[#This Row],[Importe]]-Tabla19[[#This Row],[Pagado]]</f>
        <v>0</v>
      </c>
      <c r="H1261" s="153" t="s">
        <v>10</v>
      </c>
    </row>
    <row r="1262" spans="1:8" ht="31.5" x14ac:dyDescent="0.25">
      <c r="A1262" s="73">
        <v>44786</v>
      </c>
      <c r="B1262" s="74" t="s">
        <v>25961</v>
      </c>
      <c r="C1262" s="181" t="s">
        <v>5463</v>
      </c>
      <c r="D1262" s="176">
        <v>0</v>
      </c>
      <c r="E1262" s="157" t="s">
        <v>189</v>
      </c>
      <c r="F1262" s="176">
        <v>0</v>
      </c>
      <c r="G1262" s="177">
        <f>Tabla19[[#This Row],[Importe]]-Tabla19[[#This Row],[Pagado]]</f>
        <v>0</v>
      </c>
      <c r="H1262" s="161" t="s">
        <v>25962</v>
      </c>
    </row>
    <row r="1263" spans="1:8" x14ac:dyDescent="0.25">
      <c r="A1263" s="148">
        <v>44786</v>
      </c>
      <c r="B1263" s="149" t="s">
        <v>25963</v>
      </c>
      <c r="C1263" s="153" t="s">
        <v>31</v>
      </c>
      <c r="D1263" s="178">
        <v>2880</v>
      </c>
      <c r="E1263" s="155">
        <v>44786</v>
      </c>
      <c r="F1263" s="178">
        <v>2880</v>
      </c>
      <c r="G1263" s="179">
        <f>Tabla19[[#This Row],[Importe]]-Tabla19[[#This Row],[Pagado]]</f>
        <v>0</v>
      </c>
      <c r="H1263" s="153" t="s">
        <v>10</v>
      </c>
    </row>
    <row r="1264" spans="1:8" x14ac:dyDescent="0.25">
      <c r="A1264" s="73">
        <v>44786</v>
      </c>
      <c r="B1264" s="74" t="s">
        <v>25964</v>
      </c>
      <c r="C1264" s="75" t="s">
        <v>25965</v>
      </c>
      <c r="D1264" s="176">
        <v>0</v>
      </c>
      <c r="E1264" s="157" t="s">
        <v>189</v>
      </c>
      <c r="F1264" s="176">
        <v>0</v>
      </c>
      <c r="G1264" s="177">
        <f>Tabla19[[#This Row],[Importe]]-Tabla19[[#This Row],[Pagado]]</f>
        <v>0</v>
      </c>
      <c r="H1264" s="161" t="s">
        <v>25966</v>
      </c>
    </row>
    <row r="1265" spans="1:8" x14ac:dyDescent="0.25">
      <c r="A1265" s="148">
        <v>44786</v>
      </c>
      <c r="B1265" s="149" t="s">
        <v>25967</v>
      </c>
      <c r="C1265" s="153" t="s">
        <v>11033</v>
      </c>
      <c r="D1265" s="178">
        <v>1927.6</v>
      </c>
      <c r="E1265" s="155">
        <v>44786</v>
      </c>
      <c r="F1265" s="178">
        <v>1927.6</v>
      </c>
      <c r="G1265" s="179">
        <f>Tabla19[[#This Row],[Importe]]-Tabla19[[#This Row],[Pagado]]</f>
        <v>0</v>
      </c>
      <c r="H1265" s="153" t="s">
        <v>10</v>
      </c>
    </row>
    <row r="1266" spans="1:8" x14ac:dyDescent="0.25">
      <c r="A1266" s="73">
        <v>44786</v>
      </c>
      <c r="B1266" s="74" t="s">
        <v>25968</v>
      </c>
      <c r="C1266" s="75" t="s">
        <v>555</v>
      </c>
      <c r="D1266" s="176">
        <v>19500</v>
      </c>
      <c r="E1266" s="151">
        <v>44786</v>
      </c>
      <c r="F1266" s="176">
        <v>19500</v>
      </c>
      <c r="G1266" s="177">
        <f>Tabla19[[#This Row],[Importe]]-Tabla19[[#This Row],[Pagado]]</f>
        <v>0</v>
      </c>
      <c r="H1266" s="75" t="s">
        <v>10</v>
      </c>
    </row>
    <row r="1267" spans="1:8" x14ac:dyDescent="0.25">
      <c r="A1267" s="148">
        <v>44786</v>
      </c>
      <c r="B1267" s="149" t="s">
        <v>25969</v>
      </c>
      <c r="C1267" s="153" t="s">
        <v>196</v>
      </c>
      <c r="D1267" s="178">
        <v>160037.66</v>
      </c>
      <c r="E1267" s="155">
        <v>44792</v>
      </c>
      <c r="F1267" s="178">
        <v>160037.66</v>
      </c>
      <c r="G1267" s="179">
        <f>Tabla19[[#This Row],[Importe]]-Tabla19[[#This Row],[Pagado]]</f>
        <v>0</v>
      </c>
      <c r="H1267" s="153" t="s">
        <v>10</v>
      </c>
    </row>
    <row r="1268" spans="1:8" x14ac:dyDescent="0.25">
      <c r="A1268" s="73">
        <v>44786</v>
      </c>
      <c r="B1268" s="74" t="s">
        <v>25970</v>
      </c>
      <c r="C1268" s="75" t="s">
        <v>555</v>
      </c>
      <c r="D1268" s="176">
        <v>4000</v>
      </c>
      <c r="E1268" s="151">
        <v>44786</v>
      </c>
      <c r="F1268" s="176">
        <v>4000</v>
      </c>
      <c r="G1268" s="177">
        <f>Tabla19[[#This Row],[Importe]]-Tabla19[[#This Row],[Pagado]]</f>
        <v>0</v>
      </c>
      <c r="H1268" s="75" t="s">
        <v>10</v>
      </c>
    </row>
    <row r="1269" spans="1:8" x14ac:dyDescent="0.25">
      <c r="A1269" s="148">
        <v>44786</v>
      </c>
      <c r="B1269" s="149" t="s">
        <v>25971</v>
      </c>
      <c r="C1269" s="153" t="s">
        <v>1239</v>
      </c>
      <c r="D1269" s="178">
        <v>10987.2</v>
      </c>
      <c r="E1269" s="155">
        <v>44786</v>
      </c>
      <c r="F1269" s="178">
        <v>10987.2</v>
      </c>
      <c r="G1269" s="179">
        <f>Tabla19[[#This Row],[Importe]]-Tabla19[[#This Row],[Pagado]]</f>
        <v>0</v>
      </c>
      <c r="H1269" s="153" t="s">
        <v>10</v>
      </c>
    </row>
    <row r="1270" spans="1:8" x14ac:dyDescent="0.25">
      <c r="A1270" s="73">
        <v>44786</v>
      </c>
      <c r="B1270" s="74" t="s">
        <v>25972</v>
      </c>
      <c r="C1270" s="75" t="s">
        <v>31</v>
      </c>
      <c r="D1270" s="176">
        <v>747.6</v>
      </c>
      <c r="E1270" s="151">
        <v>44786</v>
      </c>
      <c r="F1270" s="176">
        <v>747.6</v>
      </c>
      <c r="G1270" s="177">
        <f>Tabla19[[#This Row],[Importe]]-Tabla19[[#This Row],[Pagado]]</f>
        <v>0</v>
      </c>
      <c r="H1270" s="75" t="s">
        <v>10</v>
      </c>
    </row>
    <row r="1271" spans="1:8" x14ac:dyDescent="0.25">
      <c r="A1271" s="148">
        <v>44786</v>
      </c>
      <c r="B1271" s="149" t="s">
        <v>25973</v>
      </c>
      <c r="C1271" s="153" t="s">
        <v>142</v>
      </c>
      <c r="D1271" s="178">
        <v>104138.62</v>
      </c>
      <c r="E1271" s="155">
        <v>44837</v>
      </c>
      <c r="F1271" s="178">
        <v>104138.62</v>
      </c>
      <c r="G1271" s="179">
        <f>Tabla19[[#This Row],[Importe]]-Tabla19[[#This Row],[Pagado]]</f>
        <v>0</v>
      </c>
      <c r="H1271" s="153" t="s">
        <v>10</v>
      </c>
    </row>
    <row r="1272" spans="1:8" x14ac:dyDescent="0.25">
      <c r="A1272" s="73">
        <v>44786</v>
      </c>
      <c r="B1272" s="74" t="s">
        <v>25974</v>
      </c>
      <c r="C1272" s="75" t="s">
        <v>31</v>
      </c>
      <c r="D1272" s="176">
        <v>480</v>
      </c>
      <c r="E1272" s="151">
        <v>44786</v>
      </c>
      <c r="F1272" s="176">
        <v>480</v>
      </c>
      <c r="G1272" s="177">
        <f>Tabla19[[#This Row],[Importe]]-Tabla19[[#This Row],[Pagado]]</f>
        <v>0</v>
      </c>
      <c r="H1272" s="75" t="s">
        <v>10</v>
      </c>
    </row>
    <row r="1273" spans="1:8" x14ac:dyDescent="0.25">
      <c r="A1273" s="148">
        <v>44786</v>
      </c>
      <c r="B1273" s="149" t="s">
        <v>25975</v>
      </c>
      <c r="C1273" s="153" t="s">
        <v>11383</v>
      </c>
      <c r="D1273" s="178">
        <v>24412.5</v>
      </c>
      <c r="E1273" s="155">
        <v>44786</v>
      </c>
      <c r="F1273" s="178">
        <v>24412.5</v>
      </c>
      <c r="G1273" s="179">
        <f>Tabla19[[#This Row],[Importe]]-Tabla19[[#This Row],[Pagado]]</f>
        <v>0</v>
      </c>
      <c r="H1273" s="153" t="s">
        <v>10</v>
      </c>
    </row>
    <row r="1274" spans="1:8" x14ac:dyDescent="0.25">
      <c r="A1274" s="73">
        <v>44786</v>
      </c>
      <c r="B1274" s="74" t="s">
        <v>25976</v>
      </c>
      <c r="C1274" s="75" t="s">
        <v>45</v>
      </c>
      <c r="D1274" s="176">
        <v>13952.4</v>
      </c>
      <c r="E1274" s="151">
        <v>44786</v>
      </c>
      <c r="F1274" s="176">
        <v>13952.4</v>
      </c>
      <c r="G1274" s="177">
        <f>Tabla19[[#This Row],[Importe]]-Tabla19[[#This Row],[Pagado]]</f>
        <v>0</v>
      </c>
      <c r="H1274" s="75" t="s">
        <v>10</v>
      </c>
    </row>
    <row r="1275" spans="1:8" x14ac:dyDescent="0.25">
      <c r="A1275" s="148">
        <v>44786</v>
      </c>
      <c r="B1275" s="149" t="s">
        <v>25977</v>
      </c>
      <c r="C1275" s="153" t="s">
        <v>273</v>
      </c>
      <c r="D1275" s="178">
        <v>1900</v>
      </c>
      <c r="E1275" s="155">
        <v>44786</v>
      </c>
      <c r="F1275" s="178">
        <v>1900</v>
      </c>
      <c r="G1275" s="179">
        <f>Tabla19[[#This Row],[Importe]]-Tabla19[[#This Row],[Pagado]]</f>
        <v>0</v>
      </c>
      <c r="H1275" s="153" t="s">
        <v>10</v>
      </c>
    </row>
    <row r="1276" spans="1:8" x14ac:dyDescent="0.25">
      <c r="A1276" s="73">
        <v>44786</v>
      </c>
      <c r="B1276" s="74" t="s">
        <v>25978</v>
      </c>
      <c r="C1276" s="75" t="s">
        <v>146</v>
      </c>
      <c r="D1276" s="176">
        <v>10965</v>
      </c>
      <c r="E1276" s="151">
        <v>44786</v>
      </c>
      <c r="F1276" s="176">
        <v>10965</v>
      </c>
      <c r="G1276" s="177">
        <f>Tabla19[[#This Row],[Importe]]-Tabla19[[#This Row],[Pagado]]</f>
        <v>0</v>
      </c>
      <c r="H1276" s="75" t="s">
        <v>10</v>
      </c>
    </row>
    <row r="1277" spans="1:8" x14ac:dyDescent="0.25">
      <c r="A1277" s="148">
        <v>44786</v>
      </c>
      <c r="B1277" s="149" t="s">
        <v>25979</v>
      </c>
      <c r="C1277" s="153" t="s">
        <v>167</v>
      </c>
      <c r="D1277" s="178">
        <v>116454.8</v>
      </c>
      <c r="E1277" s="155">
        <v>44786</v>
      </c>
      <c r="F1277" s="178">
        <v>116454.8</v>
      </c>
      <c r="G1277" s="179">
        <f>Tabla19[[#This Row],[Importe]]-Tabla19[[#This Row],[Pagado]]</f>
        <v>0</v>
      </c>
      <c r="H1277" s="153" t="s">
        <v>10</v>
      </c>
    </row>
    <row r="1278" spans="1:8" x14ac:dyDescent="0.25">
      <c r="A1278" s="73">
        <v>44786</v>
      </c>
      <c r="B1278" s="74" t="s">
        <v>25980</v>
      </c>
      <c r="C1278" s="75" t="s">
        <v>25981</v>
      </c>
      <c r="D1278" s="176">
        <v>0</v>
      </c>
      <c r="E1278" s="157" t="s">
        <v>189</v>
      </c>
      <c r="F1278" s="176">
        <v>0</v>
      </c>
      <c r="G1278" s="177">
        <f>Tabla19[[#This Row],[Importe]]-Tabla19[[#This Row],[Pagado]]</f>
        <v>0</v>
      </c>
      <c r="H1278" s="161" t="s">
        <v>25982</v>
      </c>
    </row>
    <row r="1279" spans="1:8" x14ac:dyDescent="0.25">
      <c r="A1279" s="148">
        <v>44786</v>
      </c>
      <c r="B1279" s="149" t="s">
        <v>25983</v>
      </c>
      <c r="C1279" s="153" t="s">
        <v>181</v>
      </c>
      <c r="D1279" s="178">
        <v>17550.599999999999</v>
      </c>
      <c r="E1279" s="155">
        <v>44786</v>
      </c>
      <c r="F1279" s="178">
        <v>17550.599999999999</v>
      </c>
      <c r="G1279" s="179">
        <f>Tabla19[[#This Row],[Importe]]-Tabla19[[#This Row],[Pagado]]</f>
        <v>0</v>
      </c>
      <c r="H1279" s="153" t="s">
        <v>10</v>
      </c>
    </row>
    <row r="1280" spans="1:8" x14ac:dyDescent="0.25">
      <c r="A1280" s="73">
        <v>44786</v>
      </c>
      <c r="B1280" s="74" t="s">
        <v>25984</v>
      </c>
      <c r="C1280" s="75" t="s">
        <v>1362</v>
      </c>
      <c r="D1280" s="176">
        <v>8202.5</v>
      </c>
      <c r="E1280" s="151">
        <v>44786</v>
      </c>
      <c r="F1280" s="176">
        <v>8202.5</v>
      </c>
      <c r="G1280" s="177">
        <f>Tabla19[[#This Row],[Importe]]-Tabla19[[#This Row],[Pagado]]</f>
        <v>0</v>
      </c>
      <c r="H1280" s="75" t="s">
        <v>10</v>
      </c>
    </row>
    <row r="1281" spans="1:8" x14ac:dyDescent="0.25">
      <c r="A1281" s="148">
        <v>44786</v>
      </c>
      <c r="B1281" s="149" t="s">
        <v>25985</v>
      </c>
      <c r="C1281" s="153" t="s">
        <v>426</v>
      </c>
      <c r="D1281" s="178">
        <v>4777.5</v>
      </c>
      <c r="E1281" s="155">
        <v>44786</v>
      </c>
      <c r="F1281" s="178">
        <v>4777.5</v>
      </c>
      <c r="G1281" s="179">
        <f>Tabla19[[#This Row],[Importe]]-Tabla19[[#This Row],[Pagado]]</f>
        <v>0</v>
      </c>
      <c r="H1281" s="153" t="s">
        <v>10</v>
      </c>
    </row>
    <row r="1282" spans="1:8" x14ac:dyDescent="0.25">
      <c r="A1282" s="73">
        <v>44786</v>
      </c>
      <c r="B1282" s="74" t="s">
        <v>25986</v>
      </c>
      <c r="C1282" s="75" t="s">
        <v>79</v>
      </c>
      <c r="D1282" s="176">
        <v>45393.599999999999</v>
      </c>
      <c r="E1282" s="151">
        <v>44786</v>
      </c>
      <c r="F1282" s="176">
        <v>45393.599999999999</v>
      </c>
      <c r="G1282" s="177">
        <f>Tabla19[[#This Row],[Importe]]-Tabla19[[#This Row],[Pagado]]</f>
        <v>0</v>
      </c>
      <c r="H1282" s="75" t="s">
        <v>10</v>
      </c>
    </row>
    <row r="1283" spans="1:8" x14ac:dyDescent="0.25">
      <c r="A1283" s="148">
        <v>44786</v>
      </c>
      <c r="B1283" s="149" t="s">
        <v>25987</v>
      </c>
      <c r="C1283" s="153" t="s">
        <v>1350</v>
      </c>
      <c r="D1283" s="178">
        <v>1204.2</v>
      </c>
      <c r="E1283" s="155">
        <v>44786</v>
      </c>
      <c r="F1283" s="178">
        <v>1204.2</v>
      </c>
      <c r="G1283" s="179">
        <f>Tabla19[[#This Row],[Importe]]-Tabla19[[#This Row],[Pagado]]</f>
        <v>0</v>
      </c>
      <c r="H1283" s="153" t="s">
        <v>10</v>
      </c>
    </row>
    <row r="1284" spans="1:8" x14ac:dyDescent="0.25">
      <c r="A1284" s="73">
        <v>44786</v>
      </c>
      <c r="B1284" s="74" t="s">
        <v>25988</v>
      </c>
      <c r="C1284" s="75" t="s">
        <v>87</v>
      </c>
      <c r="D1284" s="176">
        <v>6185.2</v>
      </c>
      <c r="E1284" s="151">
        <v>44786</v>
      </c>
      <c r="F1284" s="176">
        <v>6185.2</v>
      </c>
      <c r="G1284" s="177">
        <f>Tabla19[[#This Row],[Importe]]-Tabla19[[#This Row],[Pagado]]</f>
        <v>0</v>
      </c>
      <c r="H1284" s="75" t="s">
        <v>10</v>
      </c>
    </row>
    <row r="1285" spans="1:8" x14ac:dyDescent="0.25">
      <c r="A1285" s="148">
        <v>44786</v>
      </c>
      <c r="B1285" s="149" t="s">
        <v>25989</v>
      </c>
      <c r="C1285" s="153" t="s">
        <v>25990</v>
      </c>
      <c r="D1285" s="178">
        <v>0</v>
      </c>
      <c r="E1285" s="158" t="s">
        <v>189</v>
      </c>
      <c r="F1285" s="178">
        <v>0</v>
      </c>
      <c r="G1285" s="179">
        <f>Tabla19[[#This Row],[Importe]]-Tabla19[[#This Row],[Pagado]]</f>
        <v>0</v>
      </c>
      <c r="H1285" s="153" t="s">
        <v>189</v>
      </c>
    </row>
    <row r="1286" spans="1:8" x14ac:dyDescent="0.25">
      <c r="A1286" s="73">
        <v>44786</v>
      </c>
      <c r="B1286" s="74" t="s">
        <v>25991</v>
      </c>
      <c r="C1286" s="75" t="s">
        <v>314</v>
      </c>
      <c r="D1286" s="176">
        <v>4855.2</v>
      </c>
      <c r="E1286" s="151">
        <v>44786</v>
      </c>
      <c r="F1286" s="176">
        <v>4855.2</v>
      </c>
      <c r="G1286" s="177">
        <f>Tabla19[[#This Row],[Importe]]-Tabla19[[#This Row],[Pagado]]</f>
        <v>0</v>
      </c>
      <c r="H1286" s="75" t="s">
        <v>10</v>
      </c>
    </row>
    <row r="1287" spans="1:8" x14ac:dyDescent="0.25">
      <c r="A1287" s="148">
        <v>44786</v>
      </c>
      <c r="B1287" s="149" t="s">
        <v>25992</v>
      </c>
      <c r="C1287" s="153" t="s">
        <v>69</v>
      </c>
      <c r="D1287" s="178">
        <v>3080</v>
      </c>
      <c r="E1287" s="155">
        <v>44786</v>
      </c>
      <c r="F1287" s="178">
        <v>3080</v>
      </c>
      <c r="G1287" s="179">
        <f>Tabla19[[#This Row],[Importe]]-Tabla19[[#This Row],[Pagado]]</f>
        <v>0</v>
      </c>
      <c r="H1287" s="153" t="s">
        <v>10</v>
      </c>
    </row>
    <row r="1288" spans="1:8" x14ac:dyDescent="0.25">
      <c r="A1288" s="73">
        <v>44786</v>
      </c>
      <c r="B1288" s="74" t="s">
        <v>25993</v>
      </c>
      <c r="C1288" s="75" t="s">
        <v>107</v>
      </c>
      <c r="D1288" s="176">
        <v>27457.4</v>
      </c>
      <c r="E1288" s="151">
        <v>44786</v>
      </c>
      <c r="F1288" s="176">
        <v>27457.4</v>
      </c>
      <c r="G1288" s="177">
        <f>Tabla19[[#This Row],[Importe]]-Tabla19[[#This Row],[Pagado]]</f>
        <v>0</v>
      </c>
      <c r="H1288" s="75" t="s">
        <v>10</v>
      </c>
    </row>
    <row r="1289" spans="1:8" x14ac:dyDescent="0.25">
      <c r="A1289" s="148">
        <v>44786</v>
      </c>
      <c r="B1289" s="149" t="s">
        <v>25994</v>
      </c>
      <c r="C1289" s="153" t="s">
        <v>140</v>
      </c>
      <c r="D1289" s="178">
        <v>1997.5</v>
      </c>
      <c r="E1289" s="155">
        <v>44786</v>
      </c>
      <c r="F1289" s="178">
        <v>1997.5</v>
      </c>
      <c r="G1289" s="179">
        <f>Tabla19[[#This Row],[Importe]]-Tabla19[[#This Row],[Pagado]]</f>
        <v>0</v>
      </c>
      <c r="H1289" s="153" t="s">
        <v>10</v>
      </c>
    </row>
    <row r="1290" spans="1:8" x14ac:dyDescent="0.25">
      <c r="A1290" s="73">
        <v>44786</v>
      </c>
      <c r="B1290" s="74" t="s">
        <v>25995</v>
      </c>
      <c r="C1290" s="75" t="s">
        <v>339</v>
      </c>
      <c r="D1290" s="176">
        <v>612</v>
      </c>
      <c r="E1290" s="151">
        <v>44786</v>
      </c>
      <c r="F1290" s="176">
        <v>612</v>
      </c>
      <c r="G1290" s="177">
        <f>Tabla19[[#This Row],[Importe]]-Tabla19[[#This Row],[Pagado]]</f>
        <v>0</v>
      </c>
      <c r="H1290" s="75" t="s">
        <v>10</v>
      </c>
    </row>
    <row r="1291" spans="1:8" x14ac:dyDescent="0.25">
      <c r="A1291" s="148">
        <v>44786</v>
      </c>
      <c r="B1291" s="149" t="s">
        <v>25996</v>
      </c>
      <c r="C1291" s="153" t="s">
        <v>24</v>
      </c>
      <c r="D1291" s="178">
        <v>668</v>
      </c>
      <c r="E1291" s="155">
        <v>44786</v>
      </c>
      <c r="F1291" s="178">
        <v>668</v>
      </c>
      <c r="G1291" s="179">
        <f>Tabla19[[#This Row],[Importe]]-Tabla19[[#This Row],[Pagado]]</f>
        <v>0</v>
      </c>
      <c r="H1291" s="153" t="s">
        <v>10</v>
      </c>
    </row>
    <row r="1292" spans="1:8" x14ac:dyDescent="0.25">
      <c r="A1292" s="73">
        <v>44786</v>
      </c>
      <c r="B1292" s="74" t="s">
        <v>25997</v>
      </c>
      <c r="C1292" s="75" t="s">
        <v>226</v>
      </c>
      <c r="D1292" s="176">
        <v>10397</v>
      </c>
      <c r="E1292" s="151">
        <v>44786</v>
      </c>
      <c r="F1292" s="176">
        <v>10397</v>
      </c>
      <c r="G1292" s="177">
        <f>Tabla19[[#This Row],[Importe]]-Tabla19[[#This Row],[Pagado]]</f>
        <v>0</v>
      </c>
      <c r="H1292" s="75" t="s">
        <v>10</v>
      </c>
    </row>
    <row r="1293" spans="1:8" x14ac:dyDescent="0.25">
      <c r="A1293" s="148">
        <v>44786</v>
      </c>
      <c r="B1293" s="149" t="s">
        <v>25998</v>
      </c>
      <c r="C1293" s="153" t="s">
        <v>698</v>
      </c>
      <c r="D1293" s="178">
        <v>5509</v>
      </c>
      <c r="E1293" s="155">
        <v>44786</v>
      </c>
      <c r="F1293" s="178">
        <v>5509</v>
      </c>
      <c r="G1293" s="179">
        <f>Tabla19[[#This Row],[Importe]]-Tabla19[[#This Row],[Pagado]]</f>
        <v>0</v>
      </c>
      <c r="H1293" s="153" t="s">
        <v>10</v>
      </c>
    </row>
    <row r="1294" spans="1:8" x14ac:dyDescent="0.25">
      <c r="A1294" s="73">
        <v>44786</v>
      </c>
      <c r="B1294" s="74" t="s">
        <v>25999</v>
      </c>
      <c r="C1294" s="75" t="s">
        <v>131</v>
      </c>
      <c r="D1294" s="176">
        <v>1962.5</v>
      </c>
      <c r="E1294" s="151">
        <v>44786</v>
      </c>
      <c r="F1294" s="176">
        <v>1962.5</v>
      </c>
      <c r="G1294" s="177">
        <f>Tabla19[[#This Row],[Importe]]-Tabla19[[#This Row],[Pagado]]</f>
        <v>0</v>
      </c>
      <c r="H1294" s="75" t="s">
        <v>10</v>
      </c>
    </row>
    <row r="1295" spans="1:8" x14ac:dyDescent="0.25">
      <c r="A1295" s="148">
        <v>44786</v>
      </c>
      <c r="B1295" s="149" t="s">
        <v>26000</v>
      </c>
      <c r="C1295" s="153" t="s">
        <v>127</v>
      </c>
      <c r="D1295" s="178">
        <v>5847.5</v>
      </c>
      <c r="E1295" s="155">
        <v>44786</v>
      </c>
      <c r="F1295" s="178">
        <v>5847.5</v>
      </c>
      <c r="G1295" s="179">
        <f>Tabla19[[#This Row],[Importe]]-Tabla19[[#This Row],[Pagado]]</f>
        <v>0</v>
      </c>
      <c r="H1295" s="153" t="s">
        <v>10</v>
      </c>
    </row>
    <row r="1296" spans="1:8" x14ac:dyDescent="0.25">
      <c r="A1296" s="73">
        <v>44786</v>
      </c>
      <c r="B1296" s="74" t="s">
        <v>26001</v>
      </c>
      <c r="C1296" s="75" t="s">
        <v>129</v>
      </c>
      <c r="D1296" s="176">
        <v>4983</v>
      </c>
      <c r="E1296" s="151">
        <v>44786</v>
      </c>
      <c r="F1296" s="176">
        <v>4983</v>
      </c>
      <c r="G1296" s="177">
        <f>Tabla19[[#This Row],[Importe]]-Tabla19[[#This Row],[Pagado]]</f>
        <v>0</v>
      </c>
      <c r="H1296" s="75" t="s">
        <v>10</v>
      </c>
    </row>
    <row r="1297" spans="1:8" x14ac:dyDescent="0.25">
      <c r="A1297" s="148">
        <v>44786</v>
      </c>
      <c r="B1297" s="149" t="s">
        <v>26002</v>
      </c>
      <c r="C1297" s="153" t="s">
        <v>191</v>
      </c>
      <c r="D1297" s="178">
        <v>2119.6999999999998</v>
      </c>
      <c r="E1297" s="155">
        <v>44786</v>
      </c>
      <c r="F1297" s="178">
        <v>2119.6999999999998</v>
      </c>
      <c r="G1297" s="179">
        <f>Tabla19[[#This Row],[Importe]]-Tabla19[[#This Row],[Pagado]]</f>
        <v>0</v>
      </c>
      <c r="H1297" s="153" t="s">
        <v>10</v>
      </c>
    </row>
    <row r="1298" spans="1:8" x14ac:dyDescent="0.25">
      <c r="A1298" s="73">
        <v>44786</v>
      </c>
      <c r="B1298" s="74" t="s">
        <v>26003</v>
      </c>
      <c r="C1298" s="75" t="s">
        <v>4273</v>
      </c>
      <c r="D1298" s="176">
        <v>16800</v>
      </c>
      <c r="E1298" s="151">
        <v>44786</v>
      </c>
      <c r="F1298" s="176">
        <v>16800</v>
      </c>
      <c r="G1298" s="177">
        <f>Tabla19[[#This Row],[Importe]]-Tabla19[[#This Row],[Pagado]]</f>
        <v>0</v>
      </c>
      <c r="H1298" s="75" t="s">
        <v>10</v>
      </c>
    </row>
    <row r="1299" spans="1:8" x14ac:dyDescent="0.25">
      <c r="A1299" s="148">
        <v>44786</v>
      </c>
      <c r="B1299" s="149" t="s">
        <v>26004</v>
      </c>
      <c r="C1299" s="153" t="s">
        <v>191</v>
      </c>
      <c r="D1299" s="178">
        <v>260.39999999999998</v>
      </c>
      <c r="E1299" s="155">
        <v>44786</v>
      </c>
      <c r="F1299" s="178">
        <v>260.39999999999998</v>
      </c>
      <c r="G1299" s="179">
        <f>Tabla19[[#This Row],[Importe]]-Tabla19[[#This Row],[Pagado]]</f>
        <v>0</v>
      </c>
      <c r="H1299" s="153" t="s">
        <v>10</v>
      </c>
    </row>
    <row r="1300" spans="1:8" x14ac:dyDescent="0.25">
      <c r="A1300" s="73">
        <v>44786</v>
      </c>
      <c r="B1300" s="74" t="s">
        <v>26005</v>
      </c>
      <c r="C1300" s="75" t="s">
        <v>9827</v>
      </c>
      <c r="D1300" s="176">
        <v>6022.8</v>
      </c>
      <c r="E1300" s="151">
        <v>44786</v>
      </c>
      <c r="F1300" s="176">
        <v>6022.8</v>
      </c>
      <c r="G1300" s="177">
        <f>Tabla19[[#This Row],[Importe]]-Tabla19[[#This Row],[Pagado]]</f>
        <v>0</v>
      </c>
      <c r="H1300" s="75" t="s">
        <v>10</v>
      </c>
    </row>
    <row r="1301" spans="1:8" x14ac:dyDescent="0.25">
      <c r="A1301" s="148">
        <v>44786</v>
      </c>
      <c r="B1301" s="149" t="s">
        <v>26006</v>
      </c>
      <c r="C1301" s="153" t="s">
        <v>31</v>
      </c>
      <c r="D1301" s="178">
        <v>1432</v>
      </c>
      <c r="E1301" s="155">
        <v>44786</v>
      </c>
      <c r="F1301" s="178">
        <v>1432</v>
      </c>
      <c r="G1301" s="179">
        <f>Tabla19[[#This Row],[Importe]]-Tabla19[[#This Row],[Pagado]]</f>
        <v>0</v>
      </c>
      <c r="H1301" s="153" t="s">
        <v>10</v>
      </c>
    </row>
    <row r="1302" spans="1:8" x14ac:dyDescent="0.25">
      <c r="A1302" s="73">
        <v>44786</v>
      </c>
      <c r="B1302" s="74" t="s">
        <v>26007</v>
      </c>
      <c r="C1302" s="75" t="s">
        <v>62</v>
      </c>
      <c r="D1302" s="176">
        <v>3232.5</v>
      </c>
      <c r="E1302" s="151">
        <v>44786</v>
      </c>
      <c r="F1302" s="176">
        <v>3232.5</v>
      </c>
      <c r="G1302" s="177">
        <f>Tabla19[[#This Row],[Importe]]-Tabla19[[#This Row],[Pagado]]</f>
        <v>0</v>
      </c>
      <c r="H1302" s="75" t="s">
        <v>10</v>
      </c>
    </row>
    <row r="1303" spans="1:8" x14ac:dyDescent="0.25">
      <c r="A1303" s="148">
        <v>44786</v>
      </c>
      <c r="B1303" s="149" t="s">
        <v>26008</v>
      </c>
      <c r="C1303" s="153" t="s">
        <v>12</v>
      </c>
      <c r="D1303" s="178">
        <v>5717.5</v>
      </c>
      <c r="E1303" s="155">
        <v>44786</v>
      </c>
      <c r="F1303" s="178">
        <v>5717.5</v>
      </c>
      <c r="G1303" s="179">
        <f>Tabla19[[#This Row],[Importe]]-Tabla19[[#This Row],[Pagado]]</f>
        <v>0</v>
      </c>
      <c r="H1303" s="153" t="s">
        <v>10</v>
      </c>
    </row>
    <row r="1304" spans="1:8" x14ac:dyDescent="0.25">
      <c r="A1304" s="73">
        <v>44786</v>
      </c>
      <c r="B1304" s="74" t="s">
        <v>26009</v>
      </c>
      <c r="C1304" s="75" t="s">
        <v>647</v>
      </c>
      <c r="D1304" s="176">
        <v>603.9</v>
      </c>
      <c r="E1304" s="151">
        <v>44786</v>
      </c>
      <c r="F1304" s="176">
        <v>603.9</v>
      </c>
      <c r="G1304" s="177">
        <f>Tabla19[[#This Row],[Importe]]-Tabla19[[#This Row],[Pagado]]</f>
        <v>0</v>
      </c>
      <c r="H1304" s="75" t="s">
        <v>10</v>
      </c>
    </row>
    <row r="1305" spans="1:8" x14ac:dyDescent="0.25">
      <c r="A1305" s="148">
        <v>44786</v>
      </c>
      <c r="B1305" s="149" t="s">
        <v>26010</v>
      </c>
      <c r="C1305" s="153" t="s">
        <v>12</v>
      </c>
      <c r="D1305" s="178">
        <v>1016</v>
      </c>
      <c r="E1305" s="155">
        <v>44786</v>
      </c>
      <c r="F1305" s="178">
        <v>1016</v>
      </c>
      <c r="G1305" s="179">
        <f>Tabla19[[#This Row],[Importe]]-Tabla19[[#This Row],[Pagado]]</f>
        <v>0</v>
      </c>
      <c r="H1305" s="153" t="s">
        <v>10</v>
      </c>
    </row>
    <row r="1306" spans="1:8" x14ac:dyDescent="0.25">
      <c r="A1306" s="73">
        <v>44786</v>
      </c>
      <c r="B1306" s="74" t="s">
        <v>26011</v>
      </c>
      <c r="C1306" s="75" t="s">
        <v>4136</v>
      </c>
      <c r="D1306" s="176">
        <v>1505.7</v>
      </c>
      <c r="E1306" s="151">
        <v>44786</v>
      </c>
      <c r="F1306" s="176">
        <v>1505.7</v>
      </c>
      <c r="G1306" s="177">
        <f>Tabla19[[#This Row],[Importe]]-Tabla19[[#This Row],[Pagado]]</f>
        <v>0</v>
      </c>
      <c r="H1306" s="75" t="s">
        <v>10</v>
      </c>
    </row>
    <row r="1307" spans="1:8" x14ac:dyDescent="0.25">
      <c r="A1307" s="148">
        <v>44786</v>
      </c>
      <c r="B1307" s="149" t="s">
        <v>26012</v>
      </c>
      <c r="C1307" s="153" t="s">
        <v>24284</v>
      </c>
      <c r="D1307" s="178">
        <v>1495.2</v>
      </c>
      <c r="E1307" s="155">
        <v>44786</v>
      </c>
      <c r="F1307" s="178">
        <v>1495.2</v>
      </c>
      <c r="G1307" s="179">
        <f>Tabla19[[#This Row],[Importe]]-Tabla19[[#This Row],[Pagado]]</f>
        <v>0</v>
      </c>
      <c r="H1307" s="153" t="s">
        <v>10</v>
      </c>
    </row>
    <row r="1308" spans="1:8" x14ac:dyDescent="0.25">
      <c r="A1308" s="73">
        <v>44786</v>
      </c>
      <c r="B1308" s="74" t="s">
        <v>26013</v>
      </c>
      <c r="C1308" s="75" t="s">
        <v>53</v>
      </c>
      <c r="D1308" s="176">
        <v>705.5</v>
      </c>
      <c r="E1308" s="151">
        <v>44786</v>
      </c>
      <c r="F1308" s="176">
        <v>705.5</v>
      </c>
      <c r="G1308" s="177">
        <f>Tabla19[[#This Row],[Importe]]-Tabla19[[#This Row],[Pagado]]</f>
        <v>0</v>
      </c>
      <c r="H1308" s="75" t="s">
        <v>10</v>
      </c>
    </row>
    <row r="1309" spans="1:8" x14ac:dyDescent="0.25">
      <c r="A1309" s="148">
        <v>44786</v>
      </c>
      <c r="B1309" s="149" t="s">
        <v>26014</v>
      </c>
      <c r="C1309" s="153" t="s">
        <v>16</v>
      </c>
      <c r="D1309" s="178">
        <v>147.19999999999999</v>
      </c>
      <c r="E1309" s="155">
        <v>44786</v>
      </c>
      <c r="F1309" s="178">
        <v>147.19999999999999</v>
      </c>
      <c r="G1309" s="179">
        <f>Tabla19[[#This Row],[Importe]]-Tabla19[[#This Row],[Pagado]]</f>
        <v>0</v>
      </c>
      <c r="H1309" s="153" t="s">
        <v>10</v>
      </c>
    </row>
    <row r="1310" spans="1:8" x14ac:dyDescent="0.25">
      <c r="A1310" s="73">
        <v>44786</v>
      </c>
      <c r="B1310" s="74" t="s">
        <v>26015</v>
      </c>
      <c r="C1310" s="75" t="s">
        <v>484</v>
      </c>
      <c r="D1310" s="176">
        <v>6384.3</v>
      </c>
      <c r="E1310" s="151">
        <v>44786</v>
      </c>
      <c r="F1310" s="176">
        <v>6384.3</v>
      </c>
      <c r="G1310" s="177">
        <f>Tabla19[[#This Row],[Importe]]-Tabla19[[#This Row],[Pagado]]</f>
        <v>0</v>
      </c>
      <c r="H1310" s="75" t="s">
        <v>10</v>
      </c>
    </row>
    <row r="1311" spans="1:8" x14ac:dyDescent="0.25">
      <c r="A1311" s="148">
        <v>44786</v>
      </c>
      <c r="B1311" s="149" t="s">
        <v>26016</v>
      </c>
      <c r="C1311" s="153" t="s">
        <v>419</v>
      </c>
      <c r="D1311" s="178">
        <v>5238.6000000000004</v>
      </c>
      <c r="E1311" s="155">
        <v>44786</v>
      </c>
      <c r="F1311" s="178">
        <v>5238.6000000000004</v>
      </c>
      <c r="G1311" s="179">
        <f>Tabla19[[#This Row],[Importe]]-Tabla19[[#This Row],[Pagado]]</f>
        <v>0</v>
      </c>
      <c r="H1311" s="153" t="s">
        <v>10</v>
      </c>
    </row>
    <row r="1312" spans="1:8" x14ac:dyDescent="0.25">
      <c r="A1312" s="73">
        <v>44786</v>
      </c>
      <c r="B1312" s="74" t="s">
        <v>26017</v>
      </c>
      <c r="C1312" s="75" t="s">
        <v>994</v>
      </c>
      <c r="D1312" s="176">
        <v>2397.8000000000002</v>
      </c>
      <c r="E1312" s="151">
        <v>44786</v>
      </c>
      <c r="F1312" s="176">
        <v>2397.8000000000002</v>
      </c>
      <c r="G1312" s="177">
        <f>Tabla19[[#This Row],[Importe]]-Tabla19[[#This Row],[Pagado]]</f>
        <v>0</v>
      </c>
      <c r="H1312" s="75" t="s">
        <v>10</v>
      </c>
    </row>
    <row r="1313" spans="1:8" x14ac:dyDescent="0.25">
      <c r="A1313" s="148">
        <v>44786</v>
      </c>
      <c r="B1313" s="149" t="s">
        <v>26018</v>
      </c>
      <c r="C1313" s="153" t="s">
        <v>67</v>
      </c>
      <c r="D1313" s="178">
        <v>3012.8</v>
      </c>
      <c r="E1313" s="155">
        <v>44786</v>
      </c>
      <c r="F1313" s="178">
        <v>3012.8</v>
      </c>
      <c r="G1313" s="179">
        <f>Tabla19[[#This Row],[Importe]]-Tabla19[[#This Row],[Pagado]]</f>
        <v>0</v>
      </c>
      <c r="H1313" s="153" t="s">
        <v>10</v>
      </c>
    </row>
    <row r="1314" spans="1:8" x14ac:dyDescent="0.25">
      <c r="A1314" s="73">
        <v>44786</v>
      </c>
      <c r="B1314" s="74" t="s">
        <v>26019</v>
      </c>
      <c r="C1314" s="75" t="s">
        <v>414</v>
      </c>
      <c r="D1314" s="176">
        <v>25183.200000000001</v>
      </c>
      <c r="E1314" s="151">
        <v>44791</v>
      </c>
      <c r="F1314" s="176">
        <v>25183.200000000001</v>
      </c>
      <c r="G1314" s="177">
        <f>Tabla19[[#This Row],[Importe]]-Tabla19[[#This Row],[Pagado]]</f>
        <v>0</v>
      </c>
      <c r="H1314" s="75" t="s">
        <v>10</v>
      </c>
    </row>
    <row r="1315" spans="1:8" x14ac:dyDescent="0.25">
      <c r="A1315" s="148">
        <v>44786</v>
      </c>
      <c r="B1315" s="149" t="s">
        <v>26020</v>
      </c>
      <c r="C1315" s="153" t="s">
        <v>414</v>
      </c>
      <c r="D1315" s="178">
        <v>560</v>
      </c>
      <c r="E1315" s="155">
        <v>44786</v>
      </c>
      <c r="F1315" s="178">
        <v>560</v>
      </c>
      <c r="G1315" s="179">
        <f>Tabla19[[#This Row],[Importe]]-Tabla19[[#This Row],[Pagado]]</f>
        <v>0</v>
      </c>
      <c r="H1315" s="153" t="s">
        <v>10</v>
      </c>
    </row>
    <row r="1316" spans="1:8" x14ac:dyDescent="0.25">
      <c r="A1316" s="73">
        <v>44786</v>
      </c>
      <c r="B1316" s="74" t="s">
        <v>26021</v>
      </c>
      <c r="C1316" s="75" t="s">
        <v>214</v>
      </c>
      <c r="D1316" s="176">
        <v>1747.2</v>
      </c>
      <c r="E1316" s="151" t="s">
        <v>26022</v>
      </c>
      <c r="F1316" s="176">
        <v>1747.2</v>
      </c>
      <c r="G1316" s="177">
        <f>Tabla19[[#This Row],[Importe]]-Tabla19[[#This Row],[Pagado]]</f>
        <v>0</v>
      </c>
      <c r="H1316" s="75" t="s">
        <v>10</v>
      </c>
    </row>
    <row r="1317" spans="1:8" x14ac:dyDescent="0.25">
      <c r="A1317" s="148">
        <v>44786</v>
      </c>
      <c r="B1317" s="149" t="s">
        <v>26023</v>
      </c>
      <c r="C1317" s="153" t="s">
        <v>681</v>
      </c>
      <c r="D1317" s="178">
        <v>18.8</v>
      </c>
      <c r="E1317" s="155">
        <v>44796</v>
      </c>
      <c r="F1317" s="178">
        <v>18.8</v>
      </c>
      <c r="G1317" s="179">
        <f>Tabla19[[#This Row],[Importe]]-Tabla19[[#This Row],[Pagado]]</f>
        <v>0</v>
      </c>
      <c r="H1317" s="153" t="s">
        <v>10</v>
      </c>
    </row>
    <row r="1318" spans="1:8" x14ac:dyDescent="0.25">
      <c r="A1318" s="73">
        <v>44786</v>
      </c>
      <c r="B1318" s="74" t="s">
        <v>26024</v>
      </c>
      <c r="C1318" s="75" t="s">
        <v>407</v>
      </c>
      <c r="D1318" s="176">
        <v>10800</v>
      </c>
      <c r="E1318" s="151">
        <v>44789</v>
      </c>
      <c r="F1318" s="176">
        <v>10800</v>
      </c>
      <c r="G1318" s="177">
        <f>Tabla19[[#This Row],[Importe]]-Tabla19[[#This Row],[Pagado]]</f>
        <v>0</v>
      </c>
      <c r="H1318" s="75" t="s">
        <v>10</v>
      </c>
    </row>
    <row r="1319" spans="1:8" x14ac:dyDescent="0.25">
      <c r="A1319" s="148">
        <v>44786</v>
      </c>
      <c r="B1319" s="149" t="s">
        <v>26025</v>
      </c>
      <c r="C1319" s="153" t="s">
        <v>612</v>
      </c>
      <c r="D1319" s="178">
        <v>939</v>
      </c>
      <c r="E1319" s="155">
        <v>44786</v>
      </c>
      <c r="F1319" s="178">
        <v>939</v>
      </c>
      <c r="G1319" s="179">
        <f>Tabla19[[#This Row],[Importe]]-Tabla19[[#This Row],[Pagado]]</f>
        <v>0</v>
      </c>
      <c r="H1319" s="153" t="s">
        <v>10</v>
      </c>
    </row>
    <row r="1320" spans="1:8" x14ac:dyDescent="0.25">
      <c r="A1320" s="73">
        <v>44786</v>
      </c>
      <c r="B1320" s="74" t="s">
        <v>26026</v>
      </c>
      <c r="C1320" s="75" t="s">
        <v>31</v>
      </c>
      <c r="D1320" s="176">
        <v>1659.8</v>
      </c>
      <c r="E1320" s="151">
        <v>44786</v>
      </c>
      <c r="F1320" s="176">
        <v>1659.8</v>
      </c>
      <c r="G1320" s="177">
        <f>Tabla19[[#This Row],[Importe]]-Tabla19[[#This Row],[Pagado]]</f>
        <v>0</v>
      </c>
      <c r="H1320" s="75" t="s">
        <v>10</v>
      </c>
    </row>
    <row r="1321" spans="1:8" x14ac:dyDescent="0.25">
      <c r="A1321" s="148">
        <v>44786</v>
      </c>
      <c r="B1321" s="149" t="s">
        <v>26027</v>
      </c>
      <c r="C1321" s="153" t="s">
        <v>31</v>
      </c>
      <c r="D1321" s="178">
        <v>1160</v>
      </c>
      <c r="E1321" s="155">
        <v>44786</v>
      </c>
      <c r="F1321" s="178">
        <v>1160</v>
      </c>
      <c r="G1321" s="179">
        <f>Tabla19[[#This Row],[Importe]]-Tabla19[[#This Row],[Pagado]]</f>
        <v>0</v>
      </c>
      <c r="H1321" s="153" t="s">
        <v>10</v>
      </c>
    </row>
    <row r="1322" spans="1:8" x14ac:dyDescent="0.25">
      <c r="A1322" s="73">
        <v>44786</v>
      </c>
      <c r="B1322" s="74" t="s">
        <v>26028</v>
      </c>
      <c r="C1322" s="75" t="s">
        <v>319</v>
      </c>
      <c r="D1322" s="176">
        <v>13523.6</v>
      </c>
      <c r="E1322" s="151">
        <v>44788</v>
      </c>
      <c r="F1322" s="176">
        <v>13523.6</v>
      </c>
      <c r="G1322" s="177">
        <f>Tabla19[[#This Row],[Importe]]-Tabla19[[#This Row],[Pagado]]</f>
        <v>0</v>
      </c>
      <c r="H1322" s="75" t="s">
        <v>10</v>
      </c>
    </row>
    <row r="1323" spans="1:8" x14ac:dyDescent="0.25">
      <c r="A1323" s="148">
        <v>44786</v>
      </c>
      <c r="B1323" s="149" t="s">
        <v>26029</v>
      </c>
      <c r="C1323" s="153" t="s">
        <v>159</v>
      </c>
      <c r="D1323" s="178">
        <v>2067.5</v>
      </c>
      <c r="E1323" s="155">
        <v>44788</v>
      </c>
      <c r="F1323" s="178">
        <v>2067.5</v>
      </c>
      <c r="G1323" s="179">
        <f>Tabla19[[#This Row],[Importe]]-Tabla19[[#This Row],[Pagado]]</f>
        <v>0</v>
      </c>
      <c r="H1323" s="153" t="s">
        <v>10</v>
      </c>
    </row>
    <row r="1324" spans="1:8" x14ac:dyDescent="0.25">
      <c r="A1324" s="73">
        <v>44786</v>
      </c>
      <c r="B1324" s="74" t="s">
        <v>26030</v>
      </c>
      <c r="C1324" s="75" t="s">
        <v>151</v>
      </c>
      <c r="D1324" s="176">
        <v>7624.74</v>
      </c>
      <c r="E1324" s="151">
        <v>44788</v>
      </c>
      <c r="F1324" s="176">
        <v>7624.74</v>
      </c>
      <c r="G1324" s="177">
        <f>Tabla19[[#This Row],[Importe]]-Tabla19[[#This Row],[Pagado]]</f>
        <v>0</v>
      </c>
      <c r="H1324" s="75" t="s">
        <v>10</v>
      </c>
    </row>
    <row r="1325" spans="1:8" x14ac:dyDescent="0.25">
      <c r="A1325" s="148">
        <v>44786</v>
      </c>
      <c r="B1325" s="149" t="s">
        <v>26031</v>
      </c>
      <c r="C1325" s="153" t="s">
        <v>966</v>
      </c>
      <c r="D1325" s="178">
        <v>3849.3</v>
      </c>
      <c r="E1325" s="155">
        <v>44788</v>
      </c>
      <c r="F1325" s="178">
        <v>3849.3</v>
      </c>
      <c r="G1325" s="179">
        <f>Tabla19[[#This Row],[Importe]]-Tabla19[[#This Row],[Pagado]]</f>
        <v>0</v>
      </c>
      <c r="H1325" s="153" t="s">
        <v>10</v>
      </c>
    </row>
    <row r="1326" spans="1:8" x14ac:dyDescent="0.25">
      <c r="A1326" s="73">
        <v>44786</v>
      </c>
      <c r="B1326" s="74" t="s">
        <v>26032</v>
      </c>
      <c r="C1326" s="75" t="s">
        <v>157</v>
      </c>
      <c r="D1326" s="176">
        <v>8943.4</v>
      </c>
      <c r="E1326" s="151">
        <v>44788</v>
      </c>
      <c r="F1326" s="176">
        <v>8943.4</v>
      </c>
      <c r="G1326" s="177">
        <f>Tabla19[[#This Row],[Importe]]-Tabla19[[#This Row],[Pagado]]</f>
        <v>0</v>
      </c>
      <c r="H1326" s="75" t="s">
        <v>10</v>
      </c>
    </row>
    <row r="1327" spans="1:8" x14ac:dyDescent="0.25">
      <c r="A1327" s="148">
        <v>44786</v>
      </c>
      <c r="B1327" s="149" t="s">
        <v>26033</v>
      </c>
      <c r="C1327" s="153" t="s">
        <v>31</v>
      </c>
      <c r="D1327" s="178">
        <v>261</v>
      </c>
      <c r="E1327" s="155">
        <v>44786</v>
      </c>
      <c r="F1327" s="178">
        <v>261</v>
      </c>
      <c r="G1327" s="179">
        <f>Tabla19[[#This Row],[Importe]]-Tabla19[[#This Row],[Pagado]]</f>
        <v>0</v>
      </c>
      <c r="H1327" s="153" t="s">
        <v>10</v>
      </c>
    </row>
    <row r="1328" spans="1:8" x14ac:dyDescent="0.25">
      <c r="A1328" s="73">
        <v>44786</v>
      </c>
      <c r="B1328" s="74" t="s">
        <v>26034</v>
      </c>
      <c r="C1328" s="75" t="s">
        <v>191</v>
      </c>
      <c r="D1328" s="176">
        <v>1548.4</v>
      </c>
      <c r="E1328" s="151">
        <v>44786</v>
      </c>
      <c r="F1328" s="176">
        <v>1548.4</v>
      </c>
      <c r="G1328" s="177">
        <f>Tabla19[[#This Row],[Importe]]-Tabla19[[#This Row],[Pagado]]</f>
        <v>0</v>
      </c>
      <c r="H1328" s="75" t="s">
        <v>10</v>
      </c>
    </row>
    <row r="1329" spans="1:8" x14ac:dyDescent="0.25">
      <c r="A1329" s="148">
        <v>44786</v>
      </c>
      <c r="B1329" s="149" t="s">
        <v>26035</v>
      </c>
      <c r="C1329" s="153" t="s">
        <v>9</v>
      </c>
      <c r="D1329" s="178">
        <v>1004</v>
      </c>
      <c r="E1329" s="155">
        <v>44786</v>
      </c>
      <c r="F1329" s="178">
        <v>1004</v>
      </c>
      <c r="G1329" s="179">
        <f>Tabla19[[#This Row],[Importe]]-Tabla19[[#This Row],[Pagado]]</f>
        <v>0</v>
      </c>
      <c r="H1329" s="153" t="s">
        <v>10</v>
      </c>
    </row>
    <row r="1330" spans="1:8" x14ac:dyDescent="0.25">
      <c r="A1330" s="73">
        <v>44786</v>
      </c>
      <c r="B1330" s="74" t="s">
        <v>26036</v>
      </c>
      <c r="C1330" s="75" t="s">
        <v>1421</v>
      </c>
      <c r="D1330" s="176">
        <v>56014.2</v>
      </c>
      <c r="E1330" s="151">
        <v>44786</v>
      </c>
      <c r="F1330" s="176">
        <v>56014.2</v>
      </c>
      <c r="G1330" s="177">
        <f>Tabla19[[#This Row],[Importe]]-Tabla19[[#This Row],[Pagado]]</f>
        <v>0</v>
      </c>
      <c r="H1330" s="75" t="s">
        <v>10</v>
      </c>
    </row>
    <row r="1331" spans="1:8" x14ac:dyDescent="0.25">
      <c r="A1331" s="148">
        <v>44786</v>
      </c>
      <c r="B1331" s="149" t="s">
        <v>26037</v>
      </c>
      <c r="C1331" s="153" t="s">
        <v>35</v>
      </c>
      <c r="D1331" s="178">
        <v>2739.2</v>
      </c>
      <c r="E1331" s="155">
        <v>44786</v>
      </c>
      <c r="F1331" s="178">
        <v>2739.2</v>
      </c>
      <c r="G1331" s="179">
        <f>Tabla19[[#This Row],[Importe]]-Tabla19[[#This Row],[Pagado]]</f>
        <v>0</v>
      </c>
      <c r="H1331" s="153" t="s">
        <v>10</v>
      </c>
    </row>
    <row r="1332" spans="1:8" x14ac:dyDescent="0.25">
      <c r="A1332" s="73">
        <v>44786</v>
      </c>
      <c r="B1332" s="74" t="s">
        <v>26038</v>
      </c>
      <c r="C1332" s="75" t="s">
        <v>31</v>
      </c>
      <c r="D1332" s="176">
        <v>294</v>
      </c>
      <c r="E1332" s="151">
        <v>44787</v>
      </c>
      <c r="F1332" s="176">
        <v>294</v>
      </c>
      <c r="G1332" s="177">
        <f>Tabla19[[#This Row],[Importe]]-Tabla19[[#This Row],[Pagado]]</f>
        <v>0</v>
      </c>
      <c r="H1332" s="75" t="s">
        <v>10</v>
      </c>
    </row>
    <row r="1333" spans="1:8" x14ac:dyDescent="0.25">
      <c r="A1333" s="148">
        <v>44786</v>
      </c>
      <c r="B1333" s="149" t="s">
        <v>26039</v>
      </c>
      <c r="C1333" s="153" t="s">
        <v>275</v>
      </c>
      <c r="D1333" s="178">
        <v>56575.65</v>
      </c>
      <c r="E1333" s="155">
        <v>44813</v>
      </c>
      <c r="F1333" s="178">
        <v>56575.65</v>
      </c>
      <c r="G1333" s="179">
        <f>Tabla19[[#This Row],[Importe]]-Tabla19[[#This Row],[Pagado]]</f>
        <v>0</v>
      </c>
      <c r="H1333" s="153" t="s">
        <v>10</v>
      </c>
    </row>
    <row r="1334" spans="1:8" x14ac:dyDescent="0.25">
      <c r="A1334" s="73">
        <v>44786</v>
      </c>
      <c r="B1334" s="74" t="s">
        <v>26040</v>
      </c>
      <c r="C1334" s="75" t="s">
        <v>16</v>
      </c>
      <c r="D1334" s="176">
        <v>1505.7</v>
      </c>
      <c r="E1334" s="151">
        <v>44786</v>
      </c>
      <c r="F1334" s="176">
        <v>1505.7</v>
      </c>
      <c r="G1334" s="177">
        <f>Tabla19[[#This Row],[Importe]]-Tabla19[[#This Row],[Pagado]]</f>
        <v>0</v>
      </c>
      <c r="H1334" s="75" t="s">
        <v>10</v>
      </c>
    </row>
    <row r="1335" spans="1:8" x14ac:dyDescent="0.25">
      <c r="A1335" s="148">
        <v>44786</v>
      </c>
      <c r="B1335" s="149" t="s">
        <v>26041</v>
      </c>
      <c r="C1335" s="153" t="s">
        <v>282</v>
      </c>
      <c r="D1335" s="178">
        <v>3410.4</v>
      </c>
      <c r="E1335" s="155">
        <v>44788</v>
      </c>
      <c r="F1335" s="178">
        <v>3410.4</v>
      </c>
      <c r="G1335" s="179">
        <f>Tabla19[[#This Row],[Importe]]-Tabla19[[#This Row],[Pagado]]</f>
        <v>0</v>
      </c>
      <c r="H1335" s="153" t="s">
        <v>10</v>
      </c>
    </row>
    <row r="1336" spans="1:8" x14ac:dyDescent="0.25">
      <c r="A1336" s="73">
        <v>44786</v>
      </c>
      <c r="B1336" s="74" t="s">
        <v>26042</v>
      </c>
      <c r="C1336" s="75" t="s">
        <v>280</v>
      </c>
      <c r="D1336" s="176">
        <v>4090.8</v>
      </c>
      <c r="E1336" s="151">
        <v>44788</v>
      </c>
      <c r="F1336" s="176">
        <v>4090.8</v>
      </c>
      <c r="G1336" s="177">
        <f>Tabla19[[#This Row],[Importe]]-Tabla19[[#This Row],[Pagado]]</f>
        <v>0</v>
      </c>
      <c r="H1336" s="75" t="s">
        <v>10</v>
      </c>
    </row>
    <row r="1337" spans="1:8" x14ac:dyDescent="0.25">
      <c r="A1337" s="148">
        <v>44786</v>
      </c>
      <c r="B1337" s="149" t="s">
        <v>26043</v>
      </c>
      <c r="C1337" s="153" t="s">
        <v>10819</v>
      </c>
      <c r="D1337" s="178">
        <v>1636</v>
      </c>
      <c r="E1337" s="155">
        <v>44788</v>
      </c>
      <c r="F1337" s="178">
        <v>1636</v>
      </c>
      <c r="G1337" s="179">
        <f>Tabla19[[#This Row],[Importe]]-Tabla19[[#This Row],[Pagado]]</f>
        <v>0</v>
      </c>
      <c r="H1337" s="153" t="s">
        <v>10</v>
      </c>
    </row>
    <row r="1338" spans="1:8" x14ac:dyDescent="0.25">
      <c r="A1338" s="73">
        <v>44786</v>
      </c>
      <c r="B1338" s="74" t="s">
        <v>26044</v>
      </c>
      <c r="C1338" s="75" t="s">
        <v>284</v>
      </c>
      <c r="D1338" s="176">
        <v>14700</v>
      </c>
      <c r="E1338" s="151">
        <v>44788</v>
      </c>
      <c r="F1338" s="176">
        <v>14700</v>
      </c>
      <c r="G1338" s="177">
        <f>Tabla19[[#This Row],[Importe]]-Tabla19[[#This Row],[Pagado]]</f>
        <v>0</v>
      </c>
      <c r="H1338" s="75" t="s">
        <v>10</v>
      </c>
    </row>
    <row r="1339" spans="1:8" x14ac:dyDescent="0.25">
      <c r="A1339" s="148">
        <v>44786</v>
      </c>
      <c r="B1339" s="149" t="s">
        <v>26045</v>
      </c>
      <c r="C1339" s="153" t="s">
        <v>857</v>
      </c>
      <c r="D1339" s="178">
        <v>2513.1999999999998</v>
      </c>
      <c r="E1339" s="155">
        <v>44786</v>
      </c>
      <c r="F1339" s="178">
        <v>2513.1999999999998</v>
      </c>
      <c r="G1339" s="179">
        <f>Tabla19[[#This Row],[Importe]]-Tabla19[[#This Row],[Pagado]]</f>
        <v>0</v>
      </c>
      <c r="H1339" s="153" t="s">
        <v>10</v>
      </c>
    </row>
    <row r="1340" spans="1:8" x14ac:dyDescent="0.25">
      <c r="A1340" s="73">
        <v>44786</v>
      </c>
      <c r="B1340" s="74" t="s">
        <v>26046</v>
      </c>
      <c r="C1340" s="75" t="s">
        <v>5345</v>
      </c>
      <c r="D1340" s="176">
        <v>8744.4</v>
      </c>
      <c r="E1340" s="151">
        <v>44788</v>
      </c>
      <c r="F1340" s="176">
        <v>8744.4</v>
      </c>
      <c r="G1340" s="177">
        <f>Tabla19[[#This Row],[Importe]]-Tabla19[[#This Row],[Pagado]]</f>
        <v>0</v>
      </c>
      <c r="H1340" s="75" t="s">
        <v>10</v>
      </c>
    </row>
    <row r="1341" spans="1:8" x14ac:dyDescent="0.25">
      <c r="A1341" s="148">
        <v>44786</v>
      </c>
      <c r="B1341" s="149" t="s">
        <v>26047</v>
      </c>
      <c r="C1341" s="153" t="s">
        <v>22</v>
      </c>
      <c r="D1341" s="178">
        <v>5265</v>
      </c>
      <c r="E1341" s="155">
        <v>44787</v>
      </c>
      <c r="F1341" s="178">
        <v>5265</v>
      </c>
      <c r="G1341" s="179">
        <f>Tabla19[[#This Row],[Importe]]-Tabla19[[#This Row],[Pagado]]</f>
        <v>0</v>
      </c>
      <c r="H1341" s="153" t="s">
        <v>10</v>
      </c>
    </row>
    <row r="1342" spans="1:8" x14ac:dyDescent="0.25">
      <c r="A1342" s="73">
        <v>44786</v>
      </c>
      <c r="B1342" s="74" t="s">
        <v>26048</v>
      </c>
      <c r="C1342" s="75" t="s">
        <v>296</v>
      </c>
      <c r="D1342" s="176">
        <v>1428</v>
      </c>
      <c r="E1342" s="151">
        <v>44786</v>
      </c>
      <c r="F1342" s="176">
        <v>1428</v>
      </c>
      <c r="G1342" s="177">
        <f>Tabla19[[#This Row],[Importe]]-Tabla19[[#This Row],[Pagado]]</f>
        <v>0</v>
      </c>
      <c r="H1342" s="75" t="s">
        <v>10</v>
      </c>
    </row>
    <row r="1343" spans="1:8" x14ac:dyDescent="0.25">
      <c r="A1343" s="148">
        <v>44786</v>
      </c>
      <c r="B1343" s="149" t="s">
        <v>26049</v>
      </c>
      <c r="C1343" s="153" t="s">
        <v>12</v>
      </c>
      <c r="D1343" s="178">
        <v>7423.8</v>
      </c>
      <c r="E1343" s="155">
        <v>44786</v>
      </c>
      <c r="F1343" s="178">
        <v>7423.8</v>
      </c>
      <c r="G1343" s="179">
        <f>Tabla19[[#This Row],[Importe]]-Tabla19[[#This Row],[Pagado]]</f>
        <v>0</v>
      </c>
      <c r="H1343" s="153" t="s">
        <v>10</v>
      </c>
    </row>
    <row r="1344" spans="1:8" x14ac:dyDescent="0.25">
      <c r="A1344" s="73">
        <v>44786</v>
      </c>
      <c r="B1344" s="74" t="s">
        <v>26050</v>
      </c>
      <c r="C1344" s="75" t="s">
        <v>10190</v>
      </c>
      <c r="D1344" s="176">
        <v>31180.799999999999</v>
      </c>
      <c r="E1344" s="151">
        <v>44787</v>
      </c>
      <c r="F1344" s="176">
        <v>31180.799999999999</v>
      </c>
      <c r="G1344" s="177">
        <f>Tabla19[[#This Row],[Importe]]-Tabla19[[#This Row],[Pagado]]</f>
        <v>0</v>
      </c>
      <c r="H1344" s="75" t="s">
        <v>10</v>
      </c>
    </row>
    <row r="1345" spans="1:8" x14ac:dyDescent="0.25">
      <c r="A1345" s="148">
        <v>44786</v>
      </c>
      <c r="B1345" s="149" t="s">
        <v>26051</v>
      </c>
      <c r="C1345" s="153" t="s">
        <v>31</v>
      </c>
      <c r="D1345" s="178">
        <v>252</v>
      </c>
      <c r="E1345" s="155">
        <v>44786</v>
      </c>
      <c r="F1345" s="178">
        <v>252</v>
      </c>
      <c r="G1345" s="179">
        <f>Tabla19[[#This Row],[Importe]]-Tabla19[[#This Row],[Pagado]]</f>
        <v>0</v>
      </c>
      <c r="H1345" s="153" t="s">
        <v>10</v>
      </c>
    </row>
    <row r="1346" spans="1:8" x14ac:dyDescent="0.25">
      <c r="A1346" s="73">
        <v>44786</v>
      </c>
      <c r="B1346" s="74" t="s">
        <v>26052</v>
      </c>
      <c r="C1346" s="75" t="s">
        <v>31</v>
      </c>
      <c r="D1346" s="176">
        <v>2296</v>
      </c>
      <c r="E1346" s="151">
        <v>44786</v>
      </c>
      <c r="F1346" s="176">
        <v>2296</v>
      </c>
      <c r="G1346" s="177">
        <f>Tabla19[[#This Row],[Importe]]-Tabla19[[#This Row],[Pagado]]</f>
        <v>0</v>
      </c>
      <c r="H1346" s="75" t="s">
        <v>10</v>
      </c>
    </row>
    <row r="1347" spans="1:8" x14ac:dyDescent="0.25">
      <c r="A1347" s="148">
        <v>44786</v>
      </c>
      <c r="B1347" s="149" t="s">
        <v>26053</v>
      </c>
      <c r="C1347" s="153" t="s">
        <v>450</v>
      </c>
      <c r="D1347" s="178">
        <v>4530</v>
      </c>
      <c r="E1347" s="155">
        <v>44786</v>
      </c>
      <c r="F1347" s="178">
        <v>4530</v>
      </c>
      <c r="G1347" s="179">
        <f>Tabla19[[#This Row],[Importe]]-Tabla19[[#This Row],[Pagado]]</f>
        <v>0</v>
      </c>
      <c r="H1347" s="153" t="s">
        <v>10</v>
      </c>
    </row>
    <row r="1348" spans="1:8" x14ac:dyDescent="0.25">
      <c r="A1348" s="73">
        <v>44786</v>
      </c>
      <c r="B1348" s="74" t="s">
        <v>26054</v>
      </c>
      <c r="C1348" s="75" t="s">
        <v>459</v>
      </c>
      <c r="D1348" s="176">
        <v>213</v>
      </c>
      <c r="E1348" s="151">
        <v>44786</v>
      </c>
      <c r="F1348" s="176">
        <v>213</v>
      </c>
      <c r="G1348" s="177">
        <f>Tabla19[[#This Row],[Importe]]-Tabla19[[#This Row],[Pagado]]</f>
        <v>0</v>
      </c>
      <c r="H1348" s="75" t="s">
        <v>10</v>
      </c>
    </row>
    <row r="1349" spans="1:8" x14ac:dyDescent="0.25">
      <c r="A1349" s="148">
        <v>44786</v>
      </c>
      <c r="B1349" s="149" t="s">
        <v>26055</v>
      </c>
      <c r="C1349" s="153" t="s">
        <v>463</v>
      </c>
      <c r="D1349" s="178">
        <v>550</v>
      </c>
      <c r="E1349" s="155">
        <v>44788</v>
      </c>
      <c r="F1349" s="178">
        <v>550</v>
      </c>
      <c r="G1349" s="179">
        <f>Tabla19[[#This Row],[Importe]]-Tabla19[[#This Row],[Pagado]]</f>
        <v>0</v>
      </c>
      <c r="H1349" s="153" t="s">
        <v>10</v>
      </c>
    </row>
    <row r="1350" spans="1:8" x14ac:dyDescent="0.25">
      <c r="A1350" s="73">
        <v>44786</v>
      </c>
      <c r="B1350" s="74" t="s">
        <v>26056</v>
      </c>
      <c r="C1350" s="75" t="s">
        <v>461</v>
      </c>
      <c r="D1350" s="176">
        <v>394</v>
      </c>
      <c r="E1350" s="151">
        <v>44787</v>
      </c>
      <c r="F1350" s="176">
        <v>394</v>
      </c>
      <c r="G1350" s="177">
        <f>Tabla19[[#This Row],[Importe]]-Tabla19[[#This Row],[Pagado]]</f>
        <v>0</v>
      </c>
      <c r="H1350" s="75" t="s">
        <v>10</v>
      </c>
    </row>
    <row r="1351" spans="1:8" x14ac:dyDescent="0.25">
      <c r="A1351" s="148">
        <v>44786</v>
      </c>
      <c r="B1351" s="149" t="s">
        <v>26057</v>
      </c>
      <c r="C1351" s="153" t="s">
        <v>10840</v>
      </c>
      <c r="D1351" s="178">
        <v>4415.6000000000004</v>
      </c>
      <c r="E1351" s="155">
        <v>44786</v>
      </c>
      <c r="F1351" s="178">
        <v>4415.6000000000004</v>
      </c>
      <c r="G1351" s="179">
        <f>Tabla19[[#This Row],[Importe]]-Tabla19[[#This Row],[Pagado]]</f>
        <v>0</v>
      </c>
      <c r="H1351" s="153" t="s">
        <v>10</v>
      </c>
    </row>
    <row r="1352" spans="1:8" x14ac:dyDescent="0.25">
      <c r="A1352" s="73">
        <v>44786</v>
      </c>
      <c r="B1352" s="74" t="s">
        <v>26058</v>
      </c>
      <c r="C1352" s="75" t="s">
        <v>31</v>
      </c>
      <c r="D1352" s="176">
        <v>119</v>
      </c>
      <c r="E1352" s="151">
        <v>44793</v>
      </c>
      <c r="F1352" s="176">
        <v>119</v>
      </c>
      <c r="G1352" s="177">
        <f>Tabla19[[#This Row],[Importe]]-Tabla19[[#This Row],[Pagado]]</f>
        <v>0</v>
      </c>
      <c r="H1352" s="75" t="s">
        <v>10</v>
      </c>
    </row>
    <row r="1353" spans="1:8" x14ac:dyDescent="0.25">
      <c r="A1353" s="148">
        <v>44786</v>
      </c>
      <c r="B1353" s="149" t="s">
        <v>26059</v>
      </c>
      <c r="C1353" s="153" t="s">
        <v>1706</v>
      </c>
      <c r="D1353" s="178">
        <v>18241.599999999999</v>
      </c>
      <c r="E1353" s="155">
        <v>44786</v>
      </c>
      <c r="F1353" s="178">
        <v>18241.599999999999</v>
      </c>
      <c r="G1353" s="179">
        <f>Tabla19[[#This Row],[Importe]]-Tabla19[[#This Row],[Pagado]]</f>
        <v>0</v>
      </c>
      <c r="H1353" s="153" t="s">
        <v>10</v>
      </c>
    </row>
    <row r="1354" spans="1:8" x14ac:dyDescent="0.25">
      <c r="A1354" s="73">
        <v>44786</v>
      </c>
      <c r="B1354" s="74" t="s">
        <v>26060</v>
      </c>
      <c r="C1354" s="75" t="s">
        <v>51</v>
      </c>
      <c r="D1354" s="176">
        <v>4712</v>
      </c>
      <c r="E1354" s="151">
        <v>44786</v>
      </c>
      <c r="F1354" s="176">
        <v>4712</v>
      </c>
      <c r="G1354" s="177">
        <f>Tabla19[[#This Row],[Importe]]-Tabla19[[#This Row],[Pagado]]</f>
        <v>0</v>
      </c>
      <c r="H1354" s="75" t="s">
        <v>10</v>
      </c>
    </row>
    <row r="1355" spans="1:8" x14ac:dyDescent="0.25">
      <c r="A1355" s="148">
        <v>44786</v>
      </c>
      <c r="B1355" s="149" t="s">
        <v>26061</v>
      </c>
      <c r="C1355" s="153" t="s">
        <v>31</v>
      </c>
      <c r="D1355" s="178">
        <v>100</v>
      </c>
      <c r="E1355" s="155">
        <v>44789</v>
      </c>
      <c r="F1355" s="178">
        <v>100</v>
      </c>
      <c r="G1355" s="179">
        <f>Tabla19[[#This Row],[Importe]]-Tabla19[[#This Row],[Pagado]]</f>
        <v>0</v>
      </c>
      <c r="H1355" s="153" t="s">
        <v>10</v>
      </c>
    </row>
    <row r="1356" spans="1:8" x14ac:dyDescent="0.25">
      <c r="A1356" s="73">
        <v>44786</v>
      </c>
      <c r="B1356" s="74" t="s">
        <v>26062</v>
      </c>
      <c r="C1356" s="75" t="s">
        <v>31</v>
      </c>
      <c r="D1356" s="176">
        <v>351</v>
      </c>
      <c r="E1356" s="151">
        <v>44787</v>
      </c>
      <c r="F1356" s="176">
        <v>351</v>
      </c>
      <c r="G1356" s="177">
        <f>Tabla19[[#This Row],[Importe]]-Tabla19[[#This Row],[Pagado]]</f>
        <v>0</v>
      </c>
      <c r="H1356" s="75" t="s">
        <v>10</v>
      </c>
    </row>
    <row r="1357" spans="1:8" x14ac:dyDescent="0.25">
      <c r="A1357" s="148">
        <v>44787</v>
      </c>
      <c r="B1357" s="149" t="s">
        <v>26063</v>
      </c>
      <c r="C1357" s="153" t="s">
        <v>20</v>
      </c>
      <c r="D1357" s="178">
        <v>8572</v>
      </c>
      <c r="E1357" s="155">
        <v>44787</v>
      </c>
      <c r="F1357" s="178">
        <v>8572</v>
      </c>
      <c r="G1357" s="179">
        <f>Tabla19[[#This Row],[Importe]]-Tabla19[[#This Row],[Pagado]]</f>
        <v>0</v>
      </c>
      <c r="H1357" s="153" t="s">
        <v>10</v>
      </c>
    </row>
    <row r="1358" spans="1:8" x14ac:dyDescent="0.25">
      <c r="A1358" s="73">
        <v>44787</v>
      </c>
      <c r="B1358" s="74" t="s">
        <v>26064</v>
      </c>
      <c r="C1358" s="75" t="s">
        <v>9</v>
      </c>
      <c r="D1358" s="176">
        <v>13805.9</v>
      </c>
      <c r="E1358" s="151">
        <v>44787</v>
      </c>
      <c r="F1358" s="176">
        <v>13805.9</v>
      </c>
      <c r="G1358" s="177">
        <f>Tabla19[[#This Row],[Importe]]-Tabla19[[#This Row],[Pagado]]</f>
        <v>0</v>
      </c>
      <c r="H1358" s="75" t="s">
        <v>10</v>
      </c>
    </row>
    <row r="1359" spans="1:8" x14ac:dyDescent="0.25">
      <c r="A1359" s="148">
        <v>44787</v>
      </c>
      <c r="B1359" s="149" t="s">
        <v>26065</v>
      </c>
      <c r="C1359" s="153" t="s">
        <v>481</v>
      </c>
      <c r="D1359" s="178">
        <v>1137.7</v>
      </c>
      <c r="E1359" s="155">
        <v>44787</v>
      </c>
      <c r="F1359" s="178">
        <v>1137.7</v>
      </c>
      <c r="G1359" s="179">
        <f>Tabla19[[#This Row],[Importe]]-Tabla19[[#This Row],[Pagado]]</f>
        <v>0</v>
      </c>
      <c r="H1359" s="153" t="s">
        <v>10</v>
      </c>
    </row>
    <row r="1360" spans="1:8" x14ac:dyDescent="0.25">
      <c r="A1360" s="73">
        <v>44787</v>
      </c>
      <c r="B1360" s="74" t="s">
        <v>26066</v>
      </c>
      <c r="C1360" s="75" t="s">
        <v>1187</v>
      </c>
      <c r="D1360" s="176">
        <v>2760.4</v>
      </c>
      <c r="E1360" s="151">
        <v>44787</v>
      </c>
      <c r="F1360" s="176">
        <v>2760.4</v>
      </c>
      <c r="G1360" s="177">
        <f>Tabla19[[#This Row],[Importe]]-Tabla19[[#This Row],[Pagado]]</f>
        <v>0</v>
      </c>
      <c r="H1360" s="75" t="s">
        <v>10</v>
      </c>
    </row>
    <row r="1361" spans="1:8" x14ac:dyDescent="0.25">
      <c r="A1361" s="148">
        <v>44787</v>
      </c>
      <c r="B1361" s="149" t="s">
        <v>26067</v>
      </c>
      <c r="C1361" s="153" t="s">
        <v>12</v>
      </c>
      <c r="D1361" s="178">
        <v>13689.1</v>
      </c>
      <c r="E1361" s="155">
        <v>44787</v>
      </c>
      <c r="F1361" s="178">
        <v>13689.1</v>
      </c>
      <c r="G1361" s="179">
        <f>Tabla19[[#This Row],[Importe]]-Tabla19[[#This Row],[Pagado]]</f>
        <v>0</v>
      </c>
      <c r="H1361" s="153" t="s">
        <v>10</v>
      </c>
    </row>
    <row r="1362" spans="1:8" x14ac:dyDescent="0.25">
      <c r="A1362" s="73">
        <v>44787</v>
      </c>
      <c r="B1362" s="74" t="s">
        <v>26068</v>
      </c>
      <c r="C1362" s="75" t="s">
        <v>49</v>
      </c>
      <c r="D1362" s="176">
        <v>4076.8</v>
      </c>
      <c r="E1362" s="151">
        <v>44787</v>
      </c>
      <c r="F1362" s="176">
        <v>4076.8</v>
      </c>
      <c r="G1362" s="177">
        <f>Tabla19[[#This Row],[Importe]]-Tabla19[[#This Row],[Pagado]]</f>
        <v>0</v>
      </c>
      <c r="H1362" s="75" t="s">
        <v>10</v>
      </c>
    </row>
    <row r="1363" spans="1:8" ht="31.5" x14ac:dyDescent="0.25">
      <c r="A1363" s="148">
        <v>44787</v>
      </c>
      <c r="B1363" s="149" t="s">
        <v>26069</v>
      </c>
      <c r="C1363" s="153" t="s">
        <v>475</v>
      </c>
      <c r="D1363" s="178">
        <v>93598.9</v>
      </c>
      <c r="E1363" s="150" t="s">
        <v>26070</v>
      </c>
      <c r="F1363" s="178">
        <f>82100+11498.9</f>
        <v>93598.9</v>
      </c>
      <c r="G1363" s="179">
        <f>Tabla19[[#This Row],[Importe]]-Tabla19[[#This Row],[Pagado]]</f>
        <v>0</v>
      </c>
      <c r="H1363" s="153" t="s">
        <v>10</v>
      </c>
    </row>
    <row r="1364" spans="1:8" x14ac:dyDescent="0.25">
      <c r="A1364" s="73">
        <v>44787</v>
      </c>
      <c r="B1364" s="74" t="s">
        <v>26071</v>
      </c>
      <c r="C1364" s="75" t="s">
        <v>348</v>
      </c>
      <c r="D1364" s="176">
        <v>3049.2</v>
      </c>
      <c r="E1364" s="151">
        <v>44787</v>
      </c>
      <c r="F1364" s="176">
        <v>3049.2</v>
      </c>
      <c r="G1364" s="177">
        <f>Tabla19[[#This Row],[Importe]]-Tabla19[[#This Row],[Pagado]]</f>
        <v>0</v>
      </c>
      <c r="H1364" s="75" t="s">
        <v>10</v>
      </c>
    </row>
    <row r="1365" spans="1:8" x14ac:dyDescent="0.25">
      <c r="A1365" s="148">
        <v>44787</v>
      </c>
      <c r="B1365" s="149" t="s">
        <v>26072</v>
      </c>
      <c r="C1365" s="153" t="s">
        <v>16</v>
      </c>
      <c r="D1365" s="178">
        <v>10146.4</v>
      </c>
      <c r="E1365" s="155">
        <v>44787</v>
      </c>
      <c r="F1365" s="178">
        <v>10146.4</v>
      </c>
      <c r="G1365" s="179">
        <f>Tabla19[[#This Row],[Importe]]-Tabla19[[#This Row],[Pagado]]</f>
        <v>0</v>
      </c>
      <c r="H1365" s="153" t="s">
        <v>10</v>
      </c>
    </row>
    <row r="1366" spans="1:8" x14ac:dyDescent="0.25">
      <c r="A1366" s="73">
        <v>44787</v>
      </c>
      <c r="B1366" s="74" t="s">
        <v>26073</v>
      </c>
      <c r="C1366" s="75" t="s">
        <v>18</v>
      </c>
      <c r="D1366" s="176">
        <v>1753.8</v>
      </c>
      <c r="E1366" s="151">
        <v>44787</v>
      </c>
      <c r="F1366" s="176">
        <v>1753.8</v>
      </c>
      <c r="G1366" s="177">
        <f>Tabla19[[#This Row],[Importe]]-Tabla19[[#This Row],[Pagado]]</f>
        <v>0</v>
      </c>
      <c r="H1366" s="75" t="s">
        <v>10</v>
      </c>
    </row>
    <row r="1367" spans="1:8" ht="31.5" x14ac:dyDescent="0.25">
      <c r="A1367" s="148">
        <v>44787</v>
      </c>
      <c r="B1367" s="149" t="s">
        <v>26074</v>
      </c>
      <c r="C1367" s="153" t="s">
        <v>22</v>
      </c>
      <c r="D1367" s="178">
        <v>73821.8</v>
      </c>
      <c r="E1367" s="150" t="s">
        <v>25938</v>
      </c>
      <c r="F1367" s="178">
        <f>41000+32821.8</f>
        <v>73821.8</v>
      </c>
      <c r="G1367" s="179">
        <f>Tabla19[[#This Row],[Importe]]-Tabla19[[#This Row],[Pagado]]</f>
        <v>0</v>
      </c>
      <c r="H1367" s="153" t="s">
        <v>10</v>
      </c>
    </row>
    <row r="1368" spans="1:8" x14ac:dyDescent="0.25">
      <c r="A1368" s="73">
        <v>44787</v>
      </c>
      <c r="B1368" s="74" t="s">
        <v>26075</v>
      </c>
      <c r="C1368" s="75" t="s">
        <v>17556</v>
      </c>
      <c r="D1368" s="176">
        <v>5025</v>
      </c>
      <c r="E1368" s="151">
        <v>44787</v>
      </c>
      <c r="F1368" s="176">
        <v>5025</v>
      </c>
      <c r="G1368" s="177">
        <f>Tabla19[[#This Row],[Importe]]-Tabla19[[#This Row],[Pagado]]</f>
        <v>0</v>
      </c>
      <c r="H1368" s="75" t="s">
        <v>10</v>
      </c>
    </row>
    <row r="1369" spans="1:8" x14ac:dyDescent="0.25">
      <c r="A1369" s="148">
        <v>44787</v>
      </c>
      <c r="B1369" s="149" t="s">
        <v>26076</v>
      </c>
      <c r="C1369" s="153" t="s">
        <v>93</v>
      </c>
      <c r="D1369" s="178">
        <v>2973.6</v>
      </c>
      <c r="E1369" s="155">
        <v>44787</v>
      </c>
      <c r="F1369" s="178">
        <v>2973.6</v>
      </c>
      <c r="G1369" s="179">
        <f>Tabla19[[#This Row],[Importe]]-Tabla19[[#This Row],[Pagado]]</f>
        <v>0</v>
      </c>
      <c r="H1369" s="153" t="s">
        <v>10</v>
      </c>
    </row>
    <row r="1370" spans="1:8" x14ac:dyDescent="0.25">
      <c r="A1370" s="73">
        <v>44787</v>
      </c>
      <c r="B1370" s="74" t="s">
        <v>26077</v>
      </c>
      <c r="C1370" s="75" t="s">
        <v>37</v>
      </c>
      <c r="D1370" s="176">
        <v>3161.1</v>
      </c>
      <c r="E1370" s="151">
        <v>44787</v>
      </c>
      <c r="F1370" s="176">
        <v>3161.1</v>
      </c>
      <c r="G1370" s="177">
        <f>Tabla19[[#This Row],[Importe]]-Tabla19[[#This Row],[Pagado]]</f>
        <v>0</v>
      </c>
      <c r="H1370" s="75" t="s">
        <v>10</v>
      </c>
    </row>
    <row r="1371" spans="1:8" x14ac:dyDescent="0.25">
      <c r="A1371" s="148">
        <v>44787</v>
      </c>
      <c r="B1371" s="149" t="s">
        <v>26078</v>
      </c>
      <c r="C1371" s="153" t="s">
        <v>29</v>
      </c>
      <c r="D1371" s="178">
        <v>13826.4</v>
      </c>
      <c r="E1371" s="155">
        <v>44787</v>
      </c>
      <c r="F1371" s="178">
        <v>13826.4</v>
      </c>
      <c r="G1371" s="179">
        <f>Tabla19[[#This Row],[Importe]]-Tabla19[[#This Row],[Pagado]]</f>
        <v>0</v>
      </c>
      <c r="H1371" s="153" t="s">
        <v>10</v>
      </c>
    </row>
    <row r="1372" spans="1:8" x14ac:dyDescent="0.25">
      <c r="A1372" s="73">
        <v>44787</v>
      </c>
      <c r="B1372" s="74" t="s">
        <v>26079</v>
      </c>
      <c r="C1372" s="75" t="s">
        <v>51</v>
      </c>
      <c r="D1372" s="176">
        <v>2057</v>
      </c>
      <c r="E1372" s="151">
        <v>44787</v>
      </c>
      <c r="F1372" s="176">
        <v>2057</v>
      </c>
      <c r="G1372" s="177">
        <f>Tabla19[[#This Row],[Importe]]-Tabla19[[#This Row],[Pagado]]</f>
        <v>0</v>
      </c>
      <c r="H1372" s="75" t="s">
        <v>10</v>
      </c>
    </row>
    <row r="1373" spans="1:8" x14ac:dyDescent="0.25">
      <c r="A1373" s="148">
        <v>44787</v>
      </c>
      <c r="B1373" s="149" t="s">
        <v>26080</v>
      </c>
      <c r="C1373" s="153" t="s">
        <v>27</v>
      </c>
      <c r="D1373" s="178">
        <v>696.6</v>
      </c>
      <c r="E1373" s="155">
        <v>44787</v>
      </c>
      <c r="F1373" s="178">
        <v>696.6</v>
      </c>
      <c r="G1373" s="179">
        <f>Tabla19[[#This Row],[Importe]]-Tabla19[[#This Row],[Pagado]]</f>
        <v>0</v>
      </c>
      <c r="H1373" s="153" t="s">
        <v>10</v>
      </c>
    </row>
    <row r="1374" spans="1:8" x14ac:dyDescent="0.25">
      <c r="A1374" s="73">
        <v>44787</v>
      </c>
      <c r="B1374" s="74" t="s">
        <v>26081</v>
      </c>
      <c r="C1374" s="75" t="s">
        <v>849</v>
      </c>
      <c r="D1374" s="176">
        <v>976</v>
      </c>
      <c r="E1374" s="151">
        <v>44787</v>
      </c>
      <c r="F1374" s="176">
        <v>976</v>
      </c>
      <c r="G1374" s="177">
        <f>Tabla19[[#This Row],[Importe]]-Tabla19[[#This Row],[Pagado]]</f>
        <v>0</v>
      </c>
      <c r="H1374" s="75" t="s">
        <v>10</v>
      </c>
    </row>
    <row r="1375" spans="1:8" x14ac:dyDescent="0.25">
      <c r="A1375" s="148">
        <v>44787</v>
      </c>
      <c r="B1375" s="149" t="s">
        <v>26082</v>
      </c>
      <c r="C1375" s="153" t="s">
        <v>24</v>
      </c>
      <c r="D1375" s="178">
        <v>753</v>
      </c>
      <c r="E1375" s="155">
        <v>44787</v>
      </c>
      <c r="F1375" s="178">
        <v>753</v>
      </c>
      <c r="G1375" s="179">
        <f>Tabla19[[#This Row],[Importe]]-Tabla19[[#This Row],[Pagado]]</f>
        <v>0</v>
      </c>
      <c r="H1375" s="153" t="s">
        <v>10</v>
      </c>
    </row>
    <row r="1376" spans="1:8" x14ac:dyDescent="0.25">
      <c r="A1376" s="73">
        <v>44787</v>
      </c>
      <c r="B1376" s="74" t="s">
        <v>26083</v>
      </c>
      <c r="C1376" s="75" t="s">
        <v>35</v>
      </c>
      <c r="D1376" s="176">
        <v>2096</v>
      </c>
      <c r="E1376" s="151">
        <v>44787</v>
      </c>
      <c r="F1376" s="176">
        <v>2096</v>
      </c>
      <c r="G1376" s="177">
        <f>Tabla19[[#This Row],[Importe]]-Tabla19[[#This Row],[Pagado]]</f>
        <v>0</v>
      </c>
      <c r="H1376" s="75" t="s">
        <v>10</v>
      </c>
    </row>
    <row r="1377" spans="1:8" x14ac:dyDescent="0.25">
      <c r="A1377" s="148">
        <v>44787</v>
      </c>
      <c r="B1377" s="149" t="s">
        <v>26084</v>
      </c>
      <c r="C1377" s="153" t="s">
        <v>45</v>
      </c>
      <c r="D1377" s="178">
        <v>6363</v>
      </c>
      <c r="E1377" s="155">
        <v>44787</v>
      </c>
      <c r="F1377" s="178">
        <v>6363</v>
      </c>
      <c r="G1377" s="179">
        <f>Tabla19[[#This Row],[Importe]]-Tabla19[[#This Row],[Pagado]]</f>
        <v>0</v>
      </c>
      <c r="H1377" s="153" t="s">
        <v>10</v>
      </c>
    </row>
    <row r="1378" spans="1:8" x14ac:dyDescent="0.25">
      <c r="A1378" s="73">
        <v>44787</v>
      </c>
      <c r="B1378" s="74" t="s">
        <v>26085</v>
      </c>
      <c r="C1378" s="75" t="s">
        <v>24</v>
      </c>
      <c r="D1378" s="176">
        <v>2283.1999999999998</v>
      </c>
      <c r="E1378" s="151">
        <v>44787</v>
      </c>
      <c r="F1378" s="176">
        <v>2283.1999999999998</v>
      </c>
      <c r="G1378" s="177">
        <f>Tabla19[[#This Row],[Importe]]-Tabla19[[#This Row],[Pagado]]</f>
        <v>0</v>
      </c>
      <c r="H1378" s="75" t="s">
        <v>10</v>
      </c>
    </row>
    <row r="1379" spans="1:8" x14ac:dyDescent="0.25">
      <c r="A1379" s="148">
        <v>44787</v>
      </c>
      <c r="B1379" s="149" t="s">
        <v>26086</v>
      </c>
      <c r="C1379" s="153" t="s">
        <v>216</v>
      </c>
      <c r="D1379" s="178">
        <v>1755.6</v>
      </c>
      <c r="E1379" s="155">
        <v>44787</v>
      </c>
      <c r="F1379" s="178">
        <v>1755.6</v>
      </c>
      <c r="G1379" s="179">
        <f>Tabla19[[#This Row],[Importe]]-Tabla19[[#This Row],[Pagado]]</f>
        <v>0</v>
      </c>
      <c r="H1379" s="153" t="s">
        <v>10</v>
      </c>
    </row>
    <row r="1380" spans="1:8" x14ac:dyDescent="0.25">
      <c r="A1380" s="73">
        <v>44787</v>
      </c>
      <c r="B1380" s="74" t="s">
        <v>26087</v>
      </c>
      <c r="C1380" s="75" t="s">
        <v>4136</v>
      </c>
      <c r="D1380" s="176">
        <v>1650.8</v>
      </c>
      <c r="E1380" s="151">
        <v>44787</v>
      </c>
      <c r="F1380" s="176">
        <v>1650.8</v>
      </c>
      <c r="G1380" s="177">
        <f>Tabla19[[#This Row],[Importe]]-Tabla19[[#This Row],[Pagado]]</f>
        <v>0</v>
      </c>
      <c r="H1380" s="75" t="s">
        <v>10</v>
      </c>
    </row>
    <row r="1381" spans="1:8" x14ac:dyDescent="0.25">
      <c r="A1381" s="148">
        <v>44787</v>
      </c>
      <c r="B1381" s="149" t="s">
        <v>26088</v>
      </c>
      <c r="C1381" s="153" t="s">
        <v>233</v>
      </c>
      <c r="D1381" s="178">
        <v>6258</v>
      </c>
      <c r="E1381" s="155">
        <v>44787</v>
      </c>
      <c r="F1381" s="178">
        <v>6258</v>
      </c>
      <c r="G1381" s="179">
        <f>Tabla19[[#This Row],[Importe]]-Tabla19[[#This Row],[Pagado]]</f>
        <v>0</v>
      </c>
      <c r="H1381" s="153" t="s">
        <v>10</v>
      </c>
    </row>
    <row r="1382" spans="1:8" x14ac:dyDescent="0.25">
      <c r="A1382" s="73">
        <v>44787</v>
      </c>
      <c r="B1382" s="74" t="s">
        <v>26089</v>
      </c>
      <c r="C1382" s="75" t="s">
        <v>1003</v>
      </c>
      <c r="D1382" s="176">
        <v>13847.9</v>
      </c>
      <c r="E1382" s="151">
        <v>44789</v>
      </c>
      <c r="F1382" s="176">
        <v>13847.9</v>
      </c>
      <c r="G1382" s="177">
        <f>Tabla19[[#This Row],[Importe]]-Tabla19[[#This Row],[Pagado]]</f>
        <v>0</v>
      </c>
      <c r="H1382" s="75" t="s">
        <v>10</v>
      </c>
    </row>
    <row r="1383" spans="1:8" x14ac:dyDescent="0.25">
      <c r="A1383" s="148">
        <v>44787</v>
      </c>
      <c r="B1383" s="149" t="s">
        <v>26090</v>
      </c>
      <c r="C1383" s="153" t="s">
        <v>191</v>
      </c>
      <c r="D1383" s="178">
        <v>2299.8000000000002</v>
      </c>
      <c r="E1383" s="155">
        <v>44787</v>
      </c>
      <c r="F1383" s="178">
        <v>2299.8000000000002</v>
      </c>
      <c r="G1383" s="179">
        <f>Tabla19[[#This Row],[Importe]]-Tabla19[[#This Row],[Pagado]]</f>
        <v>0</v>
      </c>
      <c r="H1383" s="153" t="s">
        <v>10</v>
      </c>
    </row>
    <row r="1384" spans="1:8" x14ac:dyDescent="0.25">
      <c r="A1384" s="73">
        <v>44787</v>
      </c>
      <c r="B1384" s="74" t="s">
        <v>26091</v>
      </c>
      <c r="C1384" s="75" t="s">
        <v>31</v>
      </c>
      <c r="D1384" s="176">
        <v>1377</v>
      </c>
      <c r="E1384" s="151">
        <v>44787</v>
      </c>
      <c r="F1384" s="176">
        <v>1377</v>
      </c>
      <c r="G1384" s="177">
        <f>Tabla19[[#This Row],[Importe]]-Tabla19[[#This Row],[Pagado]]</f>
        <v>0</v>
      </c>
      <c r="H1384" s="75" t="s">
        <v>10</v>
      </c>
    </row>
    <row r="1385" spans="1:8" x14ac:dyDescent="0.25">
      <c r="A1385" s="148">
        <v>44787</v>
      </c>
      <c r="B1385" s="149" t="s">
        <v>26092</v>
      </c>
      <c r="C1385" s="153" t="s">
        <v>31</v>
      </c>
      <c r="D1385" s="178">
        <v>554.4</v>
      </c>
      <c r="E1385" s="155">
        <v>44787</v>
      </c>
      <c r="F1385" s="178">
        <v>554.4</v>
      </c>
      <c r="G1385" s="179">
        <f>Tabla19[[#This Row],[Importe]]-Tabla19[[#This Row],[Pagado]]</f>
        <v>0</v>
      </c>
      <c r="H1385" s="153" t="s">
        <v>10</v>
      </c>
    </row>
    <row r="1386" spans="1:8" x14ac:dyDescent="0.25">
      <c r="A1386" s="73">
        <v>44787</v>
      </c>
      <c r="B1386" s="74" t="s">
        <v>26093</v>
      </c>
      <c r="C1386" s="75" t="s">
        <v>31</v>
      </c>
      <c r="D1386" s="176">
        <v>1800.2</v>
      </c>
      <c r="E1386" s="151">
        <v>44787</v>
      </c>
      <c r="F1386" s="176">
        <v>1800.2</v>
      </c>
      <c r="G1386" s="177">
        <f>Tabla19[[#This Row],[Importe]]-Tabla19[[#This Row],[Pagado]]</f>
        <v>0</v>
      </c>
      <c r="H1386" s="75" t="s">
        <v>10</v>
      </c>
    </row>
    <row r="1387" spans="1:8" x14ac:dyDescent="0.25">
      <c r="A1387" s="148">
        <v>44787</v>
      </c>
      <c r="B1387" s="149" t="s">
        <v>26094</v>
      </c>
      <c r="C1387" s="153" t="s">
        <v>16</v>
      </c>
      <c r="D1387" s="178">
        <v>137.6</v>
      </c>
      <c r="E1387" s="155">
        <v>44787</v>
      </c>
      <c r="F1387" s="178">
        <v>137.6</v>
      </c>
      <c r="G1387" s="179">
        <f>Tabla19[[#This Row],[Importe]]-Tabla19[[#This Row],[Pagado]]</f>
        <v>0</v>
      </c>
      <c r="H1387" s="153" t="s">
        <v>10</v>
      </c>
    </row>
    <row r="1388" spans="1:8" x14ac:dyDescent="0.25">
      <c r="A1388" s="73">
        <v>44787</v>
      </c>
      <c r="B1388" s="74" t="s">
        <v>26095</v>
      </c>
      <c r="C1388" s="75" t="s">
        <v>56</v>
      </c>
      <c r="D1388" s="176">
        <v>2752</v>
      </c>
      <c r="E1388" s="151">
        <v>44787</v>
      </c>
      <c r="F1388" s="176">
        <v>2752</v>
      </c>
      <c r="G1388" s="177">
        <f>Tabla19[[#This Row],[Importe]]-Tabla19[[#This Row],[Pagado]]</f>
        <v>0</v>
      </c>
      <c r="H1388" s="75" t="s">
        <v>10</v>
      </c>
    </row>
    <row r="1389" spans="1:8" x14ac:dyDescent="0.25">
      <c r="A1389" s="148">
        <v>44787</v>
      </c>
      <c r="B1389" s="149" t="s">
        <v>26096</v>
      </c>
      <c r="C1389" s="153" t="s">
        <v>9827</v>
      </c>
      <c r="D1389" s="178">
        <v>5006.3999999999996</v>
      </c>
      <c r="E1389" s="155">
        <v>44787</v>
      </c>
      <c r="F1389" s="178">
        <v>5006.3999999999996</v>
      </c>
      <c r="G1389" s="179">
        <f>Tabla19[[#This Row],[Importe]]-Tabla19[[#This Row],[Pagado]]</f>
        <v>0</v>
      </c>
      <c r="H1389" s="153" t="s">
        <v>10</v>
      </c>
    </row>
    <row r="1390" spans="1:8" x14ac:dyDescent="0.25">
      <c r="A1390" s="73">
        <v>44787</v>
      </c>
      <c r="B1390" s="74" t="s">
        <v>26097</v>
      </c>
      <c r="C1390" s="75" t="s">
        <v>53</v>
      </c>
      <c r="D1390" s="176">
        <v>1326</v>
      </c>
      <c r="E1390" s="151">
        <v>44787</v>
      </c>
      <c r="F1390" s="176">
        <v>1326</v>
      </c>
      <c r="G1390" s="177">
        <f>Tabla19[[#This Row],[Importe]]-Tabla19[[#This Row],[Pagado]]</f>
        <v>0</v>
      </c>
      <c r="H1390" s="75" t="s">
        <v>10</v>
      </c>
    </row>
    <row r="1391" spans="1:8" x14ac:dyDescent="0.25">
      <c r="A1391" s="148">
        <v>44787</v>
      </c>
      <c r="B1391" s="149" t="s">
        <v>26098</v>
      </c>
      <c r="C1391" s="153" t="s">
        <v>24284</v>
      </c>
      <c r="D1391" s="178">
        <v>1411.2</v>
      </c>
      <c r="E1391" s="155">
        <v>44787</v>
      </c>
      <c r="F1391" s="178">
        <v>1411.2</v>
      </c>
      <c r="G1391" s="179">
        <f>Tabla19[[#This Row],[Importe]]-Tabla19[[#This Row],[Pagado]]</f>
        <v>0</v>
      </c>
      <c r="H1391" s="153" t="s">
        <v>10</v>
      </c>
    </row>
    <row r="1392" spans="1:8" x14ac:dyDescent="0.25">
      <c r="A1392" s="73">
        <v>44787</v>
      </c>
      <c r="B1392" s="74" t="s">
        <v>26099</v>
      </c>
      <c r="C1392" s="75" t="s">
        <v>67</v>
      </c>
      <c r="D1392" s="176">
        <v>2691.8</v>
      </c>
      <c r="E1392" s="151">
        <v>44787</v>
      </c>
      <c r="F1392" s="176">
        <v>2691.8</v>
      </c>
      <c r="G1392" s="177">
        <f>Tabla19[[#This Row],[Importe]]-Tabla19[[#This Row],[Pagado]]</f>
        <v>0</v>
      </c>
      <c r="H1392" s="75" t="s">
        <v>10</v>
      </c>
    </row>
    <row r="1393" spans="1:8" x14ac:dyDescent="0.25">
      <c r="A1393" s="148">
        <v>44787</v>
      </c>
      <c r="B1393" s="149" t="s">
        <v>26100</v>
      </c>
      <c r="C1393" s="153" t="s">
        <v>71</v>
      </c>
      <c r="D1393" s="178">
        <v>3784.8</v>
      </c>
      <c r="E1393" s="155">
        <v>44787</v>
      </c>
      <c r="F1393" s="178">
        <v>3784.8</v>
      </c>
      <c r="G1393" s="179">
        <f>Tabla19[[#This Row],[Importe]]-Tabla19[[#This Row],[Pagado]]</f>
        <v>0</v>
      </c>
      <c r="H1393" s="153" t="s">
        <v>10</v>
      </c>
    </row>
    <row r="1394" spans="1:8" x14ac:dyDescent="0.25">
      <c r="A1394" s="73">
        <v>44787</v>
      </c>
      <c r="B1394" s="74" t="s">
        <v>26101</v>
      </c>
      <c r="C1394" s="75" t="s">
        <v>214</v>
      </c>
      <c r="D1394" s="176">
        <v>2587.1999999999998</v>
      </c>
      <c r="E1394" s="151">
        <v>44787</v>
      </c>
      <c r="F1394" s="176">
        <v>2587.1999999999998</v>
      </c>
      <c r="G1394" s="177">
        <f>Tabla19[[#This Row],[Importe]]-Tabla19[[#This Row],[Pagado]]</f>
        <v>0</v>
      </c>
      <c r="H1394" s="75" t="s">
        <v>10</v>
      </c>
    </row>
    <row r="1395" spans="1:8" x14ac:dyDescent="0.25">
      <c r="A1395" s="148">
        <v>44787</v>
      </c>
      <c r="B1395" s="149" t="s">
        <v>26102</v>
      </c>
      <c r="C1395" s="153" t="s">
        <v>56</v>
      </c>
      <c r="D1395" s="178">
        <v>4642.5</v>
      </c>
      <c r="E1395" s="155">
        <v>44787</v>
      </c>
      <c r="F1395" s="178">
        <v>4642.5</v>
      </c>
      <c r="G1395" s="179">
        <f>Tabla19[[#This Row],[Importe]]-Tabla19[[#This Row],[Pagado]]</f>
        <v>0</v>
      </c>
      <c r="H1395" s="153" t="s">
        <v>10</v>
      </c>
    </row>
    <row r="1396" spans="1:8" x14ac:dyDescent="0.25">
      <c r="A1396" s="73">
        <v>44787</v>
      </c>
      <c r="B1396" s="74" t="s">
        <v>26103</v>
      </c>
      <c r="C1396" s="75" t="s">
        <v>191</v>
      </c>
      <c r="D1396" s="176">
        <v>894.4</v>
      </c>
      <c r="E1396" s="151">
        <v>44787</v>
      </c>
      <c r="F1396" s="176">
        <v>894.4</v>
      </c>
      <c r="G1396" s="177">
        <f>Tabla19[[#This Row],[Importe]]-Tabla19[[#This Row],[Pagado]]</f>
        <v>0</v>
      </c>
      <c r="H1396" s="75" t="s">
        <v>10</v>
      </c>
    </row>
    <row r="1397" spans="1:8" x14ac:dyDescent="0.25">
      <c r="A1397" s="148">
        <v>44787</v>
      </c>
      <c r="B1397" s="149" t="s">
        <v>26104</v>
      </c>
      <c r="C1397" s="153" t="s">
        <v>16</v>
      </c>
      <c r="D1397" s="178">
        <v>3179.1</v>
      </c>
      <c r="E1397" s="155">
        <v>44787</v>
      </c>
      <c r="F1397" s="178">
        <v>3179.1</v>
      </c>
      <c r="G1397" s="179">
        <f>Tabla19[[#This Row],[Importe]]-Tabla19[[#This Row],[Pagado]]</f>
        <v>0</v>
      </c>
      <c r="H1397" s="153" t="s">
        <v>10</v>
      </c>
    </row>
    <row r="1398" spans="1:8" x14ac:dyDescent="0.25">
      <c r="A1398" s="73">
        <v>44787</v>
      </c>
      <c r="B1398" s="74" t="s">
        <v>26105</v>
      </c>
      <c r="C1398" s="75" t="s">
        <v>31</v>
      </c>
      <c r="D1398" s="176">
        <v>12188.4</v>
      </c>
      <c r="E1398" s="151">
        <v>44787</v>
      </c>
      <c r="F1398" s="176">
        <v>12188.4</v>
      </c>
      <c r="G1398" s="177">
        <f>Tabla19[[#This Row],[Importe]]-Tabla19[[#This Row],[Pagado]]</f>
        <v>0</v>
      </c>
      <c r="H1398" s="75" t="s">
        <v>10</v>
      </c>
    </row>
    <row r="1399" spans="1:8" x14ac:dyDescent="0.25">
      <c r="A1399" s="148">
        <v>44787</v>
      </c>
      <c r="B1399" s="149" t="s">
        <v>26106</v>
      </c>
      <c r="C1399" s="153" t="s">
        <v>35</v>
      </c>
      <c r="D1399" s="178">
        <v>204</v>
      </c>
      <c r="E1399" s="155">
        <v>44787</v>
      </c>
      <c r="F1399" s="178">
        <v>204</v>
      </c>
      <c r="G1399" s="179">
        <f>Tabla19[[#This Row],[Importe]]-Tabla19[[#This Row],[Pagado]]</f>
        <v>0</v>
      </c>
      <c r="H1399" s="153" t="s">
        <v>10</v>
      </c>
    </row>
    <row r="1400" spans="1:8" x14ac:dyDescent="0.25">
      <c r="A1400" s="73">
        <v>44787</v>
      </c>
      <c r="B1400" s="74" t="s">
        <v>26107</v>
      </c>
      <c r="C1400" s="75" t="s">
        <v>1421</v>
      </c>
      <c r="D1400" s="176">
        <v>13983.2</v>
      </c>
      <c r="E1400" s="151">
        <v>44787</v>
      </c>
      <c r="F1400" s="176">
        <v>13983.2</v>
      </c>
      <c r="G1400" s="177">
        <f>Tabla19[[#This Row],[Importe]]-Tabla19[[#This Row],[Pagado]]</f>
        <v>0</v>
      </c>
      <c r="H1400" s="75" t="s">
        <v>10</v>
      </c>
    </row>
    <row r="1401" spans="1:8" x14ac:dyDescent="0.25">
      <c r="A1401" s="148">
        <v>44787</v>
      </c>
      <c r="B1401" s="149" t="s">
        <v>26108</v>
      </c>
      <c r="C1401" s="153" t="s">
        <v>296</v>
      </c>
      <c r="D1401" s="178">
        <v>4484</v>
      </c>
      <c r="E1401" s="155">
        <v>44787</v>
      </c>
      <c r="F1401" s="178">
        <v>4484</v>
      </c>
      <c r="G1401" s="179">
        <f>Tabla19[[#This Row],[Importe]]-Tabla19[[#This Row],[Pagado]]</f>
        <v>0</v>
      </c>
      <c r="H1401" s="153" t="s">
        <v>10</v>
      </c>
    </row>
    <row r="1402" spans="1:8" x14ac:dyDescent="0.25">
      <c r="A1402" s="73">
        <v>44787</v>
      </c>
      <c r="B1402" s="74" t="s">
        <v>26109</v>
      </c>
      <c r="C1402" s="75" t="s">
        <v>191</v>
      </c>
      <c r="D1402" s="176">
        <v>1801.2</v>
      </c>
      <c r="E1402" s="151">
        <v>44787</v>
      </c>
      <c r="F1402" s="176">
        <v>1801.2</v>
      </c>
      <c r="G1402" s="177">
        <f>Tabla19[[#This Row],[Importe]]-Tabla19[[#This Row],[Pagado]]</f>
        <v>0</v>
      </c>
      <c r="H1402" s="75" t="s">
        <v>10</v>
      </c>
    </row>
    <row r="1403" spans="1:8" x14ac:dyDescent="0.25">
      <c r="A1403" s="148">
        <v>44787</v>
      </c>
      <c r="B1403" s="149" t="s">
        <v>26110</v>
      </c>
      <c r="C1403" s="153" t="s">
        <v>296</v>
      </c>
      <c r="D1403" s="178">
        <v>2096.6999999999998</v>
      </c>
      <c r="E1403" s="155">
        <v>44787</v>
      </c>
      <c r="F1403" s="178">
        <v>2096.6999999999998</v>
      </c>
      <c r="G1403" s="179">
        <f>Tabla19[[#This Row],[Importe]]-Tabla19[[#This Row],[Pagado]]</f>
        <v>0</v>
      </c>
      <c r="H1403" s="153" t="s">
        <v>10</v>
      </c>
    </row>
    <row r="1404" spans="1:8" x14ac:dyDescent="0.25">
      <c r="A1404" s="73">
        <v>44787</v>
      </c>
      <c r="B1404" s="74" t="s">
        <v>26111</v>
      </c>
      <c r="C1404" s="75" t="s">
        <v>67</v>
      </c>
      <c r="D1404" s="176">
        <v>219</v>
      </c>
      <c r="E1404" s="151" t="s">
        <v>26112</v>
      </c>
      <c r="F1404" s="176">
        <v>219</v>
      </c>
      <c r="G1404" s="177">
        <f>Tabla19[[#This Row],[Importe]]-Tabla19[[#This Row],[Pagado]]</f>
        <v>0</v>
      </c>
      <c r="H1404" s="75" t="s">
        <v>10</v>
      </c>
    </row>
    <row r="1405" spans="1:8" x14ac:dyDescent="0.25">
      <c r="A1405" s="148">
        <v>44787</v>
      </c>
      <c r="B1405" s="149" t="s">
        <v>26113</v>
      </c>
      <c r="C1405" s="153" t="s">
        <v>69</v>
      </c>
      <c r="D1405" s="178">
        <v>1760</v>
      </c>
      <c r="E1405" s="155">
        <v>44788</v>
      </c>
      <c r="F1405" s="178">
        <v>1760</v>
      </c>
      <c r="G1405" s="179">
        <f>Tabla19[[#This Row],[Importe]]-Tabla19[[#This Row],[Pagado]]</f>
        <v>0</v>
      </c>
      <c r="H1405" s="153" t="s">
        <v>10</v>
      </c>
    </row>
    <row r="1406" spans="1:8" x14ac:dyDescent="0.25">
      <c r="A1406" s="73">
        <v>44788</v>
      </c>
      <c r="B1406" s="74" t="s">
        <v>26114</v>
      </c>
      <c r="C1406" s="75" t="s">
        <v>887</v>
      </c>
      <c r="D1406" s="176">
        <v>13162.5</v>
      </c>
      <c r="E1406" s="151">
        <v>44788</v>
      </c>
      <c r="F1406" s="176">
        <v>13162.5</v>
      </c>
      <c r="G1406" s="177">
        <f>Tabla19[[#This Row],[Importe]]-Tabla19[[#This Row],[Pagado]]</f>
        <v>0</v>
      </c>
      <c r="H1406" s="75" t="s">
        <v>10</v>
      </c>
    </row>
    <row r="1407" spans="1:8" ht="31.5" x14ac:dyDescent="0.25">
      <c r="A1407" s="148">
        <v>44788</v>
      </c>
      <c r="B1407" s="149" t="s">
        <v>26115</v>
      </c>
      <c r="C1407" s="153" t="s">
        <v>475</v>
      </c>
      <c r="D1407" s="178">
        <v>92492.3</v>
      </c>
      <c r="E1407" s="150" t="s">
        <v>26116</v>
      </c>
      <c r="F1407" s="178">
        <f>58000+34492.3</f>
        <v>92492.3</v>
      </c>
      <c r="G1407" s="179">
        <f>Tabla19[[#This Row],[Importe]]-Tabla19[[#This Row],[Pagado]]</f>
        <v>0</v>
      </c>
      <c r="H1407" s="153" t="s">
        <v>10</v>
      </c>
    </row>
    <row r="1408" spans="1:8" x14ac:dyDescent="0.25">
      <c r="A1408" s="73">
        <v>44788</v>
      </c>
      <c r="B1408" s="74" t="s">
        <v>26117</v>
      </c>
      <c r="C1408" s="75" t="s">
        <v>12</v>
      </c>
      <c r="D1408" s="176">
        <v>5570.9</v>
      </c>
      <c r="E1408" s="151">
        <v>44788</v>
      </c>
      <c r="F1408" s="176">
        <v>5570.9</v>
      </c>
      <c r="G1408" s="177">
        <f>Tabla19[[#This Row],[Importe]]-Tabla19[[#This Row],[Pagado]]</f>
        <v>0</v>
      </c>
      <c r="H1408" s="75" t="s">
        <v>10</v>
      </c>
    </row>
    <row r="1409" spans="1:8" x14ac:dyDescent="0.25">
      <c r="A1409" s="148">
        <v>44788</v>
      </c>
      <c r="B1409" s="149" t="s">
        <v>26118</v>
      </c>
      <c r="C1409" s="153" t="s">
        <v>12</v>
      </c>
      <c r="D1409" s="178">
        <v>454.5</v>
      </c>
      <c r="E1409" s="155">
        <v>44788</v>
      </c>
      <c r="F1409" s="178">
        <v>454.5</v>
      </c>
      <c r="G1409" s="179">
        <f>Tabla19[[#This Row],[Importe]]-Tabla19[[#This Row],[Pagado]]</f>
        <v>0</v>
      </c>
      <c r="H1409" s="153" t="s">
        <v>10</v>
      </c>
    </row>
    <row r="1410" spans="1:8" x14ac:dyDescent="0.25">
      <c r="A1410" s="73">
        <v>44788</v>
      </c>
      <c r="B1410" s="74" t="s">
        <v>26119</v>
      </c>
      <c r="C1410" s="75" t="s">
        <v>154</v>
      </c>
      <c r="D1410" s="176">
        <v>8672.7999999999993</v>
      </c>
      <c r="E1410" s="151">
        <v>44793</v>
      </c>
      <c r="F1410" s="176">
        <v>8672.7999999999993</v>
      </c>
      <c r="G1410" s="177">
        <f>Tabla19[[#This Row],[Importe]]-Tabla19[[#This Row],[Pagado]]</f>
        <v>0</v>
      </c>
      <c r="H1410" s="75" t="s">
        <v>10</v>
      </c>
    </row>
    <row r="1411" spans="1:8" x14ac:dyDescent="0.25">
      <c r="A1411" s="148">
        <v>44788</v>
      </c>
      <c r="B1411" s="149" t="s">
        <v>26120</v>
      </c>
      <c r="C1411" s="153" t="s">
        <v>9</v>
      </c>
      <c r="D1411" s="178">
        <v>8723.7000000000007</v>
      </c>
      <c r="E1411" s="155">
        <v>44788</v>
      </c>
      <c r="F1411" s="178">
        <v>8723.7000000000007</v>
      </c>
      <c r="G1411" s="179">
        <f>Tabla19[[#This Row],[Importe]]-Tabla19[[#This Row],[Pagado]]</f>
        <v>0</v>
      </c>
      <c r="H1411" s="153" t="s">
        <v>10</v>
      </c>
    </row>
    <row r="1412" spans="1:8" x14ac:dyDescent="0.25">
      <c r="A1412" s="73">
        <v>44788</v>
      </c>
      <c r="B1412" s="74" t="s">
        <v>26121</v>
      </c>
      <c r="C1412" s="75" t="s">
        <v>218</v>
      </c>
      <c r="D1412" s="176">
        <v>20694.2</v>
      </c>
      <c r="E1412" s="151">
        <v>44791</v>
      </c>
      <c r="F1412" s="176">
        <v>20694.2</v>
      </c>
      <c r="G1412" s="177">
        <f>Tabla19[[#This Row],[Importe]]-Tabla19[[#This Row],[Pagado]]</f>
        <v>0</v>
      </c>
      <c r="H1412" s="75" t="s">
        <v>10</v>
      </c>
    </row>
    <row r="1413" spans="1:8" x14ac:dyDescent="0.25">
      <c r="A1413" s="148">
        <v>44788</v>
      </c>
      <c r="B1413" s="149" t="s">
        <v>26122</v>
      </c>
      <c r="C1413" s="153" t="s">
        <v>99</v>
      </c>
      <c r="D1413" s="178">
        <v>3956.4</v>
      </c>
      <c r="E1413" s="155">
        <v>44789</v>
      </c>
      <c r="F1413" s="178">
        <v>3956.4</v>
      </c>
      <c r="G1413" s="179">
        <f>Tabla19[[#This Row],[Importe]]-Tabla19[[#This Row],[Pagado]]</f>
        <v>0</v>
      </c>
      <c r="H1413" s="153" t="s">
        <v>10</v>
      </c>
    </row>
    <row r="1414" spans="1:8" x14ac:dyDescent="0.25">
      <c r="A1414" s="73">
        <v>44788</v>
      </c>
      <c r="B1414" s="74" t="s">
        <v>26123</v>
      </c>
      <c r="C1414" s="75" t="s">
        <v>109</v>
      </c>
      <c r="D1414" s="176">
        <v>4737.6000000000004</v>
      </c>
      <c r="E1414" s="151">
        <v>44789</v>
      </c>
      <c r="F1414" s="176">
        <v>4737.6000000000004</v>
      </c>
      <c r="G1414" s="177">
        <f>Tabla19[[#This Row],[Importe]]-Tabla19[[#This Row],[Pagado]]</f>
        <v>0</v>
      </c>
      <c r="H1414" s="75" t="s">
        <v>10</v>
      </c>
    </row>
    <row r="1415" spans="1:8" x14ac:dyDescent="0.25">
      <c r="A1415" s="148">
        <v>44788</v>
      </c>
      <c r="B1415" s="149" t="s">
        <v>26124</v>
      </c>
      <c r="C1415" s="153" t="s">
        <v>93</v>
      </c>
      <c r="D1415" s="178">
        <v>7866.6</v>
      </c>
      <c r="E1415" s="155">
        <v>44790</v>
      </c>
      <c r="F1415" s="178">
        <v>7866.6</v>
      </c>
      <c r="G1415" s="179">
        <f>Tabla19[[#This Row],[Importe]]-Tabla19[[#This Row],[Pagado]]</f>
        <v>0</v>
      </c>
      <c r="H1415" s="153" t="s">
        <v>10</v>
      </c>
    </row>
    <row r="1416" spans="1:8" x14ac:dyDescent="0.25">
      <c r="A1416" s="73">
        <v>44788</v>
      </c>
      <c r="B1416" s="74" t="s">
        <v>26125</v>
      </c>
      <c r="C1416" s="75" t="s">
        <v>64</v>
      </c>
      <c r="D1416" s="176">
        <v>5967</v>
      </c>
      <c r="E1416" s="151">
        <v>44789</v>
      </c>
      <c r="F1416" s="176">
        <v>5967</v>
      </c>
      <c r="G1416" s="177">
        <f>Tabla19[[#This Row],[Importe]]-Tabla19[[#This Row],[Pagado]]</f>
        <v>0</v>
      </c>
      <c r="H1416" s="75" t="s">
        <v>10</v>
      </c>
    </row>
    <row r="1417" spans="1:8" x14ac:dyDescent="0.25">
      <c r="A1417" s="148">
        <v>44788</v>
      </c>
      <c r="B1417" s="149" t="s">
        <v>26126</v>
      </c>
      <c r="C1417" s="153" t="s">
        <v>93</v>
      </c>
      <c r="D1417" s="178">
        <v>3200.4</v>
      </c>
      <c r="E1417" s="155">
        <v>44789</v>
      </c>
      <c r="F1417" s="178">
        <v>3200.4</v>
      </c>
      <c r="G1417" s="179">
        <f>Tabla19[[#This Row],[Importe]]-Tabla19[[#This Row],[Pagado]]</f>
        <v>0</v>
      </c>
      <c r="H1417" s="153" t="s">
        <v>10</v>
      </c>
    </row>
    <row r="1418" spans="1:8" x14ac:dyDescent="0.25">
      <c r="A1418" s="73">
        <v>44788</v>
      </c>
      <c r="B1418" s="74" t="s">
        <v>26127</v>
      </c>
      <c r="C1418" s="75" t="s">
        <v>111</v>
      </c>
      <c r="D1418" s="176">
        <v>6249.6</v>
      </c>
      <c r="E1418" s="151">
        <v>44790</v>
      </c>
      <c r="F1418" s="176">
        <v>6249.6</v>
      </c>
      <c r="G1418" s="177">
        <f>Tabla19[[#This Row],[Importe]]-Tabla19[[#This Row],[Pagado]]</f>
        <v>0</v>
      </c>
      <c r="H1418" s="75" t="s">
        <v>10</v>
      </c>
    </row>
    <row r="1419" spans="1:8" x14ac:dyDescent="0.25">
      <c r="A1419" s="148">
        <v>44788</v>
      </c>
      <c r="B1419" s="149" t="s">
        <v>26128</v>
      </c>
      <c r="C1419" s="153" t="s">
        <v>105</v>
      </c>
      <c r="D1419" s="178">
        <v>9210.6</v>
      </c>
      <c r="E1419" s="155">
        <v>44790</v>
      </c>
      <c r="F1419" s="178">
        <v>9210.6</v>
      </c>
      <c r="G1419" s="179">
        <f>Tabla19[[#This Row],[Importe]]-Tabla19[[#This Row],[Pagado]]</f>
        <v>0</v>
      </c>
      <c r="H1419" s="153" t="s">
        <v>10</v>
      </c>
    </row>
    <row r="1420" spans="1:8" x14ac:dyDescent="0.25">
      <c r="A1420" s="73">
        <v>44788</v>
      </c>
      <c r="B1420" s="74" t="s">
        <v>26129</v>
      </c>
      <c r="C1420" s="75" t="s">
        <v>97</v>
      </c>
      <c r="D1420" s="176">
        <v>5642</v>
      </c>
      <c r="E1420" s="151">
        <v>44789</v>
      </c>
      <c r="F1420" s="176">
        <v>5642</v>
      </c>
      <c r="G1420" s="177">
        <f>Tabla19[[#This Row],[Importe]]-Tabla19[[#This Row],[Pagado]]</f>
        <v>0</v>
      </c>
      <c r="H1420" s="75" t="s">
        <v>10</v>
      </c>
    </row>
    <row r="1421" spans="1:8" x14ac:dyDescent="0.25">
      <c r="A1421" s="148">
        <v>44788</v>
      </c>
      <c r="B1421" s="149" t="s">
        <v>26130</v>
      </c>
      <c r="C1421" s="153" t="s">
        <v>2563</v>
      </c>
      <c r="D1421" s="178">
        <v>5460</v>
      </c>
      <c r="E1421" s="155">
        <v>44789</v>
      </c>
      <c r="F1421" s="178">
        <v>5460</v>
      </c>
      <c r="G1421" s="179">
        <f>Tabla19[[#This Row],[Importe]]-Tabla19[[#This Row],[Pagado]]</f>
        <v>0</v>
      </c>
      <c r="H1421" s="153" t="s">
        <v>10</v>
      </c>
    </row>
    <row r="1422" spans="1:8" x14ac:dyDescent="0.25">
      <c r="A1422" s="73">
        <v>44788</v>
      </c>
      <c r="B1422" s="74" t="s">
        <v>26131</v>
      </c>
      <c r="C1422" s="75" t="s">
        <v>111</v>
      </c>
      <c r="D1422" s="176">
        <v>863.1</v>
      </c>
      <c r="E1422" s="151">
        <v>44790</v>
      </c>
      <c r="F1422" s="176">
        <v>863.1</v>
      </c>
      <c r="G1422" s="177">
        <f>Tabla19[[#This Row],[Importe]]-Tabla19[[#This Row],[Pagado]]</f>
        <v>0</v>
      </c>
      <c r="H1422" s="75" t="s">
        <v>10</v>
      </c>
    </row>
    <row r="1423" spans="1:8" x14ac:dyDescent="0.25">
      <c r="A1423" s="148">
        <v>44788</v>
      </c>
      <c r="B1423" s="149" t="s">
        <v>26132</v>
      </c>
      <c r="C1423" s="153" t="s">
        <v>348</v>
      </c>
      <c r="D1423" s="178">
        <v>6093.1</v>
      </c>
      <c r="E1423" s="155">
        <v>44788</v>
      </c>
      <c r="F1423" s="178">
        <v>6093.1</v>
      </c>
      <c r="G1423" s="179">
        <f>Tabla19[[#This Row],[Importe]]-Tabla19[[#This Row],[Pagado]]</f>
        <v>0</v>
      </c>
      <c r="H1423" s="153" t="s">
        <v>10</v>
      </c>
    </row>
    <row r="1424" spans="1:8" x14ac:dyDescent="0.25">
      <c r="A1424" s="73">
        <v>44788</v>
      </c>
      <c r="B1424" s="74" t="s">
        <v>26133</v>
      </c>
      <c r="C1424" s="75" t="s">
        <v>114</v>
      </c>
      <c r="D1424" s="176">
        <v>6674</v>
      </c>
      <c r="E1424" s="151">
        <v>44789</v>
      </c>
      <c r="F1424" s="176">
        <v>6674</v>
      </c>
      <c r="G1424" s="177">
        <f>Tabla19[[#This Row],[Importe]]-Tabla19[[#This Row],[Pagado]]</f>
        <v>0</v>
      </c>
      <c r="H1424" s="75" t="s">
        <v>10</v>
      </c>
    </row>
    <row r="1425" spans="1:8" x14ac:dyDescent="0.25">
      <c r="A1425" s="148">
        <v>44788</v>
      </c>
      <c r="B1425" s="149" t="s">
        <v>26134</v>
      </c>
      <c r="C1425" s="153" t="s">
        <v>87</v>
      </c>
      <c r="D1425" s="178">
        <v>3854</v>
      </c>
      <c r="E1425" s="155">
        <v>44788</v>
      </c>
      <c r="F1425" s="178">
        <v>3854</v>
      </c>
      <c r="G1425" s="179">
        <f>Tabla19[[#This Row],[Importe]]-Tabla19[[#This Row],[Pagado]]</f>
        <v>0</v>
      </c>
      <c r="H1425" s="153" t="s">
        <v>10</v>
      </c>
    </row>
    <row r="1426" spans="1:8" x14ac:dyDescent="0.25">
      <c r="A1426" s="73">
        <v>44788</v>
      </c>
      <c r="B1426" s="74" t="s">
        <v>26135</v>
      </c>
      <c r="C1426" s="75" t="s">
        <v>473</v>
      </c>
      <c r="D1426" s="176">
        <v>13208.2</v>
      </c>
      <c r="E1426" s="151">
        <v>44788</v>
      </c>
      <c r="F1426" s="176">
        <v>13208.2</v>
      </c>
      <c r="G1426" s="177">
        <f>Tabla19[[#This Row],[Importe]]-Tabla19[[#This Row],[Pagado]]</f>
        <v>0</v>
      </c>
      <c r="H1426" s="75" t="s">
        <v>10</v>
      </c>
    </row>
    <row r="1427" spans="1:8" x14ac:dyDescent="0.25">
      <c r="A1427" s="148">
        <v>44788</v>
      </c>
      <c r="B1427" s="149" t="s">
        <v>26136</v>
      </c>
      <c r="C1427" s="153" t="s">
        <v>83</v>
      </c>
      <c r="D1427" s="178">
        <v>11776</v>
      </c>
      <c r="E1427" s="155">
        <v>44788</v>
      </c>
      <c r="F1427" s="178">
        <v>11776</v>
      </c>
      <c r="G1427" s="179">
        <f>Tabla19[[#This Row],[Importe]]-Tabla19[[#This Row],[Pagado]]</f>
        <v>0</v>
      </c>
      <c r="H1427" s="153" t="s">
        <v>10</v>
      </c>
    </row>
    <row r="1428" spans="1:8" x14ac:dyDescent="0.25">
      <c r="A1428" s="73">
        <v>44788</v>
      </c>
      <c r="B1428" s="74" t="s">
        <v>26137</v>
      </c>
      <c r="C1428" s="75" t="s">
        <v>89</v>
      </c>
      <c r="D1428" s="176">
        <v>13305.6</v>
      </c>
      <c r="E1428" s="151">
        <v>44789</v>
      </c>
      <c r="F1428" s="176">
        <v>13305.6</v>
      </c>
      <c r="G1428" s="177">
        <f>Tabla19[[#This Row],[Importe]]-Tabla19[[#This Row],[Pagado]]</f>
        <v>0</v>
      </c>
      <c r="H1428" s="75" t="s">
        <v>10</v>
      </c>
    </row>
    <row r="1429" spans="1:8" x14ac:dyDescent="0.25">
      <c r="A1429" s="148">
        <v>44788</v>
      </c>
      <c r="B1429" s="149" t="s">
        <v>26138</v>
      </c>
      <c r="C1429" s="153" t="s">
        <v>2151</v>
      </c>
      <c r="D1429" s="178">
        <v>20973.1</v>
      </c>
      <c r="E1429" s="155">
        <v>44788</v>
      </c>
      <c r="F1429" s="178">
        <v>20973.1</v>
      </c>
      <c r="G1429" s="179">
        <f>Tabla19[[#This Row],[Importe]]-Tabla19[[#This Row],[Pagado]]</f>
        <v>0</v>
      </c>
      <c r="H1429" s="153" t="s">
        <v>10</v>
      </c>
    </row>
    <row r="1430" spans="1:8" x14ac:dyDescent="0.25">
      <c r="A1430" s="73">
        <v>44788</v>
      </c>
      <c r="B1430" s="74" t="s">
        <v>26139</v>
      </c>
      <c r="C1430" s="75" t="s">
        <v>71</v>
      </c>
      <c r="D1430" s="176">
        <v>4605</v>
      </c>
      <c r="E1430" s="151">
        <v>44788</v>
      </c>
      <c r="F1430" s="176">
        <v>4605</v>
      </c>
      <c r="G1430" s="177">
        <f>Tabla19[[#This Row],[Importe]]-Tabla19[[#This Row],[Pagado]]</f>
        <v>0</v>
      </c>
      <c r="H1430" s="75" t="s">
        <v>10</v>
      </c>
    </row>
    <row r="1431" spans="1:8" x14ac:dyDescent="0.25">
      <c r="A1431" s="148">
        <v>44788</v>
      </c>
      <c r="B1431" s="149" t="s">
        <v>26140</v>
      </c>
      <c r="C1431" s="153" t="s">
        <v>348</v>
      </c>
      <c r="D1431" s="178">
        <v>3950.1</v>
      </c>
      <c r="E1431" s="155">
        <v>44788</v>
      </c>
      <c r="F1431" s="178">
        <v>3950.1</v>
      </c>
      <c r="G1431" s="179">
        <f>Tabla19[[#This Row],[Importe]]-Tabla19[[#This Row],[Pagado]]</f>
        <v>0</v>
      </c>
      <c r="H1431" s="153" t="s">
        <v>10</v>
      </c>
    </row>
    <row r="1432" spans="1:8" x14ac:dyDescent="0.25">
      <c r="A1432" s="73">
        <v>44788</v>
      </c>
      <c r="B1432" s="74" t="s">
        <v>26141</v>
      </c>
      <c r="C1432" s="75" t="s">
        <v>75</v>
      </c>
      <c r="D1432" s="176">
        <v>10096.799999999999</v>
      </c>
      <c r="E1432" s="151">
        <v>44788</v>
      </c>
      <c r="F1432" s="176">
        <v>10096.799999999999</v>
      </c>
      <c r="G1432" s="177">
        <f>Tabla19[[#This Row],[Importe]]-Tabla19[[#This Row],[Pagado]]</f>
        <v>0</v>
      </c>
      <c r="H1432" s="75" t="s">
        <v>10</v>
      </c>
    </row>
    <row r="1433" spans="1:8" x14ac:dyDescent="0.25">
      <c r="A1433" s="148">
        <v>44788</v>
      </c>
      <c r="B1433" s="149" t="s">
        <v>26142</v>
      </c>
      <c r="C1433" s="153" t="s">
        <v>12</v>
      </c>
      <c r="D1433" s="178">
        <v>6704</v>
      </c>
      <c r="E1433" s="155">
        <v>44788</v>
      </c>
      <c r="F1433" s="178">
        <v>6704</v>
      </c>
      <c r="G1433" s="179">
        <f>Tabla19[[#This Row],[Importe]]-Tabla19[[#This Row],[Pagado]]</f>
        <v>0</v>
      </c>
      <c r="H1433" s="153" t="s">
        <v>10</v>
      </c>
    </row>
    <row r="1434" spans="1:8" x14ac:dyDescent="0.25">
      <c r="A1434" s="73">
        <v>44788</v>
      </c>
      <c r="B1434" s="74" t="s">
        <v>26143</v>
      </c>
      <c r="C1434" s="75" t="s">
        <v>12</v>
      </c>
      <c r="D1434" s="176">
        <v>4493.5</v>
      </c>
      <c r="E1434" s="151">
        <v>44788</v>
      </c>
      <c r="F1434" s="176">
        <v>4493.5</v>
      </c>
      <c r="G1434" s="177">
        <f>Tabla19[[#This Row],[Importe]]-Tabla19[[#This Row],[Pagado]]</f>
        <v>0</v>
      </c>
      <c r="H1434" s="75" t="s">
        <v>10</v>
      </c>
    </row>
    <row r="1435" spans="1:8" x14ac:dyDescent="0.25">
      <c r="A1435" s="148">
        <v>44788</v>
      </c>
      <c r="B1435" s="149" t="s">
        <v>26144</v>
      </c>
      <c r="C1435" s="153" t="s">
        <v>16</v>
      </c>
      <c r="D1435" s="178">
        <v>5451.8</v>
      </c>
      <c r="E1435" s="155">
        <v>44788</v>
      </c>
      <c r="F1435" s="178">
        <v>5451.8</v>
      </c>
      <c r="G1435" s="179">
        <f>Tabla19[[#This Row],[Importe]]-Tabla19[[#This Row],[Pagado]]</f>
        <v>0</v>
      </c>
      <c r="H1435" s="153" t="s">
        <v>10</v>
      </c>
    </row>
    <row r="1436" spans="1:8" x14ac:dyDescent="0.25">
      <c r="A1436" s="73">
        <v>44788</v>
      </c>
      <c r="B1436" s="74" t="s">
        <v>26145</v>
      </c>
      <c r="C1436" s="75" t="s">
        <v>17556</v>
      </c>
      <c r="D1436" s="176">
        <v>4284.6000000000004</v>
      </c>
      <c r="E1436" s="151">
        <v>44788</v>
      </c>
      <c r="F1436" s="176">
        <v>4284.6000000000004</v>
      </c>
      <c r="G1436" s="177">
        <f>Tabla19[[#This Row],[Importe]]-Tabla19[[#This Row],[Pagado]]</f>
        <v>0</v>
      </c>
      <c r="H1436" s="75" t="s">
        <v>10</v>
      </c>
    </row>
    <row r="1437" spans="1:8" x14ac:dyDescent="0.25">
      <c r="A1437" s="148">
        <v>44788</v>
      </c>
      <c r="B1437" s="149" t="s">
        <v>26146</v>
      </c>
      <c r="C1437" s="153" t="s">
        <v>137</v>
      </c>
      <c r="D1437" s="178">
        <v>3807.2</v>
      </c>
      <c r="E1437" s="155">
        <v>44788</v>
      </c>
      <c r="F1437" s="178">
        <v>3807.2</v>
      </c>
      <c r="G1437" s="179">
        <f>Tabla19[[#This Row],[Importe]]-Tabla19[[#This Row],[Pagado]]</f>
        <v>0</v>
      </c>
      <c r="H1437" s="153" t="s">
        <v>10</v>
      </c>
    </row>
    <row r="1438" spans="1:8" x14ac:dyDescent="0.25">
      <c r="A1438" s="73">
        <v>44788</v>
      </c>
      <c r="B1438" s="74" t="s">
        <v>26147</v>
      </c>
      <c r="C1438" s="75" t="s">
        <v>481</v>
      </c>
      <c r="D1438" s="176">
        <v>986</v>
      </c>
      <c r="E1438" s="151">
        <v>44788</v>
      </c>
      <c r="F1438" s="176">
        <v>986</v>
      </c>
      <c r="G1438" s="177">
        <f>Tabla19[[#This Row],[Importe]]-Tabla19[[#This Row],[Pagado]]</f>
        <v>0</v>
      </c>
      <c r="H1438" s="75" t="s">
        <v>10</v>
      </c>
    </row>
    <row r="1439" spans="1:8" x14ac:dyDescent="0.25">
      <c r="A1439" s="148">
        <v>44788</v>
      </c>
      <c r="B1439" s="149" t="s">
        <v>26148</v>
      </c>
      <c r="C1439" s="153" t="s">
        <v>212</v>
      </c>
      <c r="D1439" s="178">
        <v>44504.34</v>
      </c>
      <c r="E1439" s="155">
        <v>44791</v>
      </c>
      <c r="F1439" s="178">
        <v>44504.34</v>
      </c>
      <c r="G1439" s="179">
        <f>Tabla19[[#This Row],[Importe]]-Tabla19[[#This Row],[Pagado]]</f>
        <v>0</v>
      </c>
      <c r="H1439" s="153" t="s">
        <v>10</v>
      </c>
    </row>
    <row r="1440" spans="1:8" x14ac:dyDescent="0.25">
      <c r="A1440" s="73">
        <v>44788</v>
      </c>
      <c r="B1440" s="74" t="s">
        <v>26149</v>
      </c>
      <c r="C1440" s="75" t="s">
        <v>1187</v>
      </c>
      <c r="D1440" s="176">
        <v>2726.9</v>
      </c>
      <c r="E1440" s="151">
        <v>44788</v>
      </c>
      <c r="F1440" s="176">
        <v>2726.9</v>
      </c>
      <c r="G1440" s="177">
        <f>Tabla19[[#This Row],[Importe]]-Tabla19[[#This Row],[Pagado]]</f>
        <v>0</v>
      </c>
      <c r="H1440" s="75" t="s">
        <v>10</v>
      </c>
    </row>
    <row r="1441" spans="1:8" x14ac:dyDescent="0.25">
      <c r="A1441" s="148">
        <v>44788</v>
      </c>
      <c r="B1441" s="149" t="s">
        <v>26150</v>
      </c>
      <c r="C1441" s="153" t="s">
        <v>353</v>
      </c>
      <c r="D1441" s="178">
        <v>1747.9</v>
      </c>
      <c r="E1441" s="155">
        <v>44788</v>
      </c>
      <c r="F1441" s="178">
        <v>1747.9</v>
      </c>
      <c r="G1441" s="179">
        <f>Tabla19[[#This Row],[Importe]]-Tabla19[[#This Row],[Pagado]]</f>
        <v>0</v>
      </c>
      <c r="H1441" s="153" t="s">
        <v>10</v>
      </c>
    </row>
    <row r="1442" spans="1:8" x14ac:dyDescent="0.25">
      <c r="A1442" s="73">
        <v>44788</v>
      </c>
      <c r="B1442" s="74" t="s">
        <v>26151</v>
      </c>
      <c r="C1442" s="75" t="s">
        <v>206</v>
      </c>
      <c r="D1442" s="176">
        <v>30432.9</v>
      </c>
      <c r="E1442" s="151">
        <v>44791</v>
      </c>
      <c r="F1442" s="176">
        <v>30432.9</v>
      </c>
      <c r="G1442" s="177">
        <f>Tabla19[[#This Row],[Importe]]-Tabla19[[#This Row],[Pagado]]</f>
        <v>0</v>
      </c>
      <c r="H1442" s="75" t="s">
        <v>10</v>
      </c>
    </row>
    <row r="1443" spans="1:8" ht="31.5" x14ac:dyDescent="0.25">
      <c r="A1443" s="148">
        <v>44788</v>
      </c>
      <c r="B1443" s="149" t="s">
        <v>26152</v>
      </c>
      <c r="C1443" s="153" t="s">
        <v>22</v>
      </c>
      <c r="D1443" s="178">
        <v>33241.300000000003</v>
      </c>
      <c r="E1443" s="150" t="s">
        <v>26153</v>
      </c>
      <c r="F1443" s="178">
        <f>15000+18241.3</f>
        <v>33241.300000000003</v>
      </c>
      <c r="G1443" s="179">
        <f>Tabla19[[#This Row],[Importe]]-Tabla19[[#This Row],[Pagado]]</f>
        <v>0</v>
      </c>
      <c r="H1443" s="153" t="s">
        <v>10</v>
      </c>
    </row>
    <row r="1444" spans="1:8" x14ac:dyDescent="0.25">
      <c r="A1444" s="73">
        <v>44788</v>
      </c>
      <c r="B1444" s="74" t="s">
        <v>26154</v>
      </c>
      <c r="C1444" s="75" t="s">
        <v>11033</v>
      </c>
      <c r="D1444" s="176">
        <v>1848</v>
      </c>
      <c r="E1444" s="151">
        <v>44788</v>
      </c>
      <c r="F1444" s="176">
        <v>1848</v>
      </c>
      <c r="G1444" s="177">
        <f>Tabla19[[#This Row],[Importe]]-Tabla19[[#This Row],[Pagado]]</f>
        <v>0</v>
      </c>
      <c r="H1444" s="75" t="s">
        <v>10</v>
      </c>
    </row>
    <row r="1445" spans="1:8" x14ac:dyDescent="0.25">
      <c r="A1445" s="148">
        <v>44788</v>
      </c>
      <c r="B1445" s="149" t="s">
        <v>26155</v>
      </c>
      <c r="C1445" s="153" t="s">
        <v>196</v>
      </c>
      <c r="D1445" s="178">
        <v>76183.64</v>
      </c>
      <c r="E1445" s="155">
        <v>44792</v>
      </c>
      <c r="F1445" s="178">
        <v>76183.64</v>
      </c>
      <c r="G1445" s="179">
        <f>Tabla19[[#This Row],[Importe]]-Tabla19[[#This Row],[Pagado]]</f>
        <v>0</v>
      </c>
      <c r="H1445" s="153" t="s">
        <v>10</v>
      </c>
    </row>
    <row r="1446" spans="1:8" x14ac:dyDescent="0.25">
      <c r="A1446" s="73">
        <v>44788</v>
      </c>
      <c r="B1446" s="74" t="s">
        <v>26156</v>
      </c>
      <c r="C1446" s="75" t="s">
        <v>196</v>
      </c>
      <c r="D1446" s="176">
        <v>9526.5</v>
      </c>
      <c r="E1446" s="151">
        <v>44792</v>
      </c>
      <c r="F1446" s="176">
        <v>9526.5</v>
      </c>
      <c r="G1446" s="177">
        <f>Tabla19[[#This Row],[Importe]]-Tabla19[[#This Row],[Pagado]]</f>
        <v>0</v>
      </c>
      <c r="H1446" s="75" t="s">
        <v>10</v>
      </c>
    </row>
    <row r="1447" spans="1:8" x14ac:dyDescent="0.25">
      <c r="A1447" s="148">
        <v>44788</v>
      </c>
      <c r="B1447" s="149" t="s">
        <v>26157</v>
      </c>
      <c r="C1447" s="153" t="s">
        <v>133</v>
      </c>
      <c r="D1447" s="178">
        <v>20630.400000000001</v>
      </c>
      <c r="E1447" s="155">
        <v>44789</v>
      </c>
      <c r="F1447" s="178">
        <v>20630.400000000001</v>
      </c>
      <c r="G1447" s="179">
        <f>Tabla19[[#This Row],[Importe]]-Tabla19[[#This Row],[Pagado]]</f>
        <v>0</v>
      </c>
      <c r="H1447" s="153" t="s">
        <v>10</v>
      </c>
    </row>
    <row r="1448" spans="1:8" x14ac:dyDescent="0.25">
      <c r="A1448" s="73">
        <v>44788</v>
      </c>
      <c r="B1448" s="74" t="s">
        <v>26158</v>
      </c>
      <c r="C1448" s="75" t="s">
        <v>27</v>
      </c>
      <c r="D1448" s="176">
        <v>3668.2</v>
      </c>
      <c r="E1448" s="151">
        <v>44788</v>
      </c>
      <c r="F1448" s="176">
        <v>3668.2</v>
      </c>
      <c r="G1448" s="177">
        <f>Tabla19[[#This Row],[Importe]]-Tabla19[[#This Row],[Pagado]]</f>
        <v>0</v>
      </c>
      <c r="H1448" s="75" t="s">
        <v>10</v>
      </c>
    </row>
    <row r="1449" spans="1:8" x14ac:dyDescent="0.25">
      <c r="A1449" s="148">
        <v>44788</v>
      </c>
      <c r="B1449" s="149" t="s">
        <v>26159</v>
      </c>
      <c r="C1449" s="153" t="s">
        <v>226</v>
      </c>
      <c r="D1449" s="178">
        <v>13783.2</v>
      </c>
      <c r="E1449" s="155">
        <v>44788</v>
      </c>
      <c r="F1449" s="178">
        <v>13783.2</v>
      </c>
      <c r="G1449" s="179">
        <f>Tabla19[[#This Row],[Importe]]-Tabla19[[#This Row],[Pagado]]</f>
        <v>0</v>
      </c>
      <c r="H1449" s="153" t="s">
        <v>10</v>
      </c>
    </row>
    <row r="1450" spans="1:8" x14ac:dyDescent="0.25">
      <c r="A1450" s="73">
        <v>44788</v>
      </c>
      <c r="B1450" s="74" t="s">
        <v>26160</v>
      </c>
      <c r="C1450" s="75" t="s">
        <v>167</v>
      </c>
      <c r="D1450" s="176">
        <v>115696</v>
      </c>
      <c r="E1450" s="151">
        <v>44788</v>
      </c>
      <c r="F1450" s="176">
        <v>115696</v>
      </c>
      <c r="G1450" s="177">
        <f>Tabla19[[#This Row],[Importe]]-Tabla19[[#This Row],[Pagado]]</f>
        <v>0</v>
      </c>
      <c r="H1450" s="75" t="s">
        <v>10</v>
      </c>
    </row>
    <row r="1451" spans="1:8" x14ac:dyDescent="0.25">
      <c r="A1451" s="148">
        <v>44788</v>
      </c>
      <c r="B1451" s="149" t="s">
        <v>26161</v>
      </c>
      <c r="C1451" s="153" t="s">
        <v>51</v>
      </c>
      <c r="D1451" s="178">
        <v>673.2</v>
      </c>
      <c r="E1451" s="155">
        <v>44788</v>
      </c>
      <c r="F1451" s="178">
        <v>673.2</v>
      </c>
      <c r="G1451" s="179">
        <f>Tabla19[[#This Row],[Importe]]-Tabla19[[#This Row],[Pagado]]</f>
        <v>0</v>
      </c>
      <c r="H1451" s="153" t="s">
        <v>10</v>
      </c>
    </row>
    <row r="1452" spans="1:8" x14ac:dyDescent="0.25">
      <c r="A1452" s="73">
        <v>44788</v>
      </c>
      <c r="B1452" s="74" t="s">
        <v>26162</v>
      </c>
      <c r="C1452" s="75" t="s">
        <v>45</v>
      </c>
      <c r="D1452" s="176">
        <v>10957.2</v>
      </c>
      <c r="E1452" s="151">
        <v>44788</v>
      </c>
      <c r="F1452" s="176">
        <v>10957.2</v>
      </c>
      <c r="G1452" s="177">
        <f>Tabla19[[#This Row],[Importe]]-Tabla19[[#This Row],[Pagado]]</f>
        <v>0</v>
      </c>
      <c r="H1452" s="75" t="s">
        <v>10</v>
      </c>
    </row>
    <row r="1453" spans="1:8" x14ac:dyDescent="0.25">
      <c r="A1453" s="148">
        <v>44788</v>
      </c>
      <c r="B1453" s="149" t="s">
        <v>26163</v>
      </c>
      <c r="C1453" s="153" t="s">
        <v>173</v>
      </c>
      <c r="D1453" s="178">
        <v>43972</v>
      </c>
      <c r="E1453" s="155">
        <v>44789</v>
      </c>
      <c r="F1453" s="178">
        <v>43972</v>
      </c>
      <c r="G1453" s="179">
        <f>Tabla19[[#This Row],[Importe]]-Tabla19[[#This Row],[Pagado]]</f>
        <v>0</v>
      </c>
      <c r="H1453" s="153" t="s">
        <v>10</v>
      </c>
    </row>
    <row r="1454" spans="1:8" x14ac:dyDescent="0.25">
      <c r="A1454" s="73">
        <v>44788</v>
      </c>
      <c r="B1454" s="74" t="s">
        <v>26164</v>
      </c>
      <c r="C1454" s="75" t="s">
        <v>179</v>
      </c>
      <c r="D1454" s="176">
        <v>2016</v>
      </c>
      <c r="E1454" s="151">
        <v>44788</v>
      </c>
      <c r="F1454" s="176">
        <v>2016</v>
      </c>
      <c r="G1454" s="177">
        <f>Tabla19[[#This Row],[Importe]]-Tabla19[[#This Row],[Pagado]]</f>
        <v>0</v>
      </c>
      <c r="H1454" s="75" t="s">
        <v>10</v>
      </c>
    </row>
    <row r="1455" spans="1:8" x14ac:dyDescent="0.25">
      <c r="A1455" s="148">
        <v>44788</v>
      </c>
      <c r="B1455" s="149" t="s">
        <v>26165</v>
      </c>
      <c r="C1455" s="153" t="s">
        <v>131</v>
      </c>
      <c r="D1455" s="178">
        <v>3960</v>
      </c>
      <c r="E1455" s="155">
        <v>44788</v>
      </c>
      <c r="F1455" s="178">
        <v>3960</v>
      </c>
      <c r="G1455" s="179">
        <f>Tabla19[[#This Row],[Importe]]-Tabla19[[#This Row],[Pagado]]</f>
        <v>0</v>
      </c>
      <c r="H1455" s="153" t="s">
        <v>10</v>
      </c>
    </row>
    <row r="1456" spans="1:8" x14ac:dyDescent="0.25">
      <c r="A1456" s="73">
        <v>44788</v>
      </c>
      <c r="B1456" s="74" t="s">
        <v>26166</v>
      </c>
      <c r="C1456" s="75" t="s">
        <v>1174</v>
      </c>
      <c r="D1456" s="176">
        <v>17609.2</v>
      </c>
      <c r="E1456" s="151">
        <v>44788</v>
      </c>
      <c r="F1456" s="176">
        <v>17609.2</v>
      </c>
      <c r="G1456" s="177">
        <f>Tabla19[[#This Row],[Importe]]-Tabla19[[#This Row],[Pagado]]</f>
        <v>0</v>
      </c>
      <c r="H1456" s="75" t="s">
        <v>10</v>
      </c>
    </row>
    <row r="1457" spans="1:8" ht="31.5" x14ac:dyDescent="0.25">
      <c r="A1457" s="148">
        <v>44788</v>
      </c>
      <c r="B1457" s="149" t="s">
        <v>26167</v>
      </c>
      <c r="C1457" s="153" t="s">
        <v>142</v>
      </c>
      <c r="D1457" s="178">
        <v>120814.64</v>
      </c>
      <c r="E1457" s="150" t="s">
        <v>31542</v>
      </c>
      <c r="F1457" s="178">
        <f>76948.57+43866.07</f>
        <v>120814.64000000001</v>
      </c>
      <c r="G1457" s="179">
        <f>Tabla19[[#This Row],[Importe]]-Tabla19[[#This Row],[Pagado]]</f>
        <v>0</v>
      </c>
      <c r="H1457" s="153" t="s">
        <v>10</v>
      </c>
    </row>
    <row r="1458" spans="1:8" x14ac:dyDescent="0.25">
      <c r="A1458" s="73">
        <v>44788</v>
      </c>
      <c r="B1458" s="74" t="s">
        <v>26168</v>
      </c>
      <c r="C1458" s="75" t="s">
        <v>10984</v>
      </c>
      <c r="D1458" s="176">
        <v>39000</v>
      </c>
      <c r="E1458" s="151">
        <v>44788</v>
      </c>
      <c r="F1458" s="176">
        <v>39000</v>
      </c>
      <c r="G1458" s="177">
        <f>Tabla19[[#This Row],[Importe]]-Tabla19[[#This Row],[Pagado]]</f>
        <v>0</v>
      </c>
      <c r="H1458" s="75" t="s">
        <v>10</v>
      </c>
    </row>
    <row r="1459" spans="1:8" x14ac:dyDescent="0.25">
      <c r="A1459" s="148">
        <v>44788</v>
      </c>
      <c r="B1459" s="149" t="s">
        <v>26169</v>
      </c>
      <c r="C1459" s="153" t="s">
        <v>14</v>
      </c>
      <c r="D1459" s="178">
        <v>25735.200000000001</v>
      </c>
      <c r="E1459" s="155">
        <v>44788</v>
      </c>
      <c r="F1459" s="178">
        <v>25735.200000000001</v>
      </c>
      <c r="G1459" s="179">
        <f>Tabla19[[#This Row],[Importe]]-Tabla19[[#This Row],[Pagado]]</f>
        <v>0</v>
      </c>
      <c r="H1459" s="153" t="s">
        <v>10</v>
      </c>
    </row>
    <row r="1460" spans="1:8" x14ac:dyDescent="0.25">
      <c r="A1460" s="73">
        <v>44788</v>
      </c>
      <c r="B1460" s="74" t="s">
        <v>26170</v>
      </c>
      <c r="C1460" s="75" t="s">
        <v>56</v>
      </c>
      <c r="D1460" s="176">
        <v>9109.7999999999993</v>
      </c>
      <c r="E1460" s="151">
        <v>44788</v>
      </c>
      <c r="F1460" s="176">
        <v>9109.7999999999993</v>
      </c>
      <c r="G1460" s="177">
        <f>Tabla19[[#This Row],[Importe]]-Tabla19[[#This Row],[Pagado]]</f>
        <v>0</v>
      </c>
      <c r="H1460" s="75" t="s">
        <v>10</v>
      </c>
    </row>
    <row r="1461" spans="1:8" x14ac:dyDescent="0.25">
      <c r="A1461" s="148">
        <v>44788</v>
      </c>
      <c r="B1461" s="149" t="s">
        <v>26171</v>
      </c>
      <c r="C1461" s="153" t="s">
        <v>3971</v>
      </c>
      <c r="D1461" s="178">
        <v>6327</v>
      </c>
      <c r="E1461" s="155">
        <v>44788</v>
      </c>
      <c r="F1461" s="178">
        <v>6327</v>
      </c>
      <c r="G1461" s="179">
        <f>Tabla19[[#This Row],[Importe]]-Tabla19[[#This Row],[Pagado]]</f>
        <v>0</v>
      </c>
      <c r="H1461" s="153" t="s">
        <v>10</v>
      </c>
    </row>
    <row r="1462" spans="1:8" x14ac:dyDescent="0.25">
      <c r="A1462" s="73">
        <v>44788</v>
      </c>
      <c r="B1462" s="74" t="s">
        <v>26172</v>
      </c>
      <c r="C1462" s="75" t="s">
        <v>359</v>
      </c>
      <c r="D1462" s="176">
        <v>2277.6999999999998</v>
      </c>
      <c r="E1462" s="151">
        <v>44788</v>
      </c>
      <c r="F1462" s="176">
        <v>2277.6999999999998</v>
      </c>
      <c r="G1462" s="177">
        <f>Tabla19[[#This Row],[Importe]]-Tabla19[[#This Row],[Pagado]]</f>
        <v>0</v>
      </c>
      <c r="H1462" s="75" t="s">
        <v>10</v>
      </c>
    </row>
    <row r="1463" spans="1:8" x14ac:dyDescent="0.25">
      <c r="A1463" s="148">
        <v>44788</v>
      </c>
      <c r="B1463" s="149" t="s">
        <v>26173</v>
      </c>
      <c r="C1463" s="153" t="s">
        <v>181</v>
      </c>
      <c r="D1463" s="178">
        <v>13054.6</v>
      </c>
      <c r="E1463" s="155">
        <v>44788</v>
      </c>
      <c r="F1463" s="178">
        <v>13054.6</v>
      </c>
      <c r="G1463" s="179">
        <f>Tabla19[[#This Row],[Importe]]-Tabla19[[#This Row],[Pagado]]</f>
        <v>0</v>
      </c>
      <c r="H1463" s="153" t="s">
        <v>10</v>
      </c>
    </row>
    <row r="1464" spans="1:8" x14ac:dyDescent="0.25">
      <c r="A1464" s="73">
        <v>44788</v>
      </c>
      <c r="B1464" s="74" t="s">
        <v>26174</v>
      </c>
      <c r="C1464" s="75" t="s">
        <v>181</v>
      </c>
      <c r="D1464" s="176">
        <v>550.4</v>
      </c>
      <c r="E1464" s="151">
        <v>44788</v>
      </c>
      <c r="F1464" s="176">
        <v>550.4</v>
      </c>
      <c r="G1464" s="177">
        <f>Tabla19[[#This Row],[Importe]]-Tabla19[[#This Row],[Pagado]]</f>
        <v>0</v>
      </c>
      <c r="H1464" s="75" t="s">
        <v>10</v>
      </c>
    </row>
    <row r="1465" spans="1:8" x14ac:dyDescent="0.25">
      <c r="A1465" s="148">
        <v>44788</v>
      </c>
      <c r="B1465" s="149" t="s">
        <v>26175</v>
      </c>
      <c r="C1465" s="153" t="s">
        <v>426</v>
      </c>
      <c r="D1465" s="178">
        <v>10302</v>
      </c>
      <c r="E1465" s="155">
        <v>44788</v>
      </c>
      <c r="F1465" s="178">
        <v>10302</v>
      </c>
      <c r="G1465" s="179">
        <f>Tabla19[[#This Row],[Importe]]-Tabla19[[#This Row],[Pagado]]</f>
        <v>0</v>
      </c>
      <c r="H1465" s="153" t="s">
        <v>10</v>
      </c>
    </row>
    <row r="1466" spans="1:8" x14ac:dyDescent="0.25">
      <c r="A1466" s="73">
        <v>44788</v>
      </c>
      <c r="B1466" s="74" t="s">
        <v>26176</v>
      </c>
      <c r="C1466" s="75" t="s">
        <v>12</v>
      </c>
      <c r="D1466" s="176">
        <v>383.5</v>
      </c>
      <c r="E1466" s="151">
        <v>44788</v>
      </c>
      <c r="F1466" s="176">
        <v>383.5</v>
      </c>
      <c r="G1466" s="177">
        <f>Tabla19[[#This Row],[Importe]]-Tabla19[[#This Row],[Pagado]]</f>
        <v>0</v>
      </c>
      <c r="H1466" s="75" t="s">
        <v>10</v>
      </c>
    </row>
    <row r="1467" spans="1:8" x14ac:dyDescent="0.25">
      <c r="A1467" s="148">
        <v>44788</v>
      </c>
      <c r="B1467" s="149" t="s">
        <v>26177</v>
      </c>
      <c r="C1467" s="153" t="s">
        <v>222</v>
      </c>
      <c r="D1467" s="178">
        <v>14427.2</v>
      </c>
      <c r="E1467" s="155">
        <v>44788</v>
      </c>
      <c r="F1467" s="178">
        <v>14427.2</v>
      </c>
      <c r="G1467" s="179">
        <f>Tabla19[[#This Row],[Importe]]-Tabla19[[#This Row],[Pagado]]</f>
        <v>0</v>
      </c>
      <c r="H1467" s="153" t="s">
        <v>10</v>
      </c>
    </row>
    <row r="1468" spans="1:8" x14ac:dyDescent="0.25">
      <c r="A1468" s="73">
        <v>44788</v>
      </c>
      <c r="B1468" s="74" t="s">
        <v>26178</v>
      </c>
      <c r="C1468" s="75" t="s">
        <v>175</v>
      </c>
      <c r="D1468" s="176">
        <v>16131</v>
      </c>
      <c r="E1468" s="151">
        <v>44788</v>
      </c>
      <c r="F1468" s="176">
        <v>16131</v>
      </c>
      <c r="G1468" s="177">
        <f>Tabla19[[#This Row],[Importe]]-Tabla19[[#This Row],[Pagado]]</f>
        <v>0</v>
      </c>
      <c r="H1468" s="75" t="s">
        <v>10</v>
      </c>
    </row>
    <row r="1469" spans="1:8" x14ac:dyDescent="0.25">
      <c r="A1469" s="148">
        <v>44788</v>
      </c>
      <c r="B1469" s="149" t="s">
        <v>26179</v>
      </c>
      <c r="C1469" s="153" t="s">
        <v>25431</v>
      </c>
      <c r="D1469" s="178">
        <v>0</v>
      </c>
      <c r="E1469" s="158" t="s">
        <v>189</v>
      </c>
      <c r="F1469" s="178">
        <v>0</v>
      </c>
      <c r="G1469" s="179">
        <f>Tabla19[[#This Row],[Importe]]-Tabla19[[#This Row],[Pagado]]</f>
        <v>0</v>
      </c>
      <c r="H1469" s="159" t="s">
        <v>26180</v>
      </c>
    </row>
    <row r="1470" spans="1:8" x14ac:dyDescent="0.25">
      <c r="A1470" s="73">
        <v>44788</v>
      </c>
      <c r="B1470" s="74" t="s">
        <v>26181</v>
      </c>
      <c r="C1470" s="75" t="s">
        <v>442</v>
      </c>
      <c r="D1470" s="176">
        <v>8290.7999999999993</v>
      </c>
      <c r="E1470" s="151">
        <v>44788</v>
      </c>
      <c r="F1470" s="176">
        <v>8290.7999999999993</v>
      </c>
      <c r="G1470" s="177">
        <f>Tabla19[[#This Row],[Importe]]-Tabla19[[#This Row],[Pagado]]</f>
        <v>0</v>
      </c>
      <c r="H1470" s="75" t="s">
        <v>10</v>
      </c>
    </row>
    <row r="1471" spans="1:8" x14ac:dyDescent="0.25">
      <c r="A1471" s="148">
        <v>44788</v>
      </c>
      <c r="B1471" s="149" t="s">
        <v>26182</v>
      </c>
      <c r="C1471" s="153" t="s">
        <v>144</v>
      </c>
      <c r="D1471" s="178">
        <v>2934</v>
      </c>
      <c r="E1471" s="155">
        <v>44789</v>
      </c>
      <c r="F1471" s="178">
        <v>2934</v>
      </c>
      <c r="G1471" s="179">
        <f>Tabla19[[#This Row],[Importe]]-Tabla19[[#This Row],[Pagado]]</f>
        <v>0</v>
      </c>
      <c r="H1471" s="153" t="s">
        <v>10</v>
      </c>
    </row>
    <row r="1472" spans="1:8" x14ac:dyDescent="0.25">
      <c r="A1472" s="73">
        <v>44788</v>
      </c>
      <c r="B1472" s="74" t="s">
        <v>26183</v>
      </c>
      <c r="C1472" s="75" t="s">
        <v>1378</v>
      </c>
      <c r="D1472" s="176">
        <v>81324</v>
      </c>
      <c r="E1472" s="151">
        <v>44789</v>
      </c>
      <c r="F1472" s="176">
        <v>81324</v>
      </c>
      <c r="G1472" s="177">
        <f>Tabla19[[#This Row],[Importe]]-Tabla19[[#This Row],[Pagado]]</f>
        <v>0</v>
      </c>
      <c r="H1472" s="75" t="s">
        <v>10</v>
      </c>
    </row>
    <row r="1473" spans="1:8" x14ac:dyDescent="0.25">
      <c r="A1473" s="148">
        <v>44788</v>
      </c>
      <c r="B1473" s="149" t="s">
        <v>26184</v>
      </c>
      <c r="C1473" s="153" t="s">
        <v>146</v>
      </c>
      <c r="D1473" s="178">
        <v>4618.2</v>
      </c>
      <c r="E1473" s="155">
        <v>44789</v>
      </c>
      <c r="F1473" s="178">
        <v>4618.2</v>
      </c>
      <c r="G1473" s="179">
        <f>Tabla19[[#This Row],[Importe]]-Tabla19[[#This Row],[Pagado]]</f>
        <v>0</v>
      </c>
      <c r="H1473" s="153" t="s">
        <v>10</v>
      </c>
    </row>
    <row r="1474" spans="1:8" x14ac:dyDescent="0.25">
      <c r="A1474" s="73">
        <v>44788</v>
      </c>
      <c r="B1474" s="74" t="s">
        <v>26185</v>
      </c>
      <c r="C1474" s="75" t="s">
        <v>240</v>
      </c>
      <c r="D1474" s="176">
        <v>13752</v>
      </c>
      <c r="E1474" s="151">
        <v>44788</v>
      </c>
      <c r="F1474" s="176">
        <v>13752</v>
      </c>
      <c r="G1474" s="177">
        <f>Tabla19[[#This Row],[Importe]]-Tabla19[[#This Row],[Pagado]]</f>
        <v>0</v>
      </c>
      <c r="H1474" s="75" t="s">
        <v>10</v>
      </c>
    </row>
    <row r="1475" spans="1:8" x14ac:dyDescent="0.25">
      <c r="A1475" s="148">
        <v>44788</v>
      </c>
      <c r="B1475" s="149" t="s">
        <v>26186</v>
      </c>
      <c r="C1475" s="153" t="s">
        <v>107</v>
      </c>
      <c r="D1475" s="178">
        <v>16832.5</v>
      </c>
      <c r="E1475" s="155">
        <v>44789</v>
      </c>
      <c r="F1475" s="178">
        <v>16832.5</v>
      </c>
      <c r="G1475" s="179">
        <f>Tabla19[[#This Row],[Importe]]-Tabla19[[#This Row],[Pagado]]</f>
        <v>0</v>
      </c>
      <c r="H1475" s="153" t="s">
        <v>10</v>
      </c>
    </row>
    <row r="1476" spans="1:8" x14ac:dyDescent="0.25">
      <c r="A1476" s="73">
        <v>44788</v>
      </c>
      <c r="B1476" s="74" t="s">
        <v>26187</v>
      </c>
      <c r="C1476" s="75" t="s">
        <v>140</v>
      </c>
      <c r="D1476" s="176">
        <v>4185</v>
      </c>
      <c r="E1476" s="151">
        <v>44789</v>
      </c>
      <c r="F1476" s="176">
        <v>4185</v>
      </c>
      <c r="G1476" s="177">
        <f>Tabla19[[#This Row],[Importe]]-Tabla19[[#This Row],[Pagado]]</f>
        <v>0</v>
      </c>
      <c r="H1476" s="75" t="s">
        <v>10</v>
      </c>
    </row>
    <row r="1477" spans="1:8" x14ac:dyDescent="0.25">
      <c r="A1477" s="148">
        <v>44788</v>
      </c>
      <c r="B1477" s="149" t="s">
        <v>26188</v>
      </c>
      <c r="C1477" s="153" t="s">
        <v>357</v>
      </c>
      <c r="D1477" s="178">
        <v>1698</v>
      </c>
      <c r="E1477" s="155">
        <v>44789</v>
      </c>
      <c r="F1477" s="178">
        <v>1698</v>
      </c>
      <c r="G1477" s="179">
        <f>Tabla19[[#This Row],[Importe]]-Tabla19[[#This Row],[Pagado]]</f>
        <v>0</v>
      </c>
      <c r="H1477" s="153" t="s">
        <v>10</v>
      </c>
    </row>
    <row r="1478" spans="1:8" x14ac:dyDescent="0.25">
      <c r="A1478" s="73">
        <v>44788</v>
      </c>
      <c r="B1478" s="74" t="s">
        <v>26189</v>
      </c>
      <c r="C1478" s="75" t="s">
        <v>333</v>
      </c>
      <c r="D1478" s="176">
        <v>1537.2</v>
      </c>
      <c r="E1478" s="151">
        <v>44789</v>
      </c>
      <c r="F1478" s="176">
        <v>1537.2</v>
      </c>
      <c r="G1478" s="177">
        <f>Tabla19[[#This Row],[Importe]]-Tabla19[[#This Row],[Pagado]]</f>
        <v>0</v>
      </c>
      <c r="H1478" s="75" t="s">
        <v>10</v>
      </c>
    </row>
    <row r="1479" spans="1:8" x14ac:dyDescent="0.25">
      <c r="A1479" s="148">
        <v>44788</v>
      </c>
      <c r="B1479" s="149" t="s">
        <v>26190</v>
      </c>
      <c r="C1479" s="153" t="s">
        <v>214</v>
      </c>
      <c r="D1479" s="178">
        <v>12821</v>
      </c>
      <c r="E1479" s="155">
        <v>44789</v>
      </c>
      <c r="F1479" s="178">
        <v>12821</v>
      </c>
      <c r="G1479" s="179">
        <f>Tabla19[[#This Row],[Importe]]-Tabla19[[#This Row],[Pagado]]</f>
        <v>0</v>
      </c>
      <c r="H1479" s="153" t="s">
        <v>10</v>
      </c>
    </row>
    <row r="1480" spans="1:8" x14ac:dyDescent="0.25">
      <c r="A1480" s="73">
        <v>44788</v>
      </c>
      <c r="B1480" s="74" t="s">
        <v>26191</v>
      </c>
      <c r="C1480" s="75" t="s">
        <v>107</v>
      </c>
      <c r="D1480" s="176">
        <v>442.8</v>
      </c>
      <c r="E1480" s="151">
        <v>44789</v>
      </c>
      <c r="F1480" s="176">
        <v>442.8</v>
      </c>
      <c r="G1480" s="177">
        <f>Tabla19[[#This Row],[Importe]]-Tabla19[[#This Row],[Pagado]]</f>
        <v>0</v>
      </c>
      <c r="H1480" s="75" t="s">
        <v>10</v>
      </c>
    </row>
    <row r="1481" spans="1:8" x14ac:dyDescent="0.25">
      <c r="A1481" s="148">
        <v>44788</v>
      </c>
      <c r="B1481" s="149" t="s">
        <v>26192</v>
      </c>
      <c r="C1481" s="153" t="s">
        <v>129</v>
      </c>
      <c r="D1481" s="178">
        <v>2658.8</v>
      </c>
      <c r="E1481" s="155">
        <v>44789</v>
      </c>
      <c r="F1481" s="178">
        <v>2658.8</v>
      </c>
      <c r="G1481" s="179">
        <f>Tabla19[[#This Row],[Importe]]-Tabla19[[#This Row],[Pagado]]</f>
        <v>0</v>
      </c>
      <c r="H1481" s="153" t="s">
        <v>10</v>
      </c>
    </row>
    <row r="1482" spans="1:8" x14ac:dyDescent="0.25">
      <c r="A1482" s="73">
        <v>44788</v>
      </c>
      <c r="B1482" s="74" t="s">
        <v>26193</v>
      </c>
      <c r="C1482" s="75" t="s">
        <v>224</v>
      </c>
      <c r="D1482" s="176">
        <v>13632</v>
      </c>
      <c r="E1482" s="151">
        <v>44802</v>
      </c>
      <c r="F1482" s="176">
        <v>13632</v>
      </c>
      <c r="G1482" s="177">
        <f>Tabla19[[#This Row],[Importe]]-Tabla19[[#This Row],[Pagado]]</f>
        <v>0</v>
      </c>
      <c r="H1482" s="75" t="s">
        <v>10</v>
      </c>
    </row>
    <row r="1483" spans="1:8" x14ac:dyDescent="0.25">
      <c r="A1483" s="148">
        <v>44788</v>
      </c>
      <c r="B1483" s="149" t="s">
        <v>26194</v>
      </c>
      <c r="C1483" s="153" t="s">
        <v>291</v>
      </c>
      <c r="D1483" s="178">
        <v>3144</v>
      </c>
      <c r="E1483" s="155">
        <v>44789</v>
      </c>
      <c r="F1483" s="178">
        <v>3144</v>
      </c>
      <c r="G1483" s="179">
        <f>Tabla19[[#This Row],[Importe]]-Tabla19[[#This Row],[Pagado]]</f>
        <v>0</v>
      </c>
      <c r="H1483" s="153" t="s">
        <v>10</v>
      </c>
    </row>
    <row r="1484" spans="1:8" x14ac:dyDescent="0.25">
      <c r="A1484" s="73">
        <v>44788</v>
      </c>
      <c r="B1484" s="74" t="s">
        <v>26195</v>
      </c>
      <c r="C1484" s="75" t="s">
        <v>127</v>
      </c>
      <c r="D1484" s="176">
        <v>5713.8</v>
      </c>
      <c r="E1484" s="151">
        <v>44789</v>
      </c>
      <c r="F1484" s="176">
        <v>5713.8</v>
      </c>
      <c r="G1484" s="177">
        <f>Tabla19[[#This Row],[Importe]]-Tabla19[[#This Row],[Pagado]]</f>
        <v>0</v>
      </c>
      <c r="H1484" s="75" t="s">
        <v>10</v>
      </c>
    </row>
    <row r="1485" spans="1:8" x14ac:dyDescent="0.25">
      <c r="A1485" s="148">
        <v>44788</v>
      </c>
      <c r="B1485" s="149" t="s">
        <v>26196</v>
      </c>
      <c r="C1485" s="153" t="s">
        <v>312</v>
      </c>
      <c r="D1485" s="178">
        <v>1415.2</v>
      </c>
      <c r="E1485" s="155">
        <v>44788</v>
      </c>
      <c r="F1485" s="178">
        <v>1415.2</v>
      </c>
      <c r="G1485" s="179">
        <f>Tabla19[[#This Row],[Importe]]-Tabla19[[#This Row],[Pagado]]</f>
        <v>0</v>
      </c>
      <c r="H1485" s="153" t="s">
        <v>10</v>
      </c>
    </row>
    <row r="1486" spans="1:8" x14ac:dyDescent="0.25">
      <c r="A1486" s="73">
        <v>44788</v>
      </c>
      <c r="B1486" s="74" t="s">
        <v>26197</v>
      </c>
      <c r="C1486" s="75" t="s">
        <v>289</v>
      </c>
      <c r="D1486" s="176">
        <v>15456</v>
      </c>
      <c r="E1486" s="151">
        <v>44788</v>
      </c>
      <c r="F1486" s="176">
        <v>15456</v>
      </c>
      <c r="G1486" s="177">
        <f>Tabla19[[#This Row],[Importe]]-Tabla19[[#This Row],[Pagado]]</f>
        <v>0</v>
      </c>
      <c r="H1486" s="75" t="s">
        <v>10</v>
      </c>
    </row>
    <row r="1487" spans="1:8" x14ac:dyDescent="0.25">
      <c r="A1487" s="148">
        <v>44788</v>
      </c>
      <c r="B1487" s="149" t="s">
        <v>26198</v>
      </c>
      <c r="C1487" s="153" t="s">
        <v>414</v>
      </c>
      <c r="D1487" s="178">
        <v>25620</v>
      </c>
      <c r="E1487" s="155">
        <v>44791</v>
      </c>
      <c r="F1487" s="178">
        <v>25620</v>
      </c>
      <c r="G1487" s="179">
        <f>Tabla19[[#This Row],[Importe]]-Tabla19[[#This Row],[Pagado]]</f>
        <v>0</v>
      </c>
      <c r="H1487" s="153" t="s">
        <v>10</v>
      </c>
    </row>
    <row r="1488" spans="1:8" ht="31.5" x14ac:dyDescent="0.25">
      <c r="A1488" s="73">
        <v>44788</v>
      </c>
      <c r="B1488" s="74" t="s">
        <v>26199</v>
      </c>
      <c r="C1488" s="181" t="s">
        <v>6106</v>
      </c>
      <c r="D1488" s="176">
        <v>0</v>
      </c>
      <c r="E1488" s="157" t="s">
        <v>189</v>
      </c>
      <c r="F1488" s="176">
        <v>0</v>
      </c>
      <c r="G1488" s="177">
        <f>Tabla19[[#This Row],[Importe]]-Tabla19[[#This Row],[Pagado]]</f>
        <v>0</v>
      </c>
      <c r="H1488" s="161" t="s">
        <v>26200</v>
      </c>
    </row>
    <row r="1489" spans="1:8" x14ac:dyDescent="0.25">
      <c r="A1489" s="148">
        <v>44788</v>
      </c>
      <c r="B1489" s="149" t="s">
        <v>26201</v>
      </c>
      <c r="C1489" s="153" t="s">
        <v>698</v>
      </c>
      <c r="D1489" s="178">
        <v>7459.6</v>
      </c>
      <c r="E1489" s="155">
        <v>44788</v>
      </c>
      <c r="F1489" s="178">
        <v>7459.6</v>
      </c>
      <c r="G1489" s="179">
        <f>Tabla19[[#This Row],[Importe]]-Tabla19[[#This Row],[Pagado]]</f>
        <v>0</v>
      </c>
      <c r="H1489" s="153" t="s">
        <v>10</v>
      </c>
    </row>
    <row r="1490" spans="1:8" x14ac:dyDescent="0.25">
      <c r="A1490" s="73">
        <v>44788</v>
      </c>
      <c r="B1490" s="74" t="s">
        <v>26202</v>
      </c>
      <c r="C1490" s="75" t="s">
        <v>67</v>
      </c>
      <c r="D1490" s="176">
        <v>2855.2</v>
      </c>
      <c r="E1490" s="151">
        <v>44788</v>
      </c>
      <c r="F1490" s="176">
        <v>2855.2</v>
      </c>
      <c r="G1490" s="177">
        <f>Tabla19[[#This Row],[Importe]]-Tabla19[[#This Row],[Pagado]]</f>
        <v>0</v>
      </c>
      <c r="H1490" s="75" t="s">
        <v>10</v>
      </c>
    </row>
    <row r="1491" spans="1:8" x14ac:dyDescent="0.25">
      <c r="A1491" s="148">
        <v>44788</v>
      </c>
      <c r="B1491" s="149" t="s">
        <v>26203</v>
      </c>
      <c r="C1491" s="153" t="s">
        <v>419</v>
      </c>
      <c r="D1491" s="178">
        <v>8226.6</v>
      </c>
      <c r="E1491" s="155">
        <v>44788</v>
      </c>
      <c r="F1491" s="178">
        <v>8226.6</v>
      </c>
      <c r="G1491" s="179">
        <f>Tabla19[[#This Row],[Importe]]-Tabla19[[#This Row],[Pagado]]</f>
        <v>0</v>
      </c>
      <c r="H1491" s="153" t="s">
        <v>10</v>
      </c>
    </row>
    <row r="1492" spans="1:8" x14ac:dyDescent="0.25">
      <c r="A1492" s="73">
        <v>44788</v>
      </c>
      <c r="B1492" s="74" t="s">
        <v>26204</v>
      </c>
      <c r="C1492" s="75" t="s">
        <v>214</v>
      </c>
      <c r="D1492" s="176">
        <v>1419.6</v>
      </c>
      <c r="E1492" s="151">
        <v>44788</v>
      </c>
      <c r="F1492" s="176">
        <v>1419.6</v>
      </c>
      <c r="G1492" s="177">
        <f>Tabla19[[#This Row],[Importe]]-Tabla19[[#This Row],[Pagado]]</f>
        <v>0</v>
      </c>
      <c r="H1492" s="75" t="s">
        <v>10</v>
      </c>
    </row>
    <row r="1493" spans="1:8" x14ac:dyDescent="0.25">
      <c r="A1493" s="148">
        <v>44788</v>
      </c>
      <c r="B1493" s="149" t="s">
        <v>26205</v>
      </c>
      <c r="C1493" s="153" t="s">
        <v>69</v>
      </c>
      <c r="D1493" s="178">
        <v>1360.8</v>
      </c>
      <c r="E1493" s="155">
        <v>44788</v>
      </c>
      <c r="F1493" s="178">
        <v>1360.8</v>
      </c>
      <c r="G1493" s="179">
        <f>Tabla19[[#This Row],[Importe]]-Tabla19[[#This Row],[Pagado]]</f>
        <v>0</v>
      </c>
      <c r="H1493" s="153" t="s">
        <v>10</v>
      </c>
    </row>
    <row r="1494" spans="1:8" x14ac:dyDescent="0.25">
      <c r="A1494" s="73">
        <v>44788</v>
      </c>
      <c r="B1494" s="74" t="s">
        <v>26206</v>
      </c>
      <c r="C1494" s="75" t="s">
        <v>9</v>
      </c>
      <c r="D1494" s="176">
        <v>1467.9</v>
      </c>
      <c r="E1494" s="151">
        <v>44788</v>
      </c>
      <c r="F1494" s="176">
        <v>1467.9</v>
      </c>
      <c r="G1494" s="177">
        <f>Tabla19[[#This Row],[Importe]]-Tabla19[[#This Row],[Pagado]]</f>
        <v>0</v>
      </c>
      <c r="H1494" s="75" t="s">
        <v>10</v>
      </c>
    </row>
    <row r="1495" spans="1:8" x14ac:dyDescent="0.25">
      <c r="A1495" s="148">
        <v>44788</v>
      </c>
      <c r="B1495" s="149" t="s">
        <v>26207</v>
      </c>
      <c r="C1495" s="153" t="s">
        <v>421</v>
      </c>
      <c r="D1495" s="178">
        <v>6925.9</v>
      </c>
      <c r="E1495" s="155">
        <v>44788</v>
      </c>
      <c r="F1495" s="178">
        <v>6925.9</v>
      </c>
      <c r="G1495" s="179">
        <f>Tabla19[[#This Row],[Importe]]-Tabla19[[#This Row],[Pagado]]</f>
        <v>0</v>
      </c>
      <c r="H1495" s="153" t="s">
        <v>10</v>
      </c>
    </row>
    <row r="1496" spans="1:8" x14ac:dyDescent="0.25">
      <c r="A1496" s="73">
        <v>44788</v>
      </c>
      <c r="B1496" s="74" t="s">
        <v>26208</v>
      </c>
      <c r="C1496" s="75" t="s">
        <v>296</v>
      </c>
      <c r="D1496" s="176">
        <v>2023.2</v>
      </c>
      <c r="E1496" s="151">
        <v>44788</v>
      </c>
      <c r="F1496" s="176">
        <v>2023.2</v>
      </c>
      <c r="G1496" s="177">
        <f>Tabla19[[#This Row],[Importe]]-Tabla19[[#This Row],[Pagado]]</f>
        <v>0</v>
      </c>
      <c r="H1496" s="75" t="s">
        <v>10</v>
      </c>
    </row>
    <row r="1497" spans="1:8" x14ac:dyDescent="0.25">
      <c r="A1497" s="148">
        <v>44788</v>
      </c>
      <c r="B1497" s="149" t="s">
        <v>26209</v>
      </c>
      <c r="C1497" s="153" t="s">
        <v>53</v>
      </c>
      <c r="D1497" s="178">
        <v>722.5</v>
      </c>
      <c r="E1497" s="155">
        <v>44788</v>
      </c>
      <c r="F1497" s="178">
        <v>722.5</v>
      </c>
      <c r="G1497" s="179">
        <f>Tabla19[[#This Row],[Importe]]-Tabla19[[#This Row],[Pagado]]</f>
        <v>0</v>
      </c>
      <c r="H1497" s="153" t="s">
        <v>10</v>
      </c>
    </row>
    <row r="1498" spans="1:8" x14ac:dyDescent="0.25">
      <c r="A1498" s="73">
        <v>44788</v>
      </c>
      <c r="B1498" s="74" t="s">
        <v>26210</v>
      </c>
      <c r="C1498" s="75" t="s">
        <v>31</v>
      </c>
      <c r="D1498" s="176">
        <v>5994</v>
      </c>
      <c r="E1498" s="151">
        <v>44788</v>
      </c>
      <c r="F1498" s="176">
        <v>5994</v>
      </c>
      <c r="G1498" s="177">
        <f>Tabla19[[#This Row],[Importe]]-Tabla19[[#This Row],[Pagado]]</f>
        <v>0</v>
      </c>
      <c r="H1498" s="75" t="s">
        <v>10</v>
      </c>
    </row>
    <row r="1499" spans="1:8" x14ac:dyDescent="0.25">
      <c r="A1499" s="148">
        <v>44788</v>
      </c>
      <c r="B1499" s="149" t="s">
        <v>26211</v>
      </c>
      <c r="C1499" s="153" t="s">
        <v>9827</v>
      </c>
      <c r="D1499" s="178">
        <v>4452</v>
      </c>
      <c r="E1499" s="155">
        <v>44788</v>
      </c>
      <c r="F1499" s="178">
        <v>4452</v>
      </c>
      <c r="G1499" s="179">
        <f>Tabla19[[#This Row],[Importe]]-Tabla19[[#This Row],[Pagado]]</f>
        <v>0</v>
      </c>
      <c r="H1499" s="153" t="s">
        <v>10</v>
      </c>
    </row>
    <row r="1500" spans="1:8" x14ac:dyDescent="0.25">
      <c r="A1500" s="73">
        <v>44788</v>
      </c>
      <c r="B1500" s="74" t="s">
        <v>26212</v>
      </c>
      <c r="C1500" s="75" t="s">
        <v>135</v>
      </c>
      <c r="D1500" s="176">
        <v>2403.3000000000002</v>
      </c>
      <c r="E1500" s="151">
        <v>44789</v>
      </c>
      <c r="F1500" s="176">
        <v>2403.3000000000002</v>
      </c>
      <c r="G1500" s="177">
        <f>Tabla19[[#This Row],[Importe]]-Tabla19[[#This Row],[Pagado]]</f>
        <v>0</v>
      </c>
      <c r="H1500" s="75" t="s">
        <v>10</v>
      </c>
    </row>
    <row r="1501" spans="1:8" x14ac:dyDescent="0.25">
      <c r="A1501" s="148">
        <v>44788</v>
      </c>
      <c r="B1501" s="149" t="s">
        <v>26213</v>
      </c>
      <c r="C1501" s="153" t="s">
        <v>280</v>
      </c>
      <c r="D1501" s="178">
        <v>873.6</v>
      </c>
      <c r="E1501" s="155">
        <v>44789</v>
      </c>
      <c r="F1501" s="178">
        <v>873.6</v>
      </c>
      <c r="G1501" s="179">
        <f>Tabla19[[#This Row],[Importe]]-Tabla19[[#This Row],[Pagado]]</f>
        <v>0</v>
      </c>
      <c r="H1501" s="153" t="s">
        <v>10</v>
      </c>
    </row>
    <row r="1502" spans="1:8" x14ac:dyDescent="0.25">
      <c r="A1502" s="73">
        <v>44788</v>
      </c>
      <c r="B1502" s="74" t="s">
        <v>26214</v>
      </c>
      <c r="C1502" s="75" t="s">
        <v>10819</v>
      </c>
      <c r="D1502" s="176">
        <v>1537.2</v>
      </c>
      <c r="E1502" s="151">
        <v>44789</v>
      </c>
      <c r="F1502" s="176">
        <v>1537.2</v>
      </c>
      <c r="G1502" s="177">
        <f>Tabla19[[#This Row],[Importe]]-Tabla19[[#This Row],[Pagado]]</f>
        <v>0</v>
      </c>
      <c r="H1502" s="75" t="s">
        <v>10</v>
      </c>
    </row>
    <row r="1503" spans="1:8" x14ac:dyDescent="0.25">
      <c r="A1503" s="148">
        <v>44788</v>
      </c>
      <c r="B1503" s="149" t="s">
        <v>26215</v>
      </c>
      <c r="C1503" s="153" t="s">
        <v>191</v>
      </c>
      <c r="D1503" s="178">
        <v>732.6</v>
      </c>
      <c r="E1503" s="155">
        <v>44788</v>
      </c>
      <c r="F1503" s="178">
        <v>732.6</v>
      </c>
      <c r="G1503" s="179">
        <f>Tabla19[[#This Row],[Importe]]-Tabla19[[#This Row],[Pagado]]</f>
        <v>0</v>
      </c>
      <c r="H1503" s="153" t="s">
        <v>10</v>
      </c>
    </row>
    <row r="1504" spans="1:8" x14ac:dyDescent="0.25">
      <c r="A1504" s="73">
        <v>44788</v>
      </c>
      <c r="B1504" s="74" t="s">
        <v>26216</v>
      </c>
      <c r="C1504" s="75" t="s">
        <v>10313</v>
      </c>
      <c r="D1504" s="176">
        <v>3864.8</v>
      </c>
      <c r="E1504" s="151">
        <v>44788</v>
      </c>
      <c r="F1504" s="176">
        <v>3864.8</v>
      </c>
      <c r="G1504" s="177">
        <f>Tabla19[[#This Row],[Importe]]-Tabla19[[#This Row],[Pagado]]</f>
        <v>0</v>
      </c>
      <c r="H1504" s="75" t="s">
        <v>10</v>
      </c>
    </row>
    <row r="1505" spans="1:8" x14ac:dyDescent="0.25">
      <c r="A1505" s="148">
        <v>44788</v>
      </c>
      <c r="B1505" s="149" t="s">
        <v>26217</v>
      </c>
      <c r="C1505" s="153" t="s">
        <v>296</v>
      </c>
      <c r="D1505" s="178">
        <v>1462</v>
      </c>
      <c r="E1505" s="155">
        <v>44788</v>
      </c>
      <c r="F1505" s="178">
        <v>1462</v>
      </c>
      <c r="G1505" s="179">
        <f>Tabla19[[#This Row],[Importe]]-Tabla19[[#This Row],[Pagado]]</f>
        <v>0</v>
      </c>
      <c r="H1505" s="153" t="s">
        <v>10</v>
      </c>
    </row>
    <row r="1506" spans="1:8" x14ac:dyDescent="0.25">
      <c r="A1506" s="73">
        <v>44788</v>
      </c>
      <c r="B1506" s="74" t="s">
        <v>26218</v>
      </c>
      <c r="C1506" s="75" t="s">
        <v>414</v>
      </c>
      <c r="D1506" s="176">
        <v>268762.5</v>
      </c>
      <c r="E1506" s="151">
        <v>44809</v>
      </c>
      <c r="F1506" s="176">
        <v>268762.5</v>
      </c>
      <c r="G1506" s="177">
        <f>Tabla19[[#This Row],[Importe]]-Tabla19[[#This Row],[Pagado]]</f>
        <v>0</v>
      </c>
      <c r="H1506" s="75" t="s">
        <v>10</v>
      </c>
    </row>
    <row r="1507" spans="1:8" x14ac:dyDescent="0.25">
      <c r="A1507" s="148">
        <v>44788</v>
      </c>
      <c r="B1507" s="149" t="s">
        <v>26219</v>
      </c>
      <c r="C1507" s="153" t="s">
        <v>18363</v>
      </c>
      <c r="D1507" s="178">
        <v>4565.8</v>
      </c>
      <c r="E1507" s="155">
        <v>44788</v>
      </c>
      <c r="F1507" s="178">
        <v>4565.8</v>
      </c>
      <c r="G1507" s="179">
        <f>Tabla19[[#This Row],[Importe]]-Tabla19[[#This Row],[Pagado]]</f>
        <v>0</v>
      </c>
      <c r="H1507" s="153" t="s">
        <v>10</v>
      </c>
    </row>
    <row r="1508" spans="1:8" x14ac:dyDescent="0.25">
      <c r="A1508" s="73">
        <v>44788</v>
      </c>
      <c r="B1508" s="74" t="s">
        <v>26220</v>
      </c>
      <c r="C1508" s="75" t="s">
        <v>31</v>
      </c>
      <c r="D1508" s="176">
        <v>193.6</v>
      </c>
      <c r="E1508" s="151">
        <v>44788</v>
      </c>
      <c r="F1508" s="176">
        <v>193.6</v>
      </c>
      <c r="G1508" s="177">
        <f>Tabla19[[#This Row],[Importe]]-Tabla19[[#This Row],[Pagado]]</f>
        <v>0</v>
      </c>
      <c r="H1508" s="75" t="s">
        <v>10</v>
      </c>
    </row>
    <row r="1509" spans="1:8" x14ac:dyDescent="0.25">
      <c r="A1509" s="148">
        <v>44788</v>
      </c>
      <c r="B1509" s="149" t="s">
        <v>26221</v>
      </c>
      <c r="C1509" s="153" t="s">
        <v>31</v>
      </c>
      <c r="D1509" s="178">
        <v>546</v>
      </c>
      <c r="E1509" s="155">
        <v>44788</v>
      </c>
      <c r="F1509" s="178">
        <v>546</v>
      </c>
      <c r="G1509" s="179">
        <f>Tabla19[[#This Row],[Importe]]-Tabla19[[#This Row],[Pagado]]</f>
        <v>0</v>
      </c>
      <c r="H1509" s="153" t="s">
        <v>10</v>
      </c>
    </row>
    <row r="1510" spans="1:8" x14ac:dyDescent="0.25">
      <c r="A1510" s="73">
        <v>44788</v>
      </c>
      <c r="B1510" s="74" t="s">
        <v>26222</v>
      </c>
      <c r="C1510" s="75" t="s">
        <v>31</v>
      </c>
      <c r="D1510" s="176">
        <v>7139.8</v>
      </c>
      <c r="E1510" s="151">
        <v>44789</v>
      </c>
      <c r="F1510" s="176">
        <v>7139.8</v>
      </c>
      <c r="G1510" s="177">
        <f>Tabla19[[#This Row],[Importe]]-Tabla19[[#This Row],[Pagado]]</f>
        <v>0</v>
      </c>
      <c r="H1510" s="75" t="s">
        <v>10</v>
      </c>
    </row>
    <row r="1511" spans="1:8" x14ac:dyDescent="0.25">
      <c r="A1511" s="148">
        <v>44788</v>
      </c>
      <c r="B1511" s="149" t="s">
        <v>26223</v>
      </c>
      <c r="C1511" s="153" t="s">
        <v>10190</v>
      </c>
      <c r="D1511" s="178">
        <v>23851</v>
      </c>
      <c r="E1511" s="155">
        <v>44789</v>
      </c>
      <c r="F1511" s="178">
        <v>23851</v>
      </c>
      <c r="G1511" s="179">
        <f>Tabla19[[#This Row],[Importe]]-Tabla19[[#This Row],[Pagado]]</f>
        <v>0</v>
      </c>
      <c r="H1511" s="153" t="s">
        <v>10</v>
      </c>
    </row>
    <row r="1512" spans="1:8" x14ac:dyDescent="0.25">
      <c r="A1512" s="73">
        <v>44788</v>
      </c>
      <c r="B1512" s="74" t="s">
        <v>26224</v>
      </c>
      <c r="C1512" s="75" t="s">
        <v>275</v>
      </c>
      <c r="D1512" s="176">
        <v>34290.35</v>
      </c>
      <c r="E1512" s="151">
        <v>44813</v>
      </c>
      <c r="F1512" s="176">
        <v>34290.35</v>
      </c>
      <c r="G1512" s="177">
        <f>Tabla19[[#This Row],[Importe]]-Tabla19[[#This Row],[Pagado]]</f>
        <v>0</v>
      </c>
      <c r="H1512" s="75" t="s">
        <v>10</v>
      </c>
    </row>
    <row r="1513" spans="1:8" x14ac:dyDescent="0.25">
      <c r="A1513" s="148">
        <v>44788</v>
      </c>
      <c r="B1513" s="149" t="s">
        <v>26225</v>
      </c>
      <c r="C1513" s="153" t="s">
        <v>10840</v>
      </c>
      <c r="D1513" s="178">
        <v>32738.400000000001</v>
      </c>
      <c r="E1513" s="155">
        <v>44795</v>
      </c>
      <c r="F1513" s="178">
        <v>32738.400000000001</v>
      </c>
      <c r="G1513" s="179">
        <f>Tabla19[[#This Row],[Importe]]-Tabla19[[#This Row],[Pagado]]</f>
        <v>0</v>
      </c>
      <c r="H1513" s="153" t="s">
        <v>10</v>
      </c>
    </row>
    <row r="1514" spans="1:8" x14ac:dyDescent="0.25">
      <c r="A1514" s="73">
        <v>44788</v>
      </c>
      <c r="B1514" s="74" t="s">
        <v>26226</v>
      </c>
      <c r="C1514" s="75" t="s">
        <v>10840</v>
      </c>
      <c r="D1514" s="176">
        <v>1645.2</v>
      </c>
      <c r="E1514" s="151">
        <v>44800</v>
      </c>
      <c r="F1514" s="176">
        <v>1645.2</v>
      </c>
      <c r="G1514" s="177">
        <f>Tabla19[[#This Row],[Importe]]-Tabla19[[#This Row],[Pagado]]</f>
        <v>0</v>
      </c>
      <c r="H1514" s="75" t="s">
        <v>10</v>
      </c>
    </row>
    <row r="1515" spans="1:8" x14ac:dyDescent="0.25">
      <c r="A1515" s="148">
        <v>44788</v>
      </c>
      <c r="B1515" s="149" t="s">
        <v>26227</v>
      </c>
      <c r="C1515" s="153" t="s">
        <v>31</v>
      </c>
      <c r="D1515" s="178">
        <v>1456</v>
      </c>
      <c r="E1515" s="155">
        <v>44789</v>
      </c>
      <c r="F1515" s="178">
        <v>1456</v>
      </c>
      <c r="G1515" s="179">
        <f>Tabla19[[#This Row],[Importe]]-Tabla19[[#This Row],[Pagado]]</f>
        <v>0</v>
      </c>
      <c r="H1515" s="153" t="s">
        <v>10</v>
      </c>
    </row>
    <row r="1516" spans="1:8" x14ac:dyDescent="0.25">
      <c r="A1516" s="73">
        <v>44789</v>
      </c>
      <c r="B1516" s="74" t="s">
        <v>26228</v>
      </c>
      <c r="C1516" s="75" t="s">
        <v>12</v>
      </c>
      <c r="D1516" s="176">
        <v>6237.5</v>
      </c>
      <c r="E1516" s="151">
        <v>44789</v>
      </c>
      <c r="F1516" s="176">
        <v>6237.5</v>
      </c>
      <c r="G1516" s="177">
        <f>Tabla19[[#This Row],[Importe]]-Tabla19[[#This Row],[Pagado]]</f>
        <v>0</v>
      </c>
      <c r="H1516" s="75" t="s">
        <v>10</v>
      </c>
    </row>
    <row r="1517" spans="1:8" x14ac:dyDescent="0.25">
      <c r="A1517" s="148">
        <v>44789</v>
      </c>
      <c r="B1517" s="149" t="s">
        <v>26229</v>
      </c>
      <c r="C1517" s="153" t="s">
        <v>16</v>
      </c>
      <c r="D1517" s="178">
        <v>5146.7</v>
      </c>
      <c r="E1517" s="155">
        <v>44789</v>
      </c>
      <c r="F1517" s="178">
        <v>5146.7</v>
      </c>
      <c r="G1517" s="179">
        <f>Tabla19[[#This Row],[Importe]]-Tabla19[[#This Row],[Pagado]]</f>
        <v>0</v>
      </c>
      <c r="H1517" s="153" t="s">
        <v>10</v>
      </c>
    </row>
    <row r="1518" spans="1:8" x14ac:dyDescent="0.25">
      <c r="A1518" s="73">
        <v>44789</v>
      </c>
      <c r="B1518" s="74" t="s">
        <v>26230</v>
      </c>
      <c r="C1518" s="75" t="s">
        <v>481</v>
      </c>
      <c r="D1518" s="176">
        <v>526.20000000000005</v>
      </c>
      <c r="E1518" s="151">
        <v>44789</v>
      </c>
      <c r="F1518" s="176">
        <v>526.20000000000005</v>
      </c>
      <c r="G1518" s="177">
        <f>Tabla19[[#This Row],[Importe]]-Tabla19[[#This Row],[Pagado]]</f>
        <v>0</v>
      </c>
      <c r="H1518" s="75" t="s">
        <v>10</v>
      </c>
    </row>
    <row r="1519" spans="1:8" x14ac:dyDescent="0.25">
      <c r="A1519" s="148">
        <v>44789</v>
      </c>
      <c r="B1519" s="149" t="s">
        <v>26231</v>
      </c>
      <c r="C1519" s="153" t="s">
        <v>24768</v>
      </c>
      <c r="D1519" s="178">
        <v>4547.3999999999996</v>
      </c>
      <c r="E1519" s="155">
        <v>44789</v>
      </c>
      <c r="F1519" s="178">
        <v>4547.3999999999996</v>
      </c>
      <c r="G1519" s="179">
        <f>Tabla19[[#This Row],[Importe]]-Tabla19[[#This Row],[Pagado]]</f>
        <v>0</v>
      </c>
      <c r="H1519" s="153" t="s">
        <v>10</v>
      </c>
    </row>
    <row r="1520" spans="1:8" x14ac:dyDescent="0.25">
      <c r="A1520" s="73">
        <v>44789</v>
      </c>
      <c r="B1520" s="74" t="s">
        <v>26232</v>
      </c>
      <c r="C1520" s="75" t="s">
        <v>24768</v>
      </c>
      <c r="D1520" s="176">
        <v>70</v>
      </c>
      <c r="E1520" s="151">
        <v>44789</v>
      </c>
      <c r="F1520" s="176">
        <v>70</v>
      </c>
      <c r="G1520" s="177">
        <f>Tabla19[[#This Row],[Importe]]-Tabla19[[#This Row],[Pagado]]</f>
        <v>0</v>
      </c>
      <c r="H1520" s="75" t="s">
        <v>10</v>
      </c>
    </row>
    <row r="1521" spans="1:8" x14ac:dyDescent="0.25">
      <c r="A1521" s="148">
        <v>44789</v>
      </c>
      <c r="B1521" s="149" t="s">
        <v>26233</v>
      </c>
      <c r="C1521" s="153" t="s">
        <v>348</v>
      </c>
      <c r="D1521" s="178">
        <v>2142</v>
      </c>
      <c r="E1521" s="155">
        <v>44789</v>
      </c>
      <c r="F1521" s="178">
        <v>2142</v>
      </c>
      <c r="G1521" s="179">
        <f>Tabla19[[#This Row],[Importe]]-Tabla19[[#This Row],[Pagado]]</f>
        <v>0</v>
      </c>
      <c r="H1521" s="153" t="s">
        <v>10</v>
      </c>
    </row>
    <row r="1522" spans="1:8" x14ac:dyDescent="0.25">
      <c r="A1522" s="73">
        <v>44789</v>
      </c>
      <c r="B1522" s="74" t="s">
        <v>26234</v>
      </c>
      <c r="C1522" s="75" t="s">
        <v>2151</v>
      </c>
      <c r="D1522" s="176">
        <v>20995.8</v>
      </c>
      <c r="E1522" s="151">
        <v>44789</v>
      </c>
      <c r="F1522" s="176">
        <v>20995.8</v>
      </c>
      <c r="G1522" s="177">
        <f>Tabla19[[#This Row],[Importe]]-Tabla19[[#This Row],[Pagado]]</f>
        <v>0</v>
      </c>
      <c r="H1522" s="75" t="s">
        <v>10</v>
      </c>
    </row>
    <row r="1523" spans="1:8" x14ac:dyDescent="0.25">
      <c r="A1523" s="148">
        <v>44789</v>
      </c>
      <c r="B1523" s="149" t="s">
        <v>26235</v>
      </c>
      <c r="C1523" s="153" t="s">
        <v>105</v>
      </c>
      <c r="D1523" s="178">
        <v>8838.9</v>
      </c>
      <c r="E1523" s="155">
        <v>44789</v>
      </c>
      <c r="F1523" s="178">
        <v>8838.9</v>
      </c>
      <c r="G1523" s="179">
        <f>Tabla19[[#This Row],[Importe]]-Tabla19[[#This Row],[Pagado]]</f>
        <v>0</v>
      </c>
      <c r="H1523" s="153" t="s">
        <v>10</v>
      </c>
    </row>
    <row r="1524" spans="1:8" x14ac:dyDescent="0.25">
      <c r="A1524" s="73">
        <v>44789</v>
      </c>
      <c r="B1524" s="74" t="s">
        <v>26236</v>
      </c>
      <c r="C1524" s="75" t="s">
        <v>95</v>
      </c>
      <c r="D1524" s="176">
        <v>16809.599999999999</v>
      </c>
      <c r="E1524" s="151">
        <v>44789</v>
      </c>
      <c r="F1524" s="176">
        <v>16809.599999999999</v>
      </c>
      <c r="G1524" s="177">
        <f>Tabla19[[#This Row],[Importe]]-Tabla19[[#This Row],[Pagado]]</f>
        <v>0</v>
      </c>
      <c r="H1524" s="75" t="s">
        <v>10</v>
      </c>
    </row>
    <row r="1525" spans="1:8" x14ac:dyDescent="0.25">
      <c r="A1525" s="148">
        <v>44789</v>
      </c>
      <c r="B1525" s="149" t="s">
        <v>26237</v>
      </c>
      <c r="C1525" s="153" t="s">
        <v>93</v>
      </c>
      <c r="D1525" s="178">
        <v>9590.7000000000007</v>
      </c>
      <c r="E1525" s="155">
        <v>44791</v>
      </c>
      <c r="F1525" s="178">
        <v>9590.7000000000007</v>
      </c>
      <c r="G1525" s="179">
        <f>Tabla19[[#This Row],[Importe]]-Tabla19[[#This Row],[Pagado]]</f>
        <v>0</v>
      </c>
      <c r="H1525" s="153" t="s">
        <v>10</v>
      </c>
    </row>
    <row r="1526" spans="1:8" x14ac:dyDescent="0.25">
      <c r="A1526" s="73">
        <v>44789</v>
      </c>
      <c r="B1526" s="74" t="s">
        <v>26238</v>
      </c>
      <c r="C1526" s="75" t="s">
        <v>345</v>
      </c>
      <c r="D1526" s="176">
        <v>714</v>
      </c>
      <c r="E1526" s="151">
        <v>44789</v>
      </c>
      <c r="F1526" s="176">
        <v>714</v>
      </c>
      <c r="G1526" s="177">
        <f>Tabla19[[#This Row],[Importe]]-Tabla19[[#This Row],[Pagado]]</f>
        <v>0</v>
      </c>
      <c r="H1526" s="75" t="s">
        <v>10</v>
      </c>
    </row>
    <row r="1527" spans="1:8" x14ac:dyDescent="0.25">
      <c r="A1527" s="148">
        <v>44789</v>
      </c>
      <c r="B1527" s="149" t="s">
        <v>26239</v>
      </c>
      <c r="C1527" s="153" t="s">
        <v>114</v>
      </c>
      <c r="D1527" s="178">
        <v>17402.7</v>
      </c>
      <c r="E1527" s="155">
        <v>44791</v>
      </c>
      <c r="F1527" s="178">
        <v>17402.7</v>
      </c>
      <c r="G1527" s="179">
        <f>Tabla19[[#This Row],[Importe]]-Tabla19[[#This Row],[Pagado]]</f>
        <v>0</v>
      </c>
      <c r="H1527" s="153" t="s">
        <v>10</v>
      </c>
    </row>
    <row r="1528" spans="1:8" x14ac:dyDescent="0.25">
      <c r="A1528" s="73">
        <v>44789</v>
      </c>
      <c r="B1528" s="74" t="s">
        <v>26240</v>
      </c>
      <c r="C1528" s="75" t="s">
        <v>60</v>
      </c>
      <c r="D1528" s="176">
        <v>4901</v>
      </c>
      <c r="E1528" s="151">
        <v>44795</v>
      </c>
      <c r="F1528" s="176">
        <v>4901</v>
      </c>
      <c r="G1528" s="177">
        <f>Tabla19[[#This Row],[Importe]]-Tabla19[[#This Row],[Pagado]]</f>
        <v>0</v>
      </c>
      <c r="H1528" s="75" t="s">
        <v>10</v>
      </c>
    </row>
    <row r="1529" spans="1:8" x14ac:dyDescent="0.25">
      <c r="A1529" s="148">
        <v>44789</v>
      </c>
      <c r="B1529" s="149" t="s">
        <v>26241</v>
      </c>
      <c r="C1529" s="153" t="s">
        <v>64</v>
      </c>
      <c r="D1529" s="178">
        <v>4881.5</v>
      </c>
      <c r="E1529" s="155">
        <v>44790</v>
      </c>
      <c r="F1529" s="178">
        <v>4881.5</v>
      </c>
      <c r="G1529" s="179">
        <f>Tabla19[[#This Row],[Importe]]-Tabla19[[#This Row],[Pagado]]</f>
        <v>0</v>
      </c>
      <c r="H1529" s="153" t="s">
        <v>10</v>
      </c>
    </row>
    <row r="1530" spans="1:8" x14ac:dyDescent="0.25">
      <c r="A1530" s="73">
        <v>44789</v>
      </c>
      <c r="B1530" s="74" t="s">
        <v>26242</v>
      </c>
      <c r="C1530" s="75" t="s">
        <v>109</v>
      </c>
      <c r="D1530" s="176">
        <v>5166</v>
      </c>
      <c r="E1530" s="151">
        <v>44790</v>
      </c>
      <c r="F1530" s="176">
        <v>5166</v>
      </c>
      <c r="G1530" s="177">
        <f>Tabla19[[#This Row],[Importe]]-Tabla19[[#This Row],[Pagado]]</f>
        <v>0</v>
      </c>
      <c r="H1530" s="75" t="s">
        <v>10</v>
      </c>
    </row>
    <row r="1531" spans="1:8" x14ac:dyDescent="0.25">
      <c r="A1531" s="148">
        <v>44789</v>
      </c>
      <c r="B1531" s="149" t="s">
        <v>26243</v>
      </c>
      <c r="C1531" s="153" t="s">
        <v>97</v>
      </c>
      <c r="D1531" s="178">
        <v>4933.5</v>
      </c>
      <c r="E1531" s="155">
        <v>44790</v>
      </c>
      <c r="F1531" s="178">
        <v>4933.5</v>
      </c>
      <c r="G1531" s="179">
        <f>Tabla19[[#This Row],[Importe]]-Tabla19[[#This Row],[Pagado]]</f>
        <v>0</v>
      </c>
      <c r="H1531" s="153" t="s">
        <v>10</v>
      </c>
    </row>
    <row r="1532" spans="1:8" x14ac:dyDescent="0.25">
      <c r="A1532" s="73">
        <v>44789</v>
      </c>
      <c r="B1532" s="74" t="s">
        <v>26244</v>
      </c>
      <c r="C1532" s="75" t="s">
        <v>326</v>
      </c>
      <c r="D1532" s="176">
        <v>6019</v>
      </c>
      <c r="E1532" s="151">
        <v>44790</v>
      </c>
      <c r="F1532" s="176">
        <v>6019</v>
      </c>
      <c r="G1532" s="177">
        <f>Tabla19[[#This Row],[Importe]]-Tabla19[[#This Row],[Pagado]]</f>
        <v>0</v>
      </c>
      <c r="H1532" s="75" t="s">
        <v>10</v>
      </c>
    </row>
    <row r="1533" spans="1:8" x14ac:dyDescent="0.25">
      <c r="A1533" s="148">
        <v>44789</v>
      </c>
      <c r="B1533" s="149" t="s">
        <v>26245</v>
      </c>
      <c r="C1533" s="153" t="s">
        <v>89</v>
      </c>
      <c r="D1533" s="178">
        <v>13526.1</v>
      </c>
      <c r="E1533" s="155">
        <v>44790</v>
      </c>
      <c r="F1533" s="178">
        <v>13526.1</v>
      </c>
      <c r="G1533" s="179">
        <f>Tabla19[[#This Row],[Importe]]-Tabla19[[#This Row],[Pagado]]</f>
        <v>0</v>
      </c>
      <c r="H1533" s="153" t="s">
        <v>10</v>
      </c>
    </row>
    <row r="1534" spans="1:8" x14ac:dyDescent="0.25">
      <c r="A1534" s="73">
        <v>44789</v>
      </c>
      <c r="B1534" s="74" t="s">
        <v>26246</v>
      </c>
      <c r="C1534" s="75" t="s">
        <v>9</v>
      </c>
      <c r="D1534" s="176">
        <v>9107.7999999999993</v>
      </c>
      <c r="E1534" s="151">
        <v>44789</v>
      </c>
      <c r="F1534" s="176">
        <v>9107.7999999999993</v>
      </c>
      <c r="G1534" s="177">
        <f>Tabla19[[#This Row],[Importe]]-Tabla19[[#This Row],[Pagado]]</f>
        <v>0</v>
      </c>
      <c r="H1534" s="75" t="s">
        <v>10</v>
      </c>
    </row>
    <row r="1535" spans="1:8" x14ac:dyDescent="0.25">
      <c r="A1535" s="148">
        <v>44789</v>
      </c>
      <c r="B1535" s="149" t="s">
        <v>26247</v>
      </c>
      <c r="C1535" s="153" t="s">
        <v>31</v>
      </c>
      <c r="D1535" s="178">
        <v>4729.6000000000004</v>
      </c>
      <c r="E1535" s="155">
        <v>44789</v>
      </c>
      <c r="F1535" s="178">
        <v>4729.6000000000004</v>
      </c>
      <c r="G1535" s="179">
        <f>Tabla19[[#This Row],[Importe]]-Tabla19[[#This Row],[Pagado]]</f>
        <v>0</v>
      </c>
      <c r="H1535" s="153" t="s">
        <v>10</v>
      </c>
    </row>
    <row r="1536" spans="1:8" x14ac:dyDescent="0.25">
      <c r="A1536" s="73">
        <v>44789</v>
      </c>
      <c r="B1536" s="74" t="s">
        <v>26248</v>
      </c>
      <c r="C1536" s="75" t="s">
        <v>319</v>
      </c>
      <c r="D1536" s="176">
        <v>5064.8</v>
      </c>
      <c r="E1536" s="151">
        <v>44789</v>
      </c>
      <c r="F1536" s="176">
        <v>5064.8</v>
      </c>
      <c r="G1536" s="177">
        <f>Tabla19[[#This Row],[Importe]]-Tabla19[[#This Row],[Pagado]]</f>
        <v>0</v>
      </c>
      <c r="H1536" s="75" t="s">
        <v>10</v>
      </c>
    </row>
    <row r="1537" spans="1:8" x14ac:dyDescent="0.25">
      <c r="A1537" s="148">
        <v>44789</v>
      </c>
      <c r="B1537" s="149" t="s">
        <v>26249</v>
      </c>
      <c r="C1537" s="153" t="s">
        <v>31</v>
      </c>
      <c r="D1537" s="178">
        <v>8652</v>
      </c>
      <c r="E1537" s="155">
        <v>44789</v>
      </c>
      <c r="F1537" s="178">
        <v>8652</v>
      </c>
      <c r="G1537" s="179">
        <f>Tabla19[[#This Row],[Importe]]-Tabla19[[#This Row],[Pagado]]</f>
        <v>0</v>
      </c>
      <c r="H1537" s="153" t="s">
        <v>10</v>
      </c>
    </row>
    <row r="1538" spans="1:8" x14ac:dyDescent="0.25">
      <c r="A1538" s="73">
        <v>44789</v>
      </c>
      <c r="B1538" s="74" t="s">
        <v>26250</v>
      </c>
      <c r="C1538" s="75" t="s">
        <v>518</v>
      </c>
      <c r="D1538" s="176">
        <v>1838</v>
      </c>
      <c r="E1538" s="151">
        <v>44789</v>
      </c>
      <c r="F1538" s="176">
        <v>1838</v>
      </c>
      <c r="G1538" s="177">
        <f>Tabla19[[#This Row],[Importe]]-Tabla19[[#This Row],[Pagado]]</f>
        <v>0</v>
      </c>
      <c r="H1538" s="75" t="s">
        <v>10</v>
      </c>
    </row>
    <row r="1539" spans="1:8" x14ac:dyDescent="0.25">
      <c r="A1539" s="148">
        <v>44789</v>
      </c>
      <c r="B1539" s="149" t="s">
        <v>26251</v>
      </c>
      <c r="C1539" s="153" t="s">
        <v>157</v>
      </c>
      <c r="D1539" s="178">
        <v>8574.7999999999993</v>
      </c>
      <c r="E1539" s="155">
        <v>44789</v>
      </c>
      <c r="F1539" s="178">
        <v>8574.7999999999993</v>
      </c>
      <c r="G1539" s="179">
        <f>Tabla19[[#This Row],[Importe]]-Tabla19[[#This Row],[Pagado]]</f>
        <v>0</v>
      </c>
      <c r="H1539" s="153" t="s">
        <v>10</v>
      </c>
    </row>
    <row r="1540" spans="1:8" x14ac:dyDescent="0.25">
      <c r="A1540" s="73">
        <v>44789</v>
      </c>
      <c r="B1540" s="74" t="s">
        <v>26252</v>
      </c>
      <c r="C1540" s="75" t="s">
        <v>79</v>
      </c>
      <c r="D1540" s="176">
        <v>20344.8</v>
      </c>
      <c r="E1540" s="151">
        <v>44789</v>
      </c>
      <c r="F1540" s="176">
        <v>20344.8</v>
      </c>
      <c r="G1540" s="177">
        <f>Tabla19[[#This Row],[Importe]]-Tabla19[[#This Row],[Pagado]]</f>
        <v>0</v>
      </c>
      <c r="H1540" s="75" t="s">
        <v>10</v>
      </c>
    </row>
    <row r="1541" spans="1:8" x14ac:dyDescent="0.25">
      <c r="A1541" s="148">
        <v>44789</v>
      </c>
      <c r="B1541" s="149" t="s">
        <v>26253</v>
      </c>
      <c r="C1541" s="153" t="s">
        <v>49</v>
      </c>
      <c r="D1541" s="178">
        <v>4160</v>
      </c>
      <c r="E1541" s="155">
        <v>44789</v>
      </c>
      <c r="F1541" s="178">
        <v>4160</v>
      </c>
      <c r="G1541" s="179">
        <f>Tabla19[[#This Row],[Importe]]-Tabla19[[#This Row],[Pagado]]</f>
        <v>0</v>
      </c>
      <c r="H1541" s="153" t="s">
        <v>10</v>
      </c>
    </row>
    <row r="1542" spans="1:8" x14ac:dyDescent="0.25">
      <c r="A1542" s="73">
        <v>44789</v>
      </c>
      <c r="B1542" s="74" t="s">
        <v>26254</v>
      </c>
      <c r="C1542" s="75" t="s">
        <v>159</v>
      </c>
      <c r="D1542" s="176">
        <v>2541.6</v>
      </c>
      <c r="E1542" s="151">
        <v>44789</v>
      </c>
      <c r="F1542" s="176">
        <v>2541.6</v>
      </c>
      <c r="G1542" s="177">
        <f>Tabla19[[#This Row],[Importe]]-Tabla19[[#This Row],[Pagado]]</f>
        <v>0</v>
      </c>
      <c r="H1542" s="75" t="s">
        <v>10</v>
      </c>
    </row>
    <row r="1543" spans="1:8" x14ac:dyDescent="0.25">
      <c r="A1543" s="148">
        <v>44789</v>
      </c>
      <c r="B1543" s="149" t="s">
        <v>26255</v>
      </c>
      <c r="C1543" s="153" t="s">
        <v>79</v>
      </c>
      <c r="D1543" s="178">
        <v>3133.2</v>
      </c>
      <c r="E1543" s="155">
        <v>44789</v>
      </c>
      <c r="F1543" s="178">
        <v>3133.2</v>
      </c>
      <c r="G1543" s="179">
        <f>Tabla19[[#This Row],[Importe]]-Tabla19[[#This Row],[Pagado]]</f>
        <v>0</v>
      </c>
      <c r="H1543" s="153" t="s">
        <v>10</v>
      </c>
    </row>
    <row r="1544" spans="1:8" x14ac:dyDescent="0.25">
      <c r="A1544" s="73">
        <v>44789</v>
      </c>
      <c r="B1544" s="74" t="s">
        <v>26256</v>
      </c>
      <c r="C1544" s="75" t="s">
        <v>17556</v>
      </c>
      <c r="D1544" s="176">
        <v>4940</v>
      </c>
      <c r="E1544" s="151">
        <v>44789</v>
      </c>
      <c r="F1544" s="176">
        <v>4940</v>
      </c>
      <c r="G1544" s="177">
        <f>Tabla19[[#This Row],[Importe]]-Tabla19[[#This Row],[Pagado]]</f>
        <v>0</v>
      </c>
      <c r="H1544" s="75" t="s">
        <v>10</v>
      </c>
    </row>
    <row r="1545" spans="1:8" x14ac:dyDescent="0.25">
      <c r="A1545" s="148">
        <v>44789</v>
      </c>
      <c r="B1545" s="149" t="s">
        <v>26257</v>
      </c>
      <c r="C1545" s="153" t="s">
        <v>1302</v>
      </c>
      <c r="D1545" s="178">
        <v>10996.4</v>
      </c>
      <c r="E1545" s="155">
        <v>44789</v>
      </c>
      <c r="F1545" s="178">
        <v>10996.4</v>
      </c>
      <c r="G1545" s="179">
        <f>Tabla19[[#This Row],[Importe]]-Tabla19[[#This Row],[Pagado]]</f>
        <v>0</v>
      </c>
      <c r="H1545" s="153" t="s">
        <v>10</v>
      </c>
    </row>
    <row r="1546" spans="1:8" x14ac:dyDescent="0.25">
      <c r="A1546" s="73">
        <v>44789</v>
      </c>
      <c r="B1546" s="74" t="s">
        <v>26258</v>
      </c>
      <c r="C1546" s="75" t="s">
        <v>196</v>
      </c>
      <c r="D1546" s="176">
        <v>81325.56</v>
      </c>
      <c r="E1546" s="151">
        <v>44792</v>
      </c>
      <c r="F1546" s="176">
        <v>81325.56</v>
      </c>
      <c r="G1546" s="177">
        <f>Tabla19[[#This Row],[Importe]]-Tabla19[[#This Row],[Pagado]]</f>
        <v>0</v>
      </c>
      <c r="H1546" s="75" t="s">
        <v>10</v>
      </c>
    </row>
    <row r="1547" spans="1:8" x14ac:dyDescent="0.25">
      <c r="A1547" s="148">
        <v>44789</v>
      </c>
      <c r="B1547" s="149" t="s">
        <v>26259</v>
      </c>
      <c r="C1547" s="153" t="s">
        <v>151</v>
      </c>
      <c r="D1547" s="178">
        <v>9555.2999999999993</v>
      </c>
      <c r="E1547" s="155">
        <v>44789</v>
      </c>
      <c r="F1547" s="178">
        <v>9555.2999999999993</v>
      </c>
      <c r="G1547" s="179">
        <f>Tabla19[[#This Row],[Importe]]-Tabla19[[#This Row],[Pagado]]</f>
        <v>0</v>
      </c>
      <c r="H1547" s="153" t="s">
        <v>10</v>
      </c>
    </row>
    <row r="1548" spans="1:8" x14ac:dyDescent="0.25">
      <c r="A1548" s="73">
        <v>44789</v>
      </c>
      <c r="B1548" s="74" t="s">
        <v>26260</v>
      </c>
      <c r="C1548" s="75" t="s">
        <v>520</v>
      </c>
      <c r="D1548" s="176">
        <v>5747.7</v>
      </c>
      <c r="E1548" s="151">
        <v>44789</v>
      </c>
      <c r="F1548" s="176">
        <v>5747.7</v>
      </c>
      <c r="G1548" s="177">
        <f>Tabla19[[#This Row],[Importe]]-Tabla19[[#This Row],[Pagado]]</f>
        <v>0</v>
      </c>
      <c r="H1548" s="75" t="s">
        <v>10</v>
      </c>
    </row>
    <row r="1549" spans="1:8" x14ac:dyDescent="0.25">
      <c r="A1549" s="148">
        <v>44789</v>
      </c>
      <c r="B1549" s="149" t="s">
        <v>26261</v>
      </c>
      <c r="C1549" s="153" t="s">
        <v>11033</v>
      </c>
      <c r="D1549" s="178">
        <v>1896</v>
      </c>
      <c r="E1549" s="155">
        <v>44789</v>
      </c>
      <c r="F1549" s="178">
        <v>1896</v>
      </c>
      <c r="G1549" s="179">
        <f>Tabla19[[#This Row],[Importe]]-Tabla19[[#This Row],[Pagado]]</f>
        <v>0</v>
      </c>
      <c r="H1549" s="153" t="s">
        <v>10</v>
      </c>
    </row>
    <row r="1550" spans="1:8" x14ac:dyDescent="0.25">
      <c r="A1550" s="73">
        <v>44789</v>
      </c>
      <c r="B1550" s="74" t="s">
        <v>26262</v>
      </c>
      <c r="C1550" s="75" t="s">
        <v>924</v>
      </c>
      <c r="D1550" s="176">
        <v>21986.9</v>
      </c>
      <c r="E1550" s="151">
        <v>44789</v>
      </c>
      <c r="F1550" s="176">
        <v>21986.9</v>
      </c>
      <c r="G1550" s="177">
        <f>Tabla19[[#This Row],[Importe]]-Tabla19[[#This Row],[Pagado]]</f>
        <v>0</v>
      </c>
      <c r="H1550" s="75" t="s">
        <v>10</v>
      </c>
    </row>
    <row r="1551" spans="1:8" ht="31.5" x14ac:dyDescent="0.25">
      <c r="A1551" s="148">
        <v>44789</v>
      </c>
      <c r="B1551" s="149" t="s">
        <v>26263</v>
      </c>
      <c r="C1551" s="153" t="s">
        <v>22</v>
      </c>
      <c r="D1551" s="178">
        <v>30714.5</v>
      </c>
      <c r="E1551" s="150" t="s">
        <v>26264</v>
      </c>
      <c r="F1551" s="178">
        <f>22000+8714.5</f>
        <v>30714.5</v>
      </c>
      <c r="G1551" s="179">
        <f>Tabla19[[#This Row],[Importe]]-Tabla19[[#This Row],[Pagado]]</f>
        <v>0</v>
      </c>
      <c r="H1551" s="153" t="s">
        <v>10</v>
      </c>
    </row>
    <row r="1552" spans="1:8" x14ac:dyDescent="0.25">
      <c r="A1552" s="73">
        <v>44789</v>
      </c>
      <c r="B1552" s="74" t="s">
        <v>26265</v>
      </c>
      <c r="C1552" s="75" t="s">
        <v>31</v>
      </c>
      <c r="D1552" s="176">
        <v>884.8</v>
      </c>
      <c r="E1552" s="151">
        <v>44789</v>
      </c>
      <c r="F1552" s="176">
        <v>884.8</v>
      </c>
      <c r="G1552" s="177">
        <f>Tabla19[[#This Row],[Importe]]-Tabla19[[#This Row],[Pagado]]</f>
        <v>0</v>
      </c>
      <c r="H1552" s="75" t="s">
        <v>10</v>
      </c>
    </row>
    <row r="1553" spans="1:8" x14ac:dyDescent="0.25">
      <c r="A1553" s="148">
        <v>44789</v>
      </c>
      <c r="B1553" s="149" t="s">
        <v>26266</v>
      </c>
      <c r="C1553" s="153" t="s">
        <v>27</v>
      </c>
      <c r="D1553" s="178">
        <v>791.2</v>
      </c>
      <c r="E1553" s="155">
        <v>44789</v>
      </c>
      <c r="F1553" s="178">
        <v>791.2</v>
      </c>
      <c r="G1553" s="179">
        <f>Tabla19[[#This Row],[Importe]]-Tabla19[[#This Row],[Pagado]]</f>
        <v>0</v>
      </c>
      <c r="H1553" s="153" t="s">
        <v>10</v>
      </c>
    </row>
    <row r="1554" spans="1:8" x14ac:dyDescent="0.25">
      <c r="A1554" s="73">
        <v>44789</v>
      </c>
      <c r="B1554" s="74" t="s">
        <v>26267</v>
      </c>
      <c r="C1554" s="75" t="s">
        <v>129</v>
      </c>
      <c r="D1554" s="176">
        <v>5820</v>
      </c>
      <c r="E1554" s="151">
        <v>44789</v>
      </c>
      <c r="F1554" s="176">
        <v>5820</v>
      </c>
      <c r="G1554" s="177">
        <f>Tabla19[[#This Row],[Importe]]-Tabla19[[#This Row],[Pagado]]</f>
        <v>0</v>
      </c>
      <c r="H1554" s="75" t="s">
        <v>10</v>
      </c>
    </row>
    <row r="1555" spans="1:8" x14ac:dyDescent="0.25">
      <c r="A1555" s="148">
        <v>44789</v>
      </c>
      <c r="B1555" s="149" t="s">
        <v>26268</v>
      </c>
      <c r="C1555" s="153" t="s">
        <v>3683</v>
      </c>
      <c r="D1555" s="178">
        <v>0</v>
      </c>
      <c r="E1555" s="158" t="s">
        <v>189</v>
      </c>
      <c r="F1555" s="178">
        <v>0</v>
      </c>
      <c r="G1555" s="179">
        <f>Tabla19[[#This Row],[Importe]]-Tabla19[[#This Row],[Pagado]]</f>
        <v>0</v>
      </c>
      <c r="H1555" s="159" t="s">
        <v>26269</v>
      </c>
    </row>
    <row r="1556" spans="1:8" x14ac:dyDescent="0.25">
      <c r="A1556" s="73">
        <v>44789</v>
      </c>
      <c r="B1556" s="74" t="s">
        <v>26270</v>
      </c>
      <c r="C1556" s="75" t="s">
        <v>127</v>
      </c>
      <c r="D1556" s="176">
        <v>2876</v>
      </c>
      <c r="E1556" s="151">
        <v>44789</v>
      </c>
      <c r="F1556" s="176">
        <v>2876</v>
      </c>
      <c r="G1556" s="177">
        <f>Tabla19[[#This Row],[Importe]]-Tabla19[[#This Row],[Pagado]]</f>
        <v>0</v>
      </c>
      <c r="H1556" s="75" t="s">
        <v>10</v>
      </c>
    </row>
    <row r="1557" spans="1:8" x14ac:dyDescent="0.25">
      <c r="A1557" s="148">
        <v>44789</v>
      </c>
      <c r="B1557" s="149" t="s">
        <v>26271</v>
      </c>
      <c r="C1557" s="153" t="s">
        <v>357</v>
      </c>
      <c r="D1557" s="178">
        <v>1121</v>
      </c>
      <c r="E1557" s="155">
        <v>44789</v>
      </c>
      <c r="F1557" s="178">
        <v>1121</v>
      </c>
      <c r="G1557" s="179">
        <f>Tabla19[[#This Row],[Importe]]-Tabla19[[#This Row],[Pagado]]</f>
        <v>0</v>
      </c>
      <c r="H1557" s="153" t="s">
        <v>10</v>
      </c>
    </row>
    <row r="1558" spans="1:8" x14ac:dyDescent="0.25">
      <c r="A1558" s="73">
        <v>44789</v>
      </c>
      <c r="B1558" s="74" t="s">
        <v>26272</v>
      </c>
      <c r="C1558" s="75" t="s">
        <v>339</v>
      </c>
      <c r="D1558" s="176">
        <v>722.5</v>
      </c>
      <c r="E1558" s="151">
        <v>44789</v>
      </c>
      <c r="F1558" s="176">
        <v>722.5</v>
      </c>
      <c r="G1558" s="177">
        <f>Tabla19[[#This Row],[Importe]]-Tabla19[[#This Row],[Pagado]]</f>
        <v>0</v>
      </c>
      <c r="H1558" s="75" t="s">
        <v>10</v>
      </c>
    </row>
    <row r="1559" spans="1:8" x14ac:dyDescent="0.25">
      <c r="A1559" s="148">
        <v>44789</v>
      </c>
      <c r="B1559" s="149" t="s">
        <v>26273</v>
      </c>
      <c r="C1559" s="153" t="s">
        <v>146</v>
      </c>
      <c r="D1559" s="178">
        <v>5478.2</v>
      </c>
      <c r="E1559" s="155">
        <v>44789</v>
      </c>
      <c r="F1559" s="178">
        <v>5478.2</v>
      </c>
      <c r="G1559" s="179">
        <f>Tabla19[[#This Row],[Importe]]-Tabla19[[#This Row],[Pagado]]</f>
        <v>0</v>
      </c>
      <c r="H1559" s="153" t="s">
        <v>10</v>
      </c>
    </row>
    <row r="1560" spans="1:8" x14ac:dyDescent="0.25">
      <c r="A1560" s="73">
        <v>44789</v>
      </c>
      <c r="B1560" s="74" t="s">
        <v>26274</v>
      </c>
      <c r="C1560" s="75" t="s">
        <v>664</v>
      </c>
      <c r="D1560" s="176">
        <v>3871.5</v>
      </c>
      <c r="E1560" s="151">
        <v>44789</v>
      </c>
      <c r="F1560" s="176">
        <v>3871.5</v>
      </c>
      <c r="G1560" s="177">
        <f>Tabla19[[#This Row],[Importe]]-Tabla19[[#This Row],[Pagado]]</f>
        <v>0</v>
      </c>
      <c r="H1560" s="75" t="s">
        <v>10</v>
      </c>
    </row>
    <row r="1561" spans="1:8" x14ac:dyDescent="0.25">
      <c r="A1561" s="148">
        <v>44789</v>
      </c>
      <c r="B1561" s="149" t="s">
        <v>26275</v>
      </c>
      <c r="C1561" s="153" t="s">
        <v>1362</v>
      </c>
      <c r="D1561" s="178">
        <v>5367.9</v>
      </c>
      <c r="E1561" s="155">
        <v>44789</v>
      </c>
      <c r="F1561" s="178">
        <v>5367.9</v>
      </c>
      <c r="G1561" s="179">
        <f>Tabla19[[#This Row],[Importe]]-Tabla19[[#This Row],[Pagado]]</f>
        <v>0</v>
      </c>
      <c r="H1561" s="153" t="s">
        <v>10</v>
      </c>
    </row>
    <row r="1562" spans="1:8" x14ac:dyDescent="0.25">
      <c r="A1562" s="73">
        <v>44789</v>
      </c>
      <c r="B1562" s="74" t="s">
        <v>26276</v>
      </c>
      <c r="C1562" s="75" t="s">
        <v>466</v>
      </c>
      <c r="D1562" s="176">
        <v>25384</v>
      </c>
      <c r="E1562" s="151">
        <v>44789</v>
      </c>
      <c r="F1562" s="176">
        <v>25384</v>
      </c>
      <c r="G1562" s="177">
        <f>Tabla19[[#This Row],[Importe]]-Tabla19[[#This Row],[Pagado]]</f>
        <v>0</v>
      </c>
      <c r="H1562" s="75" t="s">
        <v>10</v>
      </c>
    </row>
    <row r="1563" spans="1:8" x14ac:dyDescent="0.25">
      <c r="A1563" s="148">
        <v>44789</v>
      </c>
      <c r="B1563" s="149" t="s">
        <v>26277</v>
      </c>
      <c r="C1563" s="153" t="s">
        <v>31</v>
      </c>
      <c r="D1563" s="178">
        <v>1344</v>
      </c>
      <c r="E1563" s="155">
        <v>44789</v>
      </c>
      <c r="F1563" s="178">
        <v>1344</v>
      </c>
      <c r="G1563" s="179">
        <f>Tabla19[[#This Row],[Importe]]-Tabla19[[#This Row],[Pagado]]</f>
        <v>0</v>
      </c>
      <c r="H1563" s="153" t="s">
        <v>10</v>
      </c>
    </row>
    <row r="1564" spans="1:8" x14ac:dyDescent="0.25">
      <c r="A1564" s="73">
        <v>44789</v>
      </c>
      <c r="B1564" s="74" t="s">
        <v>26278</v>
      </c>
      <c r="C1564" s="75" t="s">
        <v>83</v>
      </c>
      <c r="D1564" s="176">
        <v>12440</v>
      </c>
      <c r="E1564" s="151">
        <v>44789</v>
      </c>
      <c r="F1564" s="176">
        <v>12440</v>
      </c>
      <c r="G1564" s="177">
        <f>Tabla19[[#This Row],[Importe]]-Tabla19[[#This Row],[Pagado]]</f>
        <v>0</v>
      </c>
      <c r="H1564" s="75" t="s">
        <v>10</v>
      </c>
    </row>
    <row r="1565" spans="1:8" x14ac:dyDescent="0.25">
      <c r="A1565" s="148">
        <v>44789</v>
      </c>
      <c r="B1565" s="149" t="s">
        <v>26279</v>
      </c>
      <c r="C1565" s="153" t="s">
        <v>45</v>
      </c>
      <c r="D1565" s="178">
        <v>10941</v>
      </c>
      <c r="E1565" s="155">
        <v>44789</v>
      </c>
      <c r="F1565" s="178">
        <v>10941</v>
      </c>
      <c r="G1565" s="179">
        <f>Tabla19[[#This Row],[Importe]]-Tabla19[[#This Row],[Pagado]]</f>
        <v>0</v>
      </c>
      <c r="H1565" s="153" t="s">
        <v>10</v>
      </c>
    </row>
    <row r="1566" spans="1:8" x14ac:dyDescent="0.25">
      <c r="A1566" s="73">
        <v>44789</v>
      </c>
      <c r="B1566" s="74" t="s">
        <v>26280</v>
      </c>
      <c r="C1566" s="75" t="s">
        <v>107</v>
      </c>
      <c r="D1566" s="176">
        <v>15996.5</v>
      </c>
      <c r="E1566" s="151">
        <v>44789</v>
      </c>
      <c r="F1566" s="176">
        <v>15996.5</v>
      </c>
      <c r="G1566" s="177">
        <f>Tabla19[[#This Row],[Importe]]-Tabla19[[#This Row],[Pagado]]</f>
        <v>0</v>
      </c>
      <c r="H1566" s="75" t="s">
        <v>10</v>
      </c>
    </row>
    <row r="1567" spans="1:8" x14ac:dyDescent="0.25">
      <c r="A1567" s="148">
        <v>44789</v>
      </c>
      <c r="B1567" s="149" t="s">
        <v>26281</v>
      </c>
      <c r="C1567" s="153" t="s">
        <v>214</v>
      </c>
      <c r="D1567" s="178">
        <v>10910.5</v>
      </c>
      <c r="E1567" s="155">
        <v>44789</v>
      </c>
      <c r="F1567" s="178">
        <v>10910.5</v>
      </c>
      <c r="G1567" s="179">
        <f>Tabla19[[#This Row],[Importe]]-Tabla19[[#This Row],[Pagado]]</f>
        <v>0</v>
      </c>
      <c r="H1567" s="153" t="s">
        <v>10</v>
      </c>
    </row>
    <row r="1568" spans="1:8" x14ac:dyDescent="0.25">
      <c r="A1568" s="73">
        <v>44789</v>
      </c>
      <c r="B1568" s="74" t="s">
        <v>26282</v>
      </c>
      <c r="C1568" s="75" t="s">
        <v>226</v>
      </c>
      <c r="D1568" s="176">
        <v>13083.2</v>
      </c>
      <c r="E1568" s="151">
        <v>44789</v>
      </c>
      <c r="F1568" s="176">
        <v>13083.2</v>
      </c>
      <c r="G1568" s="177">
        <f>Tabla19[[#This Row],[Importe]]-Tabla19[[#This Row],[Pagado]]</f>
        <v>0</v>
      </c>
      <c r="H1568" s="75" t="s">
        <v>10</v>
      </c>
    </row>
    <row r="1569" spans="1:8" x14ac:dyDescent="0.25">
      <c r="A1569" s="148">
        <v>44789</v>
      </c>
      <c r="B1569" s="149" t="s">
        <v>26283</v>
      </c>
      <c r="C1569" s="153" t="s">
        <v>24</v>
      </c>
      <c r="D1569" s="178">
        <v>520</v>
      </c>
      <c r="E1569" s="155">
        <v>44789</v>
      </c>
      <c r="F1569" s="178">
        <v>520</v>
      </c>
      <c r="G1569" s="179">
        <f>Tabla19[[#This Row],[Importe]]-Tabla19[[#This Row],[Pagado]]</f>
        <v>0</v>
      </c>
      <c r="H1569" s="153" t="s">
        <v>10</v>
      </c>
    </row>
    <row r="1570" spans="1:8" x14ac:dyDescent="0.25">
      <c r="A1570" s="73">
        <v>44789</v>
      </c>
      <c r="B1570" s="74" t="s">
        <v>26284</v>
      </c>
      <c r="C1570" s="75" t="s">
        <v>224</v>
      </c>
      <c r="D1570" s="176">
        <v>1080</v>
      </c>
      <c r="E1570" s="151">
        <v>44789</v>
      </c>
      <c r="F1570" s="176">
        <v>1080</v>
      </c>
      <c r="G1570" s="177">
        <f>Tabla19[[#This Row],[Importe]]-Tabla19[[#This Row],[Pagado]]</f>
        <v>0</v>
      </c>
      <c r="H1570" s="75" t="s">
        <v>10</v>
      </c>
    </row>
    <row r="1571" spans="1:8" x14ac:dyDescent="0.25">
      <c r="A1571" s="148">
        <v>44789</v>
      </c>
      <c r="B1571" s="149" t="s">
        <v>26285</v>
      </c>
      <c r="C1571" s="153" t="s">
        <v>191</v>
      </c>
      <c r="D1571" s="178">
        <v>1840.3</v>
      </c>
      <c r="E1571" s="155">
        <v>44789</v>
      </c>
      <c r="F1571" s="178">
        <v>1840.3</v>
      </c>
      <c r="G1571" s="179">
        <f>Tabla19[[#This Row],[Importe]]-Tabla19[[#This Row],[Pagado]]</f>
        <v>0</v>
      </c>
      <c r="H1571" s="153" t="s">
        <v>10</v>
      </c>
    </row>
    <row r="1572" spans="1:8" x14ac:dyDescent="0.25">
      <c r="A1572" s="73">
        <v>44789</v>
      </c>
      <c r="B1572" s="74" t="s">
        <v>26286</v>
      </c>
      <c r="C1572" s="75" t="s">
        <v>191</v>
      </c>
      <c r="D1572" s="176">
        <v>418</v>
      </c>
      <c r="E1572" s="151">
        <v>44789</v>
      </c>
      <c r="F1572" s="176">
        <v>418</v>
      </c>
      <c r="G1572" s="177">
        <f>Tabla19[[#This Row],[Importe]]-Tabla19[[#This Row],[Pagado]]</f>
        <v>0</v>
      </c>
      <c r="H1572" s="75" t="s">
        <v>10</v>
      </c>
    </row>
    <row r="1573" spans="1:8" x14ac:dyDescent="0.25">
      <c r="A1573" s="148">
        <v>44789</v>
      </c>
      <c r="B1573" s="149" t="s">
        <v>26287</v>
      </c>
      <c r="C1573" s="153" t="s">
        <v>62</v>
      </c>
      <c r="D1573" s="178">
        <v>4170</v>
      </c>
      <c r="E1573" s="155">
        <v>44789</v>
      </c>
      <c r="F1573" s="178">
        <v>4170</v>
      </c>
      <c r="G1573" s="179">
        <f>Tabla19[[#This Row],[Importe]]-Tabla19[[#This Row],[Pagado]]</f>
        <v>0</v>
      </c>
      <c r="H1573" s="153" t="s">
        <v>10</v>
      </c>
    </row>
    <row r="1574" spans="1:8" x14ac:dyDescent="0.25">
      <c r="A1574" s="73">
        <v>44789</v>
      </c>
      <c r="B1574" s="74" t="s">
        <v>26288</v>
      </c>
      <c r="C1574" s="75" t="s">
        <v>1003</v>
      </c>
      <c r="D1574" s="176">
        <v>10622.8</v>
      </c>
      <c r="E1574" s="151">
        <v>44793</v>
      </c>
      <c r="F1574" s="176">
        <v>10622.8</v>
      </c>
      <c r="G1574" s="177">
        <f>Tabla19[[#This Row],[Importe]]-Tabla19[[#This Row],[Pagado]]</f>
        <v>0</v>
      </c>
      <c r="H1574" s="75" t="s">
        <v>10</v>
      </c>
    </row>
    <row r="1575" spans="1:8" x14ac:dyDescent="0.25">
      <c r="A1575" s="148">
        <v>44789</v>
      </c>
      <c r="B1575" s="149" t="s">
        <v>26289</v>
      </c>
      <c r="C1575" s="153" t="s">
        <v>407</v>
      </c>
      <c r="D1575" s="178">
        <v>25755.599999999999</v>
      </c>
      <c r="E1575" s="155">
        <v>44789</v>
      </c>
      <c r="F1575" s="178">
        <v>25755.599999999999</v>
      </c>
      <c r="G1575" s="179">
        <f>Tabla19[[#This Row],[Importe]]-Tabla19[[#This Row],[Pagado]]</f>
        <v>0</v>
      </c>
      <c r="H1575" s="153" t="s">
        <v>10</v>
      </c>
    </row>
    <row r="1576" spans="1:8" x14ac:dyDescent="0.25">
      <c r="A1576" s="73">
        <v>44789</v>
      </c>
      <c r="B1576" s="74" t="s">
        <v>26290</v>
      </c>
      <c r="C1576" s="75" t="s">
        <v>67</v>
      </c>
      <c r="D1576" s="176">
        <v>2570.4</v>
      </c>
      <c r="E1576" s="151">
        <v>44789</v>
      </c>
      <c r="F1576" s="176">
        <v>2570.4</v>
      </c>
      <c r="G1576" s="177">
        <f>Tabla19[[#This Row],[Importe]]-Tabla19[[#This Row],[Pagado]]</f>
        <v>0</v>
      </c>
      <c r="H1576" s="75" t="s">
        <v>10</v>
      </c>
    </row>
    <row r="1577" spans="1:8" x14ac:dyDescent="0.25">
      <c r="A1577" s="148">
        <v>44789</v>
      </c>
      <c r="B1577" s="149" t="s">
        <v>26291</v>
      </c>
      <c r="C1577" s="153" t="s">
        <v>167</v>
      </c>
      <c r="D1577" s="178">
        <v>126868</v>
      </c>
      <c r="E1577" s="155">
        <v>44789</v>
      </c>
      <c r="F1577" s="178">
        <v>126868</v>
      </c>
      <c r="G1577" s="179">
        <f>Tabla19[[#This Row],[Importe]]-Tabla19[[#This Row],[Pagado]]</f>
        <v>0</v>
      </c>
      <c r="H1577" s="153" t="s">
        <v>10</v>
      </c>
    </row>
    <row r="1578" spans="1:8" x14ac:dyDescent="0.25">
      <c r="A1578" s="73">
        <v>44789</v>
      </c>
      <c r="B1578" s="74" t="s">
        <v>26292</v>
      </c>
      <c r="C1578" s="75" t="s">
        <v>244</v>
      </c>
      <c r="D1578" s="176">
        <v>1268.4000000000001</v>
      </c>
      <c r="E1578" s="151">
        <v>44789</v>
      </c>
      <c r="F1578" s="176">
        <v>1268.4000000000001</v>
      </c>
      <c r="G1578" s="177">
        <f>Tabla19[[#This Row],[Importe]]-Tabla19[[#This Row],[Pagado]]</f>
        <v>0</v>
      </c>
      <c r="H1578" s="75" t="s">
        <v>10</v>
      </c>
    </row>
    <row r="1579" spans="1:8" x14ac:dyDescent="0.25">
      <c r="A1579" s="148">
        <v>44789</v>
      </c>
      <c r="B1579" s="149" t="s">
        <v>26293</v>
      </c>
      <c r="C1579" s="153" t="s">
        <v>53</v>
      </c>
      <c r="D1579" s="178">
        <v>716.5</v>
      </c>
      <c r="E1579" s="155">
        <v>44789</v>
      </c>
      <c r="F1579" s="178">
        <v>716.5</v>
      </c>
      <c r="G1579" s="179">
        <f>Tabla19[[#This Row],[Importe]]-Tabla19[[#This Row],[Pagado]]</f>
        <v>0</v>
      </c>
      <c r="H1579" s="153" t="s">
        <v>10</v>
      </c>
    </row>
    <row r="1580" spans="1:8" x14ac:dyDescent="0.25">
      <c r="A1580" s="73">
        <v>44789</v>
      </c>
      <c r="B1580" s="74" t="s">
        <v>26294</v>
      </c>
      <c r="C1580" s="75" t="s">
        <v>840</v>
      </c>
      <c r="D1580" s="176">
        <v>15985.5</v>
      </c>
      <c r="E1580" s="151">
        <v>44789</v>
      </c>
      <c r="F1580" s="176">
        <v>15985.5</v>
      </c>
      <c r="G1580" s="177">
        <f>Tabla19[[#This Row],[Importe]]-Tabla19[[#This Row],[Pagado]]</f>
        <v>0</v>
      </c>
      <c r="H1580" s="75" t="s">
        <v>10</v>
      </c>
    </row>
    <row r="1581" spans="1:8" x14ac:dyDescent="0.25">
      <c r="A1581" s="148">
        <v>44789</v>
      </c>
      <c r="B1581" s="149" t="s">
        <v>26295</v>
      </c>
      <c r="C1581" s="153" t="s">
        <v>296</v>
      </c>
      <c r="D1581" s="178">
        <v>4012.8</v>
      </c>
      <c r="E1581" s="155">
        <v>44789</v>
      </c>
      <c r="F1581" s="178">
        <v>4012.8</v>
      </c>
      <c r="G1581" s="179">
        <f>Tabla19[[#This Row],[Importe]]-Tabla19[[#This Row],[Pagado]]</f>
        <v>0</v>
      </c>
      <c r="H1581" s="153" t="s">
        <v>10</v>
      </c>
    </row>
    <row r="1582" spans="1:8" x14ac:dyDescent="0.25">
      <c r="A1582" s="73">
        <v>44789</v>
      </c>
      <c r="B1582" s="74" t="s">
        <v>26296</v>
      </c>
      <c r="C1582" s="75" t="s">
        <v>440</v>
      </c>
      <c r="D1582" s="176">
        <v>7038.36</v>
      </c>
      <c r="E1582" s="151">
        <v>44799</v>
      </c>
      <c r="F1582" s="176">
        <v>7038.36</v>
      </c>
      <c r="G1582" s="177">
        <f>Tabla19[[#This Row],[Importe]]-Tabla19[[#This Row],[Pagado]]</f>
        <v>0</v>
      </c>
      <c r="H1582" s="75" t="s">
        <v>10</v>
      </c>
    </row>
    <row r="1583" spans="1:8" x14ac:dyDescent="0.25">
      <c r="A1583" s="148">
        <v>44789</v>
      </c>
      <c r="B1583" s="149" t="s">
        <v>26297</v>
      </c>
      <c r="C1583" s="153" t="s">
        <v>198</v>
      </c>
      <c r="D1583" s="178">
        <v>5812.5</v>
      </c>
      <c r="E1583" s="155">
        <v>44790</v>
      </c>
      <c r="F1583" s="178">
        <v>5812.5</v>
      </c>
      <c r="G1583" s="179">
        <f>Tabla19[[#This Row],[Importe]]-Tabla19[[#This Row],[Pagado]]</f>
        <v>0</v>
      </c>
      <c r="H1583" s="153" t="s">
        <v>10</v>
      </c>
    </row>
    <row r="1584" spans="1:8" x14ac:dyDescent="0.25">
      <c r="A1584" s="73">
        <v>44789</v>
      </c>
      <c r="B1584" s="74" t="s">
        <v>26298</v>
      </c>
      <c r="C1584" s="75" t="s">
        <v>426</v>
      </c>
      <c r="D1584" s="176">
        <v>4089.6</v>
      </c>
      <c r="E1584" s="151">
        <v>44790</v>
      </c>
      <c r="F1584" s="176">
        <v>4089.6</v>
      </c>
      <c r="G1584" s="177">
        <f>Tabla19[[#This Row],[Importe]]-Tabla19[[#This Row],[Pagado]]</f>
        <v>0</v>
      </c>
      <c r="H1584" s="75" t="s">
        <v>10</v>
      </c>
    </row>
    <row r="1585" spans="1:8" x14ac:dyDescent="0.25">
      <c r="A1585" s="148">
        <v>44789</v>
      </c>
      <c r="B1585" s="149" t="s">
        <v>26299</v>
      </c>
      <c r="C1585" s="153" t="s">
        <v>10819</v>
      </c>
      <c r="D1585" s="178">
        <v>824</v>
      </c>
      <c r="E1585" s="155">
        <v>44790</v>
      </c>
      <c r="F1585" s="178">
        <v>824</v>
      </c>
      <c r="G1585" s="179">
        <f>Tabla19[[#This Row],[Importe]]-Tabla19[[#This Row],[Pagado]]</f>
        <v>0</v>
      </c>
      <c r="H1585" s="153" t="s">
        <v>10</v>
      </c>
    </row>
    <row r="1586" spans="1:8" x14ac:dyDescent="0.25">
      <c r="A1586" s="73">
        <v>44789</v>
      </c>
      <c r="B1586" s="74" t="s">
        <v>26300</v>
      </c>
      <c r="C1586" s="75" t="s">
        <v>282</v>
      </c>
      <c r="D1586" s="176">
        <v>3064</v>
      </c>
      <c r="E1586" s="151">
        <v>44790</v>
      </c>
      <c r="F1586" s="176">
        <v>3064</v>
      </c>
      <c r="G1586" s="177">
        <f>Tabla19[[#This Row],[Importe]]-Tabla19[[#This Row],[Pagado]]</f>
        <v>0</v>
      </c>
      <c r="H1586" s="75" t="s">
        <v>10</v>
      </c>
    </row>
    <row r="1587" spans="1:8" x14ac:dyDescent="0.25">
      <c r="A1587" s="148">
        <v>44789</v>
      </c>
      <c r="B1587" s="149" t="s">
        <v>26301</v>
      </c>
      <c r="C1587" s="153" t="s">
        <v>419</v>
      </c>
      <c r="D1587" s="178">
        <v>7645.2</v>
      </c>
      <c r="E1587" s="155">
        <v>44789</v>
      </c>
      <c r="F1587" s="178">
        <v>7645.2</v>
      </c>
      <c r="G1587" s="179">
        <f>Tabla19[[#This Row],[Importe]]-Tabla19[[#This Row],[Pagado]]</f>
        <v>0</v>
      </c>
      <c r="H1587" s="153" t="s">
        <v>10</v>
      </c>
    </row>
    <row r="1588" spans="1:8" x14ac:dyDescent="0.25">
      <c r="A1588" s="73">
        <v>44789</v>
      </c>
      <c r="B1588" s="74" t="s">
        <v>26302</v>
      </c>
      <c r="C1588" s="75" t="s">
        <v>419</v>
      </c>
      <c r="D1588" s="176">
        <v>4108.8999999999996</v>
      </c>
      <c r="E1588" s="151">
        <v>44789</v>
      </c>
      <c r="F1588" s="176">
        <v>4108.8999999999996</v>
      </c>
      <c r="G1588" s="177">
        <f>Tabla19[[#This Row],[Importe]]-Tabla19[[#This Row],[Pagado]]</f>
        <v>0</v>
      </c>
      <c r="H1588" s="75" t="s">
        <v>10</v>
      </c>
    </row>
    <row r="1589" spans="1:8" x14ac:dyDescent="0.25">
      <c r="A1589" s="148">
        <v>44789</v>
      </c>
      <c r="B1589" s="149" t="s">
        <v>26303</v>
      </c>
      <c r="C1589" s="153" t="s">
        <v>56</v>
      </c>
      <c r="D1589" s="178">
        <v>5272.5</v>
      </c>
      <c r="E1589" s="155">
        <v>44789</v>
      </c>
      <c r="F1589" s="178">
        <v>5272.5</v>
      </c>
      <c r="G1589" s="179">
        <f>Tabla19[[#This Row],[Importe]]-Tabla19[[#This Row],[Pagado]]</f>
        <v>0</v>
      </c>
      <c r="H1589" s="153" t="s">
        <v>10</v>
      </c>
    </row>
    <row r="1590" spans="1:8" x14ac:dyDescent="0.25">
      <c r="A1590" s="73">
        <v>44789</v>
      </c>
      <c r="B1590" s="74" t="s">
        <v>26304</v>
      </c>
      <c r="C1590" s="75" t="s">
        <v>142</v>
      </c>
      <c r="D1590" s="176">
        <v>19406.900000000001</v>
      </c>
      <c r="E1590" s="151">
        <v>44841</v>
      </c>
      <c r="F1590" s="176">
        <v>19406.900000000001</v>
      </c>
      <c r="G1590" s="177">
        <f>Tabla19[[#This Row],[Importe]]-Tabla19[[#This Row],[Pagado]]</f>
        <v>0</v>
      </c>
      <c r="H1590" s="75" t="s">
        <v>10</v>
      </c>
    </row>
    <row r="1591" spans="1:8" x14ac:dyDescent="0.25">
      <c r="A1591" s="148">
        <v>44789</v>
      </c>
      <c r="B1591" s="149" t="s">
        <v>26305</v>
      </c>
      <c r="C1591" s="153" t="s">
        <v>179</v>
      </c>
      <c r="D1591" s="178">
        <v>1965.6</v>
      </c>
      <c r="E1591" s="155">
        <v>44790</v>
      </c>
      <c r="F1591" s="178">
        <v>1965.6</v>
      </c>
      <c r="G1591" s="179">
        <f>Tabla19[[#This Row],[Importe]]-Tabla19[[#This Row],[Pagado]]</f>
        <v>0</v>
      </c>
      <c r="H1591" s="153" t="s">
        <v>10</v>
      </c>
    </row>
    <row r="1592" spans="1:8" x14ac:dyDescent="0.25">
      <c r="A1592" s="73">
        <v>44789</v>
      </c>
      <c r="B1592" s="74" t="s">
        <v>26306</v>
      </c>
      <c r="C1592" s="75" t="s">
        <v>10819</v>
      </c>
      <c r="D1592" s="176">
        <v>40</v>
      </c>
      <c r="E1592" s="151">
        <v>44790</v>
      </c>
      <c r="F1592" s="176">
        <v>40</v>
      </c>
      <c r="G1592" s="177">
        <f>Tabla19[[#This Row],[Importe]]-Tabla19[[#This Row],[Pagado]]</f>
        <v>0</v>
      </c>
      <c r="H1592" s="75" t="s">
        <v>10</v>
      </c>
    </row>
    <row r="1593" spans="1:8" x14ac:dyDescent="0.25">
      <c r="A1593" s="148">
        <v>44789</v>
      </c>
      <c r="B1593" s="149" t="s">
        <v>26307</v>
      </c>
      <c r="C1593" s="153" t="s">
        <v>698</v>
      </c>
      <c r="D1593" s="178">
        <v>8100</v>
      </c>
      <c r="E1593" s="155">
        <v>44789</v>
      </c>
      <c r="F1593" s="178">
        <v>8100</v>
      </c>
      <c r="G1593" s="179">
        <f>Tabla19[[#This Row],[Importe]]-Tabla19[[#This Row],[Pagado]]</f>
        <v>0</v>
      </c>
      <c r="H1593" s="153" t="s">
        <v>10</v>
      </c>
    </row>
    <row r="1594" spans="1:8" x14ac:dyDescent="0.25">
      <c r="A1594" s="73">
        <v>44789</v>
      </c>
      <c r="B1594" s="74" t="s">
        <v>26308</v>
      </c>
      <c r="C1594" s="75" t="s">
        <v>31</v>
      </c>
      <c r="D1594" s="176">
        <v>5534</v>
      </c>
      <c r="E1594" s="151">
        <v>44789</v>
      </c>
      <c r="F1594" s="176">
        <v>5534</v>
      </c>
      <c r="G1594" s="177">
        <f>Tabla19[[#This Row],[Importe]]-Tabla19[[#This Row],[Pagado]]</f>
        <v>0</v>
      </c>
      <c r="H1594" s="75" t="s">
        <v>10</v>
      </c>
    </row>
    <row r="1595" spans="1:8" x14ac:dyDescent="0.25">
      <c r="A1595" s="148">
        <v>44789</v>
      </c>
      <c r="B1595" s="149" t="s">
        <v>26309</v>
      </c>
      <c r="C1595" s="153" t="s">
        <v>26310</v>
      </c>
      <c r="D1595" s="178">
        <v>0</v>
      </c>
      <c r="E1595" s="158" t="s">
        <v>189</v>
      </c>
      <c r="F1595" s="178">
        <v>0</v>
      </c>
      <c r="G1595" s="179">
        <f>Tabla19[[#This Row],[Importe]]-Tabla19[[#This Row],[Pagado]]</f>
        <v>0</v>
      </c>
      <c r="H1595" s="153" t="s">
        <v>189</v>
      </c>
    </row>
    <row r="1596" spans="1:8" x14ac:dyDescent="0.25">
      <c r="A1596" s="73">
        <v>44789</v>
      </c>
      <c r="B1596" s="74" t="s">
        <v>26311</v>
      </c>
      <c r="C1596" s="75" t="s">
        <v>8190</v>
      </c>
      <c r="D1596" s="176">
        <v>2664</v>
      </c>
      <c r="E1596" s="151">
        <v>44789</v>
      </c>
      <c r="F1596" s="176">
        <v>2664</v>
      </c>
      <c r="G1596" s="177">
        <f>Tabla19[[#This Row],[Importe]]-Tabla19[[#This Row],[Pagado]]</f>
        <v>0</v>
      </c>
      <c r="H1596" s="75" t="s">
        <v>10</v>
      </c>
    </row>
    <row r="1597" spans="1:8" x14ac:dyDescent="0.25">
      <c r="A1597" s="148">
        <v>44789</v>
      </c>
      <c r="B1597" s="149" t="s">
        <v>26312</v>
      </c>
      <c r="C1597" s="153" t="s">
        <v>31</v>
      </c>
      <c r="D1597" s="178">
        <v>13150.2</v>
      </c>
      <c r="E1597" s="155">
        <v>44789</v>
      </c>
      <c r="F1597" s="178">
        <v>13150.2</v>
      </c>
      <c r="G1597" s="179">
        <f>Tabla19[[#This Row],[Importe]]-Tabla19[[#This Row],[Pagado]]</f>
        <v>0</v>
      </c>
      <c r="H1597" s="153" t="s">
        <v>10</v>
      </c>
    </row>
    <row r="1598" spans="1:8" x14ac:dyDescent="0.25">
      <c r="A1598" s="73">
        <v>44789</v>
      </c>
      <c r="B1598" s="74" t="s">
        <v>26313</v>
      </c>
      <c r="C1598" s="75" t="s">
        <v>448</v>
      </c>
      <c r="D1598" s="176">
        <v>20448</v>
      </c>
      <c r="E1598" s="151">
        <v>44789</v>
      </c>
      <c r="F1598" s="176">
        <v>20448</v>
      </c>
      <c r="G1598" s="177">
        <f>Tabla19[[#This Row],[Importe]]-Tabla19[[#This Row],[Pagado]]</f>
        <v>0</v>
      </c>
      <c r="H1598" s="75" t="s">
        <v>10</v>
      </c>
    </row>
    <row r="1599" spans="1:8" x14ac:dyDescent="0.25">
      <c r="A1599" s="148">
        <v>44789</v>
      </c>
      <c r="B1599" s="149" t="s">
        <v>26314</v>
      </c>
      <c r="C1599" s="153" t="s">
        <v>5694</v>
      </c>
      <c r="D1599" s="178">
        <v>4309.2</v>
      </c>
      <c r="E1599" s="155">
        <v>44789</v>
      </c>
      <c r="F1599" s="178">
        <v>4309.2</v>
      </c>
      <c r="G1599" s="179">
        <f>Tabla19[[#This Row],[Importe]]-Tabla19[[#This Row],[Pagado]]</f>
        <v>0</v>
      </c>
      <c r="H1599" s="153" t="s">
        <v>10</v>
      </c>
    </row>
    <row r="1600" spans="1:8" x14ac:dyDescent="0.25">
      <c r="A1600" s="73">
        <v>44789</v>
      </c>
      <c r="B1600" s="74" t="s">
        <v>26315</v>
      </c>
      <c r="C1600" s="75" t="s">
        <v>452</v>
      </c>
      <c r="D1600" s="176">
        <v>4472</v>
      </c>
      <c r="E1600" s="151">
        <v>44789</v>
      </c>
      <c r="F1600" s="176">
        <v>4472</v>
      </c>
      <c r="G1600" s="177">
        <f>Tabla19[[#This Row],[Importe]]-Tabla19[[#This Row],[Pagado]]</f>
        <v>0</v>
      </c>
      <c r="H1600" s="75" t="s">
        <v>10</v>
      </c>
    </row>
    <row r="1601" spans="1:8" x14ac:dyDescent="0.25">
      <c r="A1601" s="148">
        <v>44789</v>
      </c>
      <c r="B1601" s="149" t="s">
        <v>26316</v>
      </c>
      <c r="C1601" s="153" t="s">
        <v>31</v>
      </c>
      <c r="D1601" s="178">
        <v>2040</v>
      </c>
      <c r="E1601" s="155">
        <v>44789</v>
      </c>
      <c r="F1601" s="178">
        <v>2040</v>
      </c>
      <c r="G1601" s="179">
        <f>Tabla19[[#This Row],[Importe]]-Tabla19[[#This Row],[Pagado]]</f>
        <v>0</v>
      </c>
      <c r="H1601" s="153" t="s">
        <v>10</v>
      </c>
    </row>
    <row r="1602" spans="1:8" x14ac:dyDescent="0.25">
      <c r="A1602" s="73">
        <v>44789</v>
      </c>
      <c r="B1602" s="74" t="s">
        <v>26317</v>
      </c>
      <c r="C1602" s="75" t="s">
        <v>22</v>
      </c>
      <c r="D1602" s="176">
        <v>3012</v>
      </c>
      <c r="E1602" s="151">
        <v>44789</v>
      </c>
      <c r="F1602" s="176">
        <v>3012</v>
      </c>
      <c r="G1602" s="177">
        <f>Tabla19[[#This Row],[Importe]]-Tabla19[[#This Row],[Pagado]]</f>
        <v>0</v>
      </c>
      <c r="H1602" s="75" t="s">
        <v>10</v>
      </c>
    </row>
    <row r="1603" spans="1:8" x14ac:dyDescent="0.25">
      <c r="A1603" s="148">
        <v>44789</v>
      </c>
      <c r="B1603" s="149" t="s">
        <v>26318</v>
      </c>
      <c r="C1603" s="153" t="s">
        <v>31</v>
      </c>
      <c r="D1603" s="178">
        <v>3000</v>
      </c>
      <c r="E1603" s="155">
        <v>44789</v>
      </c>
      <c r="F1603" s="178">
        <v>3000</v>
      </c>
      <c r="G1603" s="179">
        <f>Tabla19[[#This Row],[Importe]]-Tabla19[[#This Row],[Pagado]]</f>
        <v>0</v>
      </c>
      <c r="H1603" s="153" t="s">
        <v>10</v>
      </c>
    </row>
    <row r="1604" spans="1:8" x14ac:dyDescent="0.25">
      <c r="A1604" s="73">
        <v>44789</v>
      </c>
      <c r="B1604" s="74" t="s">
        <v>26319</v>
      </c>
      <c r="C1604" s="75" t="s">
        <v>31</v>
      </c>
      <c r="D1604" s="176">
        <v>6067.2</v>
      </c>
      <c r="E1604" s="151">
        <v>44789</v>
      </c>
      <c r="F1604" s="176">
        <v>6067.2</v>
      </c>
      <c r="G1604" s="177">
        <f>Tabla19[[#This Row],[Importe]]-Tabla19[[#This Row],[Pagado]]</f>
        <v>0</v>
      </c>
      <c r="H1604" s="75" t="s">
        <v>10</v>
      </c>
    </row>
    <row r="1605" spans="1:8" x14ac:dyDescent="0.25">
      <c r="A1605" s="148">
        <v>44789</v>
      </c>
      <c r="B1605" s="149" t="s">
        <v>26320</v>
      </c>
      <c r="C1605" s="153" t="s">
        <v>296</v>
      </c>
      <c r="D1605" s="178">
        <v>2048.5</v>
      </c>
      <c r="E1605" s="155">
        <v>44789</v>
      </c>
      <c r="F1605" s="178">
        <v>2048.5</v>
      </c>
      <c r="G1605" s="179">
        <f>Tabla19[[#This Row],[Importe]]-Tabla19[[#This Row],[Pagado]]</f>
        <v>0</v>
      </c>
      <c r="H1605" s="153" t="s">
        <v>10</v>
      </c>
    </row>
    <row r="1606" spans="1:8" x14ac:dyDescent="0.25">
      <c r="A1606" s="73">
        <v>44789</v>
      </c>
      <c r="B1606" s="74" t="s">
        <v>26321</v>
      </c>
      <c r="C1606" s="75" t="s">
        <v>407</v>
      </c>
      <c r="D1606" s="176">
        <v>10800</v>
      </c>
      <c r="E1606" s="151">
        <v>44790</v>
      </c>
      <c r="F1606" s="176">
        <v>10800</v>
      </c>
      <c r="G1606" s="177">
        <f>Tabla19[[#This Row],[Importe]]-Tabla19[[#This Row],[Pagado]]</f>
        <v>0</v>
      </c>
      <c r="H1606" s="75" t="s">
        <v>10</v>
      </c>
    </row>
    <row r="1607" spans="1:8" x14ac:dyDescent="0.25">
      <c r="A1607" s="148">
        <v>44789</v>
      </c>
      <c r="B1607" s="149" t="s">
        <v>26322</v>
      </c>
      <c r="C1607" s="153" t="s">
        <v>1174</v>
      </c>
      <c r="D1607" s="178">
        <v>8540</v>
      </c>
      <c r="E1607" s="155">
        <v>44789</v>
      </c>
      <c r="F1607" s="178">
        <v>8540</v>
      </c>
      <c r="G1607" s="179">
        <f>Tabla19[[#This Row],[Importe]]-Tabla19[[#This Row],[Pagado]]</f>
        <v>0</v>
      </c>
      <c r="H1607" s="153" t="s">
        <v>10</v>
      </c>
    </row>
    <row r="1608" spans="1:8" x14ac:dyDescent="0.25">
      <c r="A1608" s="73">
        <v>44789</v>
      </c>
      <c r="B1608" s="74" t="s">
        <v>26323</v>
      </c>
      <c r="C1608" s="75" t="s">
        <v>612</v>
      </c>
      <c r="D1608" s="176">
        <v>606</v>
      </c>
      <c r="E1608" s="151">
        <v>44789</v>
      </c>
      <c r="F1608" s="176">
        <v>606</v>
      </c>
      <c r="G1608" s="177">
        <f>Tabla19[[#This Row],[Importe]]-Tabla19[[#This Row],[Pagado]]</f>
        <v>0</v>
      </c>
      <c r="H1608" s="75" t="s">
        <v>10</v>
      </c>
    </row>
    <row r="1609" spans="1:8" x14ac:dyDescent="0.25">
      <c r="A1609" s="148">
        <v>44789</v>
      </c>
      <c r="B1609" s="149" t="s">
        <v>26324</v>
      </c>
      <c r="C1609" s="153" t="s">
        <v>140</v>
      </c>
      <c r="D1609" s="178">
        <v>5427.5</v>
      </c>
      <c r="E1609" s="155">
        <v>44789</v>
      </c>
      <c r="F1609" s="178">
        <v>5427.5</v>
      </c>
      <c r="G1609" s="179">
        <f>Tabla19[[#This Row],[Importe]]-Tabla19[[#This Row],[Pagado]]</f>
        <v>0</v>
      </c>
      <c r="H1609" s="153" t="s">
        <v>10</v>
      </c>
    </row>
    <row r="1610" spans="1:8" x14ac:dyDescent="0.25">
      <c r="A1610" s="73">
        <v>44789</v>
      </c>
      <c r="B1610" s="74" t="s">
        <v>26325</v>
      </c>
      <c r="C1610" s="75" t="s">
        <v>1008</v>
      </c>
      <c r="D1610" s="176">
        <v>1017</v>
      </c>
      <c r="E1610" s="151">
        <v>44789</v>
      </c>
      <c r="F1610" s="176">
        <v>1017</v>
      </c>
      <c r="G1610" s="177">
        <f>Tabla19[[#This Row],[Importe]]-Tabla19[[#This Row],[Pagado]]</f>
        <v>0</v>
      </c>
      <c r="H1610" s="75" t="s">
        <v>10</v>
      </c>
    </row>
    <row r="1611" spans="1:8" x14ac:dyDescent="0.25">
      <c r="A1611" s="148">
        <v>44789</v>
      </c>
      <c r="B1611" s="149" t="s">
        <v>26326</v>
      </c>
      <c r="C1611" s="153" t="s">
        <v>69</v>
      </c>
      <c r="D1611" s="178">
        <v>1742.4</v>
      </c>
      <c r="E1611" s="155">
        <v>44789</v>
      </c>
      <c r="F1611" s="178">
        <v>1742.4</v>
      </c>
      <c r="G1611" s="179">
        <f>Tabla19[[#This Row],[Importe]]-Tabla19[[#This Row],[Pagado]]</f>
        <v>0</v>
      </c>
      <c r="H1611" s="153" t="s">
        <v>10</v>
      </c>
    </row>
    <row r="1612" spans="1:8" x14ac:dyDescent="0.25">
      <c r="A1612" s="73">
        <v>44789</v>
      </c>
      <c r="B1612" s="74" t="s">
        <v>26327</v>
      </c>
      <c r="C1612" s="75" t="s">
        <v>12</v>
      </c>
      <c r="D1612" s="176">
        <v>525</v>
      </c>
      <c r="E1612" s="151">
        <v>44790</v>
      </c>
      <c r="F1612" s="176">
        <v>525</v>
      </c>
      <c r="G1612" s="177">
        <f>Tabla19[[#This Row],[Importe]]-Tabla19[[#This Row],[Pagado]]</f>
        <v>0</v>
      </c>
      <c r="H1612" s="75" t="s">
        <v>10</v>
      </c>
    </row>
    <row r="1613" spans="1:8" x14ac:dyDescent="0.25">
      <c r="A1613" s="148">
        <v>44789</v>
      </c>
      <c r="B1613" s="149" t="s">
        <v>26328</v>
      </c>
      <c r="C1613" s="153" t="s">
        <v>1706</v>
      </c>
      <c r="D1613" s="178">
        <v>8086</v>
      </c>
      <c r="E1613" s="155">
        <v>44786</v>
      </c>
      <c r="F1613" s="178">
        <v>8086</v>
      </c>
      <c r="G1613" s="179">
        <f>Tabla19[[#This Row],[Importe]]-Tabla19[[#This Row],[Pagado]]</f>
        <v>0</v>
      </c>
      <c r="H1613" s="153" t="s">
        <v>10</v>
      </c>
    </row>
    <row r="1614" spans="1:8" x14ac:dyDescent="0.25">
      <c r="A1614" s="73">
        <v>44789</v>
      </c>
      <c r="B1614" s="74" t="s">
        <v>26329</v>
      </c>
      <c r="C1614" s="75" t="s">
        <v>275</v>
      </c>
      <c r="D1614" s="176">
        <v>27045.599999999999</v>
      </c>
      <c r="E1614" s="151">
        <v>44813</v>
      </c>
      <c r="F1614" s="176">
        <v>27045.599999999999</v>
      </c>
      <c r="G1614" s="177">
        <f>Tabla19[[#This Row],[Importe]]-Tabla19[[#This Row],[Pagado]]</f>
        <v>0</v>
      </c>
      <c r="H1614" s="75" t="s">
        <v>10</v>
      </c>
    </row>
    <row r="1615" spans="1:8" x14ac:dyDescent="0.25">
      <c r="A1615" s="148">
        <v>44789</v>
      </c>
      <c r="B1615" s="149" t="s">
        <v>26330</v>
      </c>
      <c r="C1615" s="153" t="s">
        <v>179</v>
      </c>
      <c r="D1615" s="178">
        <v>1760</v>
      </c>
      <c r="E1615" s="155">
        <v>44790</v>
      </c>
      <c r="F1615" s="178">
        <v>1760</v>
      </c>
      <c r="G1615" s="179">
        <f>Tabla19[[#This Row],[Importe]]-Tabla19[[#This Row],[Pagado]]</f>
        <v>0</v>
      </c>
      <c r="H1615" s="153" t="s">
        <v>10</v>
      </c>
    </row>
    <row r="1616" spans="1:8" x14ac:dyDescent="0.25">
      <c r="A1616" s="73">
        <v>44789</v>
      </c>
      <c r="B1616" s="74" t="s">
        <v>26331</v>
      </c>
      <c r="C1616" s="75" t="s">
        <v>135</v>
      </c>
      <c r="D1616" s="176">
        <v>2719.6</v>
      </c>
      <c r="E1616" s="151">
        <v>44790</v>
      </c>
      <c r="F1616" s="176">
        <v>2719.6</v>
      </c>
      <c r="G1616" s="177">
        <f>Tabla19[[#This Row],[Importe]]-Tabla19[[#This Row],[Pagado]]</f>
        <v>0</v>
      </c>
      <c r="H1616" s="75" t="s">
        <v>10</v>
      </c>
    </row>
    <row r="1617" spans="1:8" x14ac:dyDescent="0.25">
      <c r="A1617" s="148">
        <v>44789</v>
      </c>
      <c r="B1617" s="149" t="s">
        <v>26332</v>
      </c>
      <c r="C1617" s="153" t="s">
        <v>849</v>
      </c>
      <c r="D1617" s="178">
        <v>800</v>
      </c>
      <c r="E1617" s="155">
        <v>44789</v>
      </c>
      <c r="F1617" s="178">
        <v>800</v>
      </c>
      <c r="G1617" s="179">
        <f>Tabla19[[#This Row],[Importe]]-Tabla19[[#This Row],[Pagado]]</f>
        <v>0</v>
      </c>
      <c r="H1617" s="153" t="s">
        <v>10</v>
      </c>
    </row>
    <row r="1618" spans="1:8" x14ac:dyDescent="0.25">
      <c r="A1618" s="73">
        <v>44789</v>
      </c>
      <c r="B1618" s="74" t="s">
        <v>26333</v>
      </c>
      <c r="C1618" s="75" t="s">
        <v>450</v>
      </c>
      <c r="D1618" s="176">
        <v>8360</v>
      </c>
      <c r="E1618" s="151">
        <v>44789</v>
      </c>
      <c r="F1618" s="176">
        <v>8360</v>
      </c>
      <c r="G1618" s="177">
        <f>Tabla19[[#This Row],[Importe]]-Tabla19[[#This Row],[Pagado]]</f>
        <v>0</v>
      </c>
      <c r="H1618" s="75" t="s">
        <v>10</v>
      </c>
    </row>
    <row r="1619" spans="1:8" x14ac:dyDescent="0.25">
      <c r="A1619" s="148">
        <v>44790</v>
      </c>
      <c r="B1619" s="149" t="s">
        <v>26334</v>
      </c>
      <c r="C1619" s="153" t="s">
        <v>887</v>
      </c>
      <c r="D1619" s="178">
        <v>15444</v>
      </c>
      <c r="E1619" s="155">
        <v>44790</v>
      </c>
      <c r="F1619" s="178">
        <v>15444</v>
      </c>
      <c r="G1619" s="179">
        <f>Tabla19[[#This Row],[Importe]]-Tabla19[[#This Row],[Pagado]]</f>
        <v>0</v>
      </c>
      <c r="H1619" s="153" t="s">
        <v>10</v>
      </c>
    </row>
    <row r="1620" spans="1:8" ht="31.5" x14ac:dyDescent="0.25">
      <c r="A1620" s="73">
        <v>44790</v>
      </c>
      <c r="B1620" s="74" t="s">
        <v>26335</v>
      </c>
      <c r="C1620" s="75" t="s">
        <v>475</v>
      </c>
      <c r="D1620" s="176">
        <v>101548.5</v>
      </c>
      <c r="E1620" s="147" t="s">
        <v>26336</v>
      </c>
      <c r="F1620" s="176">
        <f>71000+30548.5</f>
        <v>101548.5</v>
      </c>
      <c r="G1620" s="177">
        <f>Tabla19[[#This Row],[Importe]]-Tabla19[[#This Row],[Pagado]]</f>
        <v>0</v>
      </c>
      <c r="H1620" s="75" t="s">
        <v>10</v>
      </c>
    </row>
    <row r="1621" spans="1:8" x14ac:dyDescent="0.25">
      <c r="A1621" s="148">
        <v>44790</v>
      </c>
      <c r="B1621" s="149" t="s">
        <v>26337</v>
      </c>
      <c r="C1621" s="153" t="s">
        <v>111</v>
      </c>
      <c r="D1621" s="178">
        <v>5424.3</v>
      </c>
      <c r="E1621" s="155">
        <v>44791</v>
      </c>
      <c r="F1621" s="178">
        <v>5424.3</v>
      </c>
      <c r="G1621" s="179">
        <f>Tabla19[[#This Row],[Importe]]-Tabla19[[#This Row],[Pagado]]</f>
        <v>0</v>
      </c>
      <c r="H1621" s="153" t="s">
        <v>10</v>
      </c>
    </row>
    <row r="1622" spans="1:8" x14ac:dyDescent="0.25">
      <c r="A1622" s="73">
        <v>44790</v>
      </c>
      <c r="B1622" s="74" t="s">
        <v>26338</v>
      </c>
      <c r="C1622" s="75" t="s">
        <v>114</v>
      </c>
      <c r="D1622" s="176">
        <v>6512</v>
      </c>
      <c r="E1622" s="151">
        <v>44791</v>
      </c>
      <c r="F1622" s="176">
        <v>6512</v>
      </c>
      <c r="G1622" s="177">
        <f>Tabla19[[#This Row],[Importe]]-Tabla19[[#This Row],[Pagado]]</f>
        <v>0</v>
      </c>
      <c r="H1622" s="75" t="s">
        <v>10</v>
      </c>
    </row>
    <row r="1623" spans="1:8" x14ac:dyDescent="0.25">
      <c r="A1623" s="148">
        <v>44790</v>
      </c>
      <c r="B1623" s="149" t="s">
        <v>26339</v>
      </c>
      <c r="C1623" s="153" t="s">
        <v>97</v>
      </c>
      <c r="D1623" s="178">
        <v>4868.5</v>
      </c>
      <c r="E1623" s="155">
        <v>44791</v>
      </c>
      <c r="F1623" s="178">
        <v>4868.5</v>
      </c>
      <c r="G1623" s="179">
        <f>Tabla19[[#This Row],[Importe]]-Tabla19[[#This Row],[Pagado]]</f>
        <v>0</v>
      </c>
      <c r="H1623" s="153" t="s">
        <v>10</v>
      </c>
    </row>
    <row r="1624" spans="1:8" x14ac:dyDescent="0.25">
      <c r="A1624" s="73">
        <v>44790</v>
      </c>
      <c r="B1624" s="74" t="s">
        <v>26340</v>
      </c>
      <c r="C1624" s="75" t="s">
        <v>109</v>
      </c>
      <c r="D1624" s="176">
        <v>5512.5</v>
      </c>
      <c r="E1624" s="151">
        <v>44791</v>
      </c>
      <c r="F1624" s="176">
        <v>5512.5</v>
      </c>
      <c r="G1624" s="177">
        <f>Tabla19[[#This Row],[Importe]]-Tabla19[[#This Row],[Pagado]]</f>
        <v>0</v>
      </c>
      <c r="H1624" s="75" t="s">
        <v>10</v>
      </c>
    </row>
    <row r="1625" spans="1:8" x14ac:dyDescent="0.25">
      <c r="A1625" s="148">
        <v>44790</v>
      </c>
      <c r="B1625" s="149" t="s">
        <v>26341</v>
      </c>
      <c r="C1625" s="153" t="s">
        <v>348</v>
      </c>
      <c r="D1625" s="178">
        <v>6079.5</v>
      </c>
      <c r="E1625" s="155">
        <v>44790</v>
      </c>
      <c r="F1625" s="178">
        <v>6079.5</v>
      </c>
      <c r="G1625" s="179">
        <f>Tabla19[[#This Row],[Importe]]-Tabla19[[#This Row],[Pagado]]</f>
        <v>0</v>
      </c>
      <c r="H1625" s="153" t="s">
        <v>10</v>
      </c>
    </row>
    <row r="1626" spans="1:8" x14ac:dyDescent="0.25">
      <c r="A1626" s="73">
        <v>44790</v>
      </c>
      <c r="B1626" s="74" t="s">
        <v>26342</v>
      </c>
      <c r="C1626" s="75" t="s">
        <v>326</v>
      </c>
      <c r="D1626" s="176">
        <v>5408</v>
      </c>
      <c r="E1626" s="151">
        <v>44792</v>
      </c>
      <c r="F1626" s="176">
        <v>5408</v>
      </c>
      <c r="G1626" s="177">
        <f>Tabla19[[#This Row],[Importe]]-Tabla19[[#This Row],[Pagado]]</f>
        <v>0</v>
      </c>
      <c r="H1626" s="75" t="s">
        <v>10</v>
      </c>
    </row>
    <row r="1627" spans="1:8" x14ac:dyDescent="0.25">
      <c r="A1627" s="148">
        <v>44790</v>
      </c>
      <c r="B1627" s="149" t="s">
        <v>26343</v>
      </c>
      <c r="C1627" s="153" t="s">
        <v>353</v>
      </c>
      <c r="D1627" s="178">
        <v>2915.5</v>
      </c>
      <c r="E1627" s="155">
        <v>44790</v>
      </c>
      <c r="F1627" s="178">
        <v>2915.5</v>
      </c>
      <c r="G1627" s="179">
        <f>Tabla19[[#This Row],[Importe]]-Tabla19[[#This Row],[Pagado]]</f>
        <v>0</v>
      </c>
      <c r="H1627" s="153" t="s">
        <v>10</v>
      </c>
    </row>
    <row r="1628" spans="1:8" x14ac:dyDescent="0.25">
      <c r="A1628" s="73">
        <v>44790</v>
      </c>
      <c r="B1628" s="74" t="s">
        <v>26344</v>
      </c>
      <c r="C1628" s="75" t="s">
        <v>89</v>
      </c>
      <c r="D1628" s="176">
        <v>9239.4</v>
      </c>
      <c r="E1628" s="151">
        <v>44791</v>
      </c>
      <c r="F1628" s="176">
        <v>9239.4</v>
      </c>
      <c r="G1628" s="177">
        <f>Tabla19[[#This Row],[Importe]]-Tabla19[[#This Row],[Pagado]]</f>
        <v>0</v>
      </c>
      <c r="H1628" s="75" t="s">
        <v>10</v>
      </c>
    </row>
    <row r="1629" spans="1:8" x14ac:dyDescent="0.25">
      <c r="A1629" s="148">
        <v>44790</v>
      </c>
      <c r="B1629" s="149" t="s">
        <v>26345</v>
      </c>
      <c r="C1629" s="153" t="s">
        <v>93</v>
      </c>
      <c r="D1629" s="178">
        <v>6180.3</v>
      </c>
      <c r="E1629" s="155">
        <v>44792</v>
      </c>
      <c r="F1629" s="178">
        <v>6180.3</v>
      </c>
      <c r="G1629" s="179">
        <f>Tabla19[[#This Row],[Importe]]-Tabla19[[#This Row],[Pagado]]</f>
        <v>0</v>
      </c>
      <c r="H1629" s="153" t="s">
        <v>10</v>
      </c>
    </row>
    <row r="1630" spans="1:8" x14ac:dyDescent="0.25">
      <c r="A1630" s="73">
        <v>44790</v>
      </c>
      <c r="B1630" s="74" t="s">
        <v>26346</v>
      </c>
      <c r="C1630" s="75" t="s">
        <v>64</v>
      </c>
      <c r="D1630" s="176">
        <v>5063.5</v>
      </c>
      <c r="E1630" s="151">
        <v>44792</v>
      </c>
      <c r="F1630" s="176">
        <v>5063.5</v>
      </c>
      <c r="G1630" s="177">
        <f>Tabla19[[#This Row],[Importe]]-Tabla19[[#This Row],[Pagado]]</f>
        <v>0</v>
      </c>
      <c r="H1630" s="75" t="s">
        <v>10</v>
      </c>
    </row>
    <row r="1631" spans="1:8" x14ac:dyDescent="0.25">
      <c r="A1631" s="148">
        <v>44790</v>
      </c>
      <c r="B1631" s="149" t="s">
        <v>26347</v>
      </c>
      <c r="C1631" s="153" t="s">
        <v>2151</v>
      </c>
      <c r="D1631" s="178">
        <v>17297</v>
      </c>
      <c r="E1631" s="155">
        <v>44790</v>
      </c>
      <c r="F1631" s="178">
        <v>17297</v>
      </c>
      <c r="G1631" s="179">
        <f>Tabla19[[#This Row],[Importe]]-Tabla19[[#This Row],[Pagado]]</f>
        <v>0</v>
      </c>
      <c r="H1631" s="153" t="s">
        <v>10</v>
      </c>
    </row>
    <row r="1632" spans="1:8" x14ac:dyDescent="0.25">
      <c r="A1632" s="73">
        <v>44790</v>
      </c>
      <c r="B1632" s="74" t="s">
        <v>26348</v>
      </c>
      <c r="C1632" s="75" t="s">
        <v>16</v>
      </c>
      <c r="D1632" s="176">
        <v>5412.8</v>
      </c>
      <c r="E1632" s="151">
        <v>44790</v>
      </c>
      <c r="F1632" s="176">
        <v>5412.8</v>
      </c>
      <c r="G1632" s="177">
        <f>Tabla19[[#This Row],[Importe]]-Tabla19[[#This Row],[Pagado]]</f>
        <v>0</v>
      </c>
      <c r="H1632" s="75" t="s">
        <v>10</v>
      </c>
    </row>
    <row r="1633" spans="1:8" x14ac:dyDescent="0.25">
      <c r="A1633" s="148">
        <v>44790</v>
      </c>
      <c r="B1633" s="149" t="s">
        <v>26349</v>
      </c>
      <c r="C1633" s="153" t="s">
        <v>17556</v>
      </c>
      <c r="D1633" s="178">
        <v>4129.2</v>
      </c>
      <c r="E1633" s="155">
        <v>44790</v>
      </c>
      <c r="F1633" s="178">
        <v>4129.2</v>
      </c>
      <c r="G1633" s="179">
        <f>Tabla19[[#This Row],[Importe]]-Tabla19[[#This Row],[Pagado]]</f>
        <v>0</v>
      </c>
      <c r="H1633" s="153" t="s">
        <v>10</v>
      </c>
    </row>
    <row r="1634" spans="1:8" x14ac:dyDescent="0.25">
      <c r="A1634" s="73">
        <v>44790</v>
      </c>
      <c r="B1634" s="74" t="s">
        <v>26350</v>
      </c>
      <c r="C1634" s="75" t="s">
        <v>161</v>
      </c>
      <c r="D1634" s="176">
        <v>4395.6000000000004</v>
      </c>
      <c r="E1634" s="151">
        <v>44790</v>
      </c>
      <c r="F1634" s="176">
        <v>4395.6000000000004</v>
      </c>
      <c r="G1634" s="177">
        <f>Tabla19[[#This Row],[Importe]]-Tabla19[[#This Row],[Pagado]]</f>
        <v>0</v>
      </c>
      <c r="H1634" s="75" t="s">
        <v>10</v>
      </c>
    </row>
    <row r="1635" spans="1:8" x14ac:dyDescent="0.25">
      <c r="A1635" s="148">
        <v>44790</v>
      </c>
      <c r="B1635" s="149" t="s">
        <v>26351</v>
      </c>
      <c r="C1635" s="153" t="s">
        <v>9</v>
      </c>
      <c r="D1635" s="178">
        <v>9780.2000000000007</v>
      </c>
      <c r="E1635" s="155">
        <v>44790</v>
      </c>
      <c r="F1635" s="178">
        <v>9780.2000000000007</v>
      </c>
      <c r="G1635" s="179">
        <f>Tabla19[[#This Row],[Importe]]-Tabla19[[#This Row],[Pagado]]</f>
        <v>0</v>
      </c>
      <c r="H1635" s="153" t="s">
        <v>10</v>
      </c>
    </row>
    <row r="1636" spans="1:8" x14ac:dyDescent="0.25">
      <c r="A1636" s="73">
        <v>44790</v>
      </c>
      <c r="B1636" s="74" t="s">
        <v>26352</v>
      </c>
      <c r="C1636" s="75" t="s">
        <v>1187</v>
      </c>
      <c r="D1636" s="176">
        <v>996</v>
      </c>
      <c r="E1636" s="151">
        <v>44790</v>
      </c>
      <c r="F1636" s="176">
        <v>996</v>
      </c>
      <c r="G1636" s="177">
        <f>Tabla19[[#This Row],[Importe]]-Tabla19[[#This Row],[Pagado]]</f>
        <v>0</v>
      </c>
      <c r="H1636" s="75" t="s">
        <v>10</v>
      </c>
    </row>
    <row r="1637" spans="1:8" x14ac:dyDescent="0.25">
      <c r="A1637" s="148">
        <v>44790</v>
      </c>
      <c r="B1637" s="149" t="s">
        <v>26353</v>
      </c>
      <c r="C1637" s="153" t="s">
        <v>105</v>
      </c>
      <c r="D1637" s="178">
        <v>16068.4</v>
      </c>
      <c r="E1637" s="155">
        <v>44791</v>
      </c>
      <c r="F1637" s="178">
        <v>16068.4</v>
      </c>
      <c r="G1637" s="179">
        <f>Tabla19[[#This Row],[Importe]]-Tabla19[[#This Row],[Pagado]]</f>
        <v>0</v>
      </c>
      <c r="H1637" s="153" t="s">
        <v>10</v>
      </c>
    </row>
    <row r="1638" spans="1:8" x14ac:dyDescent="0.25">
      <c r="A1638" s="73">
        <v>44790</v>
      </c>
      <c r="B1638" s="74" t="s">
        <v>26354</v>
      </c>
      <c r="C1638" s="75" t="s">
        <v>348</v>
      </c>
      <c r="D1638" s="176">
        <v>624</v>
      </c>
      <c r="E1638" s="151">
        <v>44790</v>
      </c>
      <c r="F1638" s="176">
        <v>624</v>
      </c>
      <c r="G1638" s="177">
        <f>Tabla19[[#This Row],[Importe]]-Tabla19[[#This Row],[Pagado]]</f>
        <v>0</v>
      </c>
      <c r="H1638" s="75" t="s">
        <v>10</v>
      </c>
    </row>
    <row r="1639" spans="1:8" x14ac:dyDescent="0.25">
      <c r="A1639" s="148">
        <v>44790</v>
      </c>
      <c r="B1639" s="149" t="s">
        <v>26355</v>
      </c>
      <c r="C1639" s="153" t="s">
        <v>484</v>
      </c>
      <c r="D1639" s="178">
        <v>4165.2</v>
      </c>
      <c r="E1639" s="155">
        <v>44790</v>
      </c>
      <c r="F1639" s="178">
        <v>4165.2</v>
      </c>
      <c r="G1639" s="179">
        <f>Tabla19[[#This Row],[Importe]]-Tabla19[[#This Row],[Pagado]]</f>
        <v>0</v>
      </c>
      <c r="H1639" s="153" t="s">
        <v>10</v>
      </c>
    </row>
    <row r="1640" spans="1:8" x14ac:dyDescent="0.25">
      <c r="A1640" s="73">
        <v>44790</v>
      </c>
      <c r="B1640" s="74" t="s">
        <v>26356</v>
      </c>
      <c r="C1640" s="75" t="s">
        <v>5126</v>
      </c>
      <c r="D1640" s="176">
        <v>50313.9</v>
      </c>
      <c r="E1640" s="151">
        <v>44790</v>
      </c>
      <c r="F1640" s="176">
        <v>50313.9</v>
      </c>
      <c r="G1640" s="177">
        <f>Tabla19[[#This Row],[Importe]]-Tabla19[[#This Row],[Pagado]]</f>
        <v>0</v>
      </c>
      <c r="H1640" s="75" t="s">
        <v>10</v>
      </c>
    </row>
    <row r="1641" spans="1:8" x14ac:dyDescent="0.25">
      <c r="A1641" s="148">
        <v>44790</v>
      </c>
      <c r="B1641" s="149" t="s">
        <v>26357</v>
      </c>
      <c r="C1641" s="153" t="s">
        <v>75</v>
      </c>
      <c r="D1641" s="178">
        <v>3439.8</v>
      </c>
      <c r="E1641" s="155">
        <v>44790</v>
      </c>
      <c r="F1641" s="178">
        <v>3439.8</v>
      </c>
      <c r="G1641" s="179">
        <f>Tabla19[[#This Row],[Importe]]-Tabla19[[#This Row],[Pagado]]</f>
        <v>0</v>
      </c>
      <c r="H1641" s="153" t="s">
        <v>10</v>
      </c>
    </row>
    <row r="1642" spans="1:8" x14ac:dyDescent="0.25">
      <c r="A1642" s="73">
        <v>44790</v>
      </c>
      <c r="B1642" s="74" t="s">
        <v>26358</v>
      </c>
      <c r="C1642" s="75" t="s">
        <v>263</v>
      </c>
      <c r="D1642" s="176">
        <v>104868.6</v>
      </c>
      <c r="E1642" s="151">
        <v>44790</v>
      </c>
      <c r="F1642" s="176">
        <v>104868.6</v>
      </c>
      <c r="G1642" s="177">
        <f>Tabla19[[#This Row],[Importe]]-Tabla19[[#This Row],[Pagado]]</f>
        <v>0</v>
      </c>
      <c r="H1642" s="75" t="s">
        <v>10</v>
      </c>
    </row>
    <row r="1643" spans="1:8" x14ac:dyDescent="0.25">
      <c r="A1643" s="148">
        <v>44790</v>
      </c>
      <c r="B1643" s="149" t="s">
        <v>26359</v>
      </c>
      <c r="C1643" s="153" t="s">
        <v>26360</v>
      </c>
      <c r="D1643" s="178">
        <v>0</v>
      </c>
      <c r="E1643" s="158" t="s">
        <v>189</v>
      </c>
      <c r="F1643" s="178">
        <v>0</v>
      </c>
      <c r="G1643" s="179">
        <f>Tabla19[[#This Row],[Importe]]-Tabla19[[#This Row],[Pagado]]</f>
        <v>0</v>
      </c>
      <c r="H1643" s="159" t="s">
        <v>26361</v>
      </c>
    </row>
    <row r="1644" spans="1:8" x14ac:dyDescent="0.25">
      <c r="A1644" s="73">
        <v>44790</v>
      </c>
      <c r="B1644" s="74" t="s">
        <v>26362</v>
      </c>
      <c r="C1644" s="75" t="s">
        <v>196</v>
      </c>
      <c r="D1644" s="176">
        <v>17944.2</v>
      </c>
      <c r="E1644" s="151">
        <v>44792</v>
      </c>
      <c r="F1644" s="176">
        <v>17944.2</v>
      </c>
      <c r="G1644" s="177">
        <f>Tabla19[[#This Row],[Importe]]-Tabla19[[#This Row],[Pagado]]</f>
        <v>0</v>
      </c>
      <c r="H1644" s="75" t="s">
        <v>10</v>
      </c>
    </row>
    <row r="1645" spans="1:8" x14ac:dyDescent="0.25">
      <c r="A1645" s="148">
        <v>44790</v>
      </c>
      <c r="B1645" s="149" t="s">
        <v>26363</v>
      </c>
      <c r="C1645" s="153" t="s">
        <v>27</v>
      </c>
      <c r="D1645" s="178">
        <v>5754.6</v>
      </c>
      <c r="E1645" s="155">
        <v>44790</v>
      </c>
      <c r="F1645" s="178">
        <v>5754.6</v>
      </c>
      <c r="G1645" s="179">
        <f>Tabla19[[#This Row],[Importe]]-Tabla19[[#This Row],[Pagado]]</f>
        <v>0</v>
      </c>
      <c r="H1645" s="153" t="s">
        <v>10</v>
      </c>
    </row>
    <row r="1646" spans="1:8" x14ac:dyDescent="0.25">
      <c r="A1646" s="73">
        <v>44790</v>
      </c>
      <c r="B1646" s="74" t="s">
        <v>26364</v>
      </c>
      <c r="C1646" s="75" t="s">
        <v>87</v>
      </c>
      <c r="D1646" s="176">
        <v>3983.2</v>
      </c>
      <c r="E1646" s="151">
        <v>44790</v>
      </c>
      <c r="F1646" s="176">
        <v>3983.2</v>
      </c>
      <c r="G1646" s="177">
        <f>Tabla19[[#This Row],[Importe]]-Tabla19[[#This Row],[Pagado]]</f>
        <v>0</v>
      </c>
      <c r="H1646" s="75" t="s">
        <v>10</v>
      </c>
    </row>
    <row r="1647" spans="1:8" x14ac:dyDescent="0.25">
      <c r="A1647" s="148">
        <v>44790</v>
      </c>
      <c r="B1647" s="149" t="s">
        <v>26365</v>
      </c>
      <c r="C1647" s="153" t="s">
        <v>83</v>
      </c>
      <c r="D1647" s="178">
        <v>12136</v>
      </c>
      <c r="E1647" s="155">
        <v>44790</v>
      </c>
      <c r="F1647" s="178">
        <v>12136</v>
      </c>
      <c r="G1647" s="179">
        <f>Tabla19[[#This Row],[Importe]]-Tabla19[[#This Row],[Pagado]]</f>
        <v>0</v>
      </c>
      <c r="H1647" s="153" t="s">
        <v>10</v>
      </c>
    </row>
    <row r="1648" spans="1:8" x14ac:dyDescent="0.25">
      <c r="A1648" s="73">
        <v>44790</v>
      </c>
      <c r="B1648" s="74" t="s">
        <v>26366</v>
      </c>
      <c r="C1648" s="75" t="s">
        <v>146</v>
      </c>
      <c r="D1648" s="176">
        <v>5848</v>
      </c>
      <c r="E1648" s="151">
        <v>44790</v>
      </c>
      <c r="F1648" s="176">
        <v>5848</v>
      </c>
      <c r="G1648" s="177">
        <f>Tabla19[[#This Row],[Importe]]-Tabla19[[#This Row],[Pagado]]</f>
        <v>0</v>
      </c>
      <c r="H1648" s="75" t="s">
        <v>10</v>
      </c>
    </row>
    <row r="1649" spans="1:8" x14ac:dyDescent="0.25">
      <c r="A1649" s="148">
        <v>44790</v>
      </c>
      <c r="B1649" s="149" t="s">
        <v>26367</v>
      </c>
      <c r="C1649" s="153" t="s">
        <v>13420</v>
      </c>
      <c r="D1649" s="178">
        <v>0</v>
      </c>
      <c r="E1649" s="158" t="s">
        <v>189</v>
      </c>
      <c r="F1649" s="178">
        <v>0</v>
      </c>
      <c r="G1649" s="179">
        <f>Tabla19[[#This Row],[Importe]]-Tabla19[[#This Row],[Pagado]]</f>
        <v>0</v>
      </c>
      <c r="H1649" s="153" t="s">
        <v>189</v>
      </c>
    </row>
    <row r="1650" spans="1:8" x14ac:dyDescent="0.25">
      <c r="A1650" s="73">
        <v>44790</v>
      </c>
      <c r="B1650" s="74" t="s">
        <v>26368</v>
      </c>
      <c r="C1650" s="75" t="s">
        <v>11033</v>
      </c>
      <c r="D1650" s="176">
        <v>1832.8</v>
      </c>
      <c r="E1650" s="151">
        <v>44790</v>
      </c>
      <c r="F1650" s="176">
        <v>1832.8</v>
      </c>
      <c r="G1650" s="177">
        <f>Tabla19[[#This Row],[Importe]]-Tabla19[[#This Row],[Pagado]]</f>
        <v>0</v>
      </c>
      <c r="H1650" s="75" t="s">
        <v>10</v>
      </c>
    </row>
    <row r="1651" spans="1:8" x14ac:dyDescent="0.25">
      <c r="A1651" s="148">
        <v>44790</v>
      </c>
      <c r="B1651" s="149" t="s">
        <v>26369</v>
      </c>
      <c r="C1651" s="153" t="s">
        <v>142</v>
      </c>
      <c r="D1651" s="178">
        <v>67461.399999999994</v>
      </c>
      <c r="E1651" s="155">
        <v>44841</v>
      </c>
      <c r="F1651" s="178">
        <v>67461.399999999994</v>
      </c>
      <c r="G1651" s="179">
        <f>Tabla19[[#This Row],[Importe]]-Tabla19[[#This Row],[Pagado]]</f>
        <v>0</v>
      </c>
      <c r="H1651" s="153" t="s">
        <v>10</v>
      </c>
    </row>
    <row r="1652" spans="1:8" x14ac:dyDescent="0.25">
      <c r="A1652" s="73">
        <v>44790</v>
      </c>
      <c r="B1652" s="74" t="s">
        <v>26370</v>
      </c>
      <c r="C1652" s="75" t="s">
        <v>576</v>
      </c>
      <c r="D1652" s="176">
        <v>2499.1</v>
      </c>
      <c r="E1652" s="151">
        <v>44790</v>
      </c>
      <c r="F1652" s="176">
        <v>2499.1</v>
      </c>
      <c r="G1652" s="177">
        <f>Tabla19[[#This Row],[Importe]]-Tabla19[[#This Row],[Pagado]]</f>
        <v>0</v>
      </c>
      <c r="H1652" s="75" t="s">
        <v>10</v>
      </c>
    </row>
    <row r="1653" spans="1:8" x14ac:dyDescent="0.25">
      <c r="A1653" s="148">
        <v>44790</v>
      </c>
      <c r="B1653" s="149" t="s">
        <v>26371</v>
      </c>
      <c r="C1653" s="153" t="s">
        <v>348</v>
      </c>
      <c r="D1653" s="178">
        <v>2726</v>
      </c>
      <c r="E1653" s="155">
        <v>44790</v>
      </c>
      <c r="F1653" s="178">
        <v>2726</v>
      </c>
      <c r="G1653" s="179">
        <f>Tabla19[[#This Row],[Importe]]-Tabla19[[#This Row],[Pagado]]</f>
        <v>0</v>
      </c>
      <c r="H1653" s="153" t="s">
        <v>10</v>
      </c>
    </row>
    <row r="1654" spans="1:8" x14ac:dyDescent="0.25">
      <c r="A1654" s="73">
        <v>44790</v>
      </c>
      <c r="B1654" s="74" t="s">
        <v>26372</v>
      </c>
      <c r="C1654" s="75" t="s">
        <v>181</v>
      </c>
      <c r="D1654" s="176">
        <v>17961.599999999999</v>
      </c>
      <c r="E1654" s="151">
        <v>44790</v>
      </c>
      <c r="F1654" s="176">
        <v>17961.599999999999</v>
      </c>
      <c r="G1654" s="177">
        <f>Tabla19[[#This Row],[Importe]]-Tabla19[[#This Row],[Pagado]]</f>
        <v>0</v>
      </c>
      <c r="H1654" s="75" t="s">
        <v>10</v>
      </c>
    </row>
    <row r="1655" spans="1:8" x14ac:dyDescent="0.25">
      <c r="A1655" s="148">
        <v>44790</v>
      </c>
      <c r="B1655" s="149" t="s">
        <v>26373</v>
      </c>
      <c r="C1655" s="153" t="s">
        <v>175</v>
      </c>
      <c r="D1655" s="178">
        <v>5743.9</v>
      </c>
      <c r="E1655" s="155">
        <v>44790</v>
      </c>
      <c r="F1655" s="178">
        <v>5743.9</v>
      </c>
      <c r="G1655" s="179">
        <f>Tabla19[[#This Row],[Importe]]-Tabla19[[#This Row],[Pagado]]</f>
        <v>0</v>
      </c>
      <c r="H1655" s="153" t="s">
        <v>10</v>
      </c>
    </row>
    <row r="1656" spans="1:8" x14ac:dyDescent="0.25">
      <c r="A1656" s="73">
        <v>44790</v>
      </c>
      <c r="B1656" s="74" t="s">
        <v>26374</v>
      </c>
      <c r="C1656" s="75" t="s">
        <v>11383</v>
      </c>
      <c r="D1656" s="176">
        <v>12616.2</v>
      </c>
      <c r="E1656" s="151">
        <v>44790</v>
      </c>
      <c r="F1656" s="176">
        <v>12616.2</v>
      </c>
      <c r="G1656" s="177">
        <f>Tabla19[[#This Row],[Importe]]-Tabla19[[#This Row],[Pagado]]</f>
        <v>0</v>
      </c>
      <c r="H1656" s="75" t="s">
        <v>10</v>
      </c>
    </row>
    <row r="1657" spans="1:8" x14ac:dyDescent="0.25">
      <c r="A1657" s="148">
        <v>44790</v>
      </c>
      <c r="B1657" s="149" t="s">
        <v>26375</v>
      </c>
      <c r="C1657" s="153" t="s">
        <v>212</v>
      </c>
      <c r="D1657" s="178">
        <v>49627.8</v>
      </c>
      <c r="E1657" s="155">
        <v>44793</v>
      </c>
      <c r="F1657" s="178">
        <v>49627.8</v>
      </c>
      <c r="G1657" s="179">
        <f>Tabla19[[#This Row],[Importe]]-Tabla19[[#This Row],[Pagado]]</f>
        <v>0</v>
      </c>
      <c r="H1657" s="153" t="s">
        <v>10</v>
      </c>
    </row>
    <row r="1658" spans="1:8" x14ac:dyDescent="0.25">
      <c r="A1658" s="73">
        <v>44790</v>
      </c>
      <c r="B1658" s="74" t="s">
        <v>26376</v>
      </c>
      <c r="C1658" s="75" t="s">
        <v>426</v>
      </c>
      <c r="D1658" s="176">
        <v>2569.1999999999998</v>
      </c>
      <c r="E1658" s="151">
        <v>44790</v>
      </c>
      <c r="F1658" s="176">
        <v>2569.1999999999998</v>
      </c>
      <c r="G1658" s="177">
        <f>Tabla19[[#This Row],[Importe]]-Tabla19[[#This Row],[Pagado]]</f>
        <v>0</v>
      </c>
      <c r="H1658" s="75" t="s">
        <v>10</v>
      </c>
    </row>
    <row r="1659" spans="1:8" x14ac:dyDescent="0.25">
      <c r="A1659" s="148">
        <v>44790</v>
      </c>
      <c r="B1659" s="149" t="s">
        <v>26377</v>
      </c>
      <c r="C1659" s="153" t="s">
        <v>218</v>
      </c>
      <c r="D1659" s="178">
        <v>16051.6</v>
      </c>
      <c r="E1659" s="155">
        <v>44793</v>
      </c>
      <c r="F1659" s="178">
        <v>16051.6</v>
      </c>
      <c r="G1659" s="179">
        <f>Tabla19[[#This Row],[Importe]]-Tabla19[[#This Row],[Pagado]]</f>
        <v>0</v>
      </c>
      <c r="H1659" s="153" t="s">
        <v>10</v>
      </c>
    </row>
    <row r="1660" spans="1:8" x14ac:dyDescent="0.25">
      <c r="A1660" s="73">
        <v>44790</v>
      </c>
      <c r="B1660" s="74" t="s">
        <v>26378</v>
      </c>
      <c r="C1660" s="75" t="s">
        <v>206</v>
      </c>
      <c r="D1660" s="176">
        <v>14659.4</v>
      </c>
      <c r="E1660" s="151">
        <v>44793</v>
      </c>
      <c r="F1660" s="176">
        <v>14659.4</v>
      </c>
      <c r="G1660" s="177">
        <f>Tabla19[[#This Row],[Importe]]-Tabla19[[#This Row],[Pagado]]</f>
        <v>0</v>
      </c>
      <c r="H1660" s="75" t="s">
        <v>10</v>
      </c>
    </row>
    <row r="1661" spans="1:8" x14ac:dyDescent="0.25">
      <c r="A1661" s="148">
        <v>44790</v>
      </c>
      <c r="B1661" s="149" t="s">
        <v>26379</v>
      </c>
      <c r="C1661" s="153" t="s">
        <v>19637</v>
      </c>
      <c r="D1661" s="178">
        <v>4011</v>
      </c>
      <c r="E1661" s="155">
        <v>44798</v>
      </c>
      <c r="F1661" s="178">
        <v>4011</v>
      </c>
      <c r="G1661" s="179">
        <f>Tabla19[[#This Row],[Importe]]-Tabla19[[#This Row],[Pagado]]</f>
        <v>0</v>
      </c>
      <c r="H1661" s="153" t="s">
        <v>10</v>
      </c>
    </row>
    <row r="1662" spans="1:8" x14ac:dyDescent="0.25">
      <c r="A1662" s="73">
        <v>44790</v>
      </c>
      <c r="B1662" s="74" t="s">
        <v>26380</v>
      </c>
      <c r="C1662" s="75" t="s">
        <v>56</v>
      </c>
      <c r="D1662" s="176">
        <v>6202.5</v>
      </c>
      <c r="E1662" s="151">
        <v>44790</v>
      </c>
      <c r="F1662" s="176">
        <v>6202.5</v>
      </c>
      <c r="G1662" s="177">
        <f>Tabla19[[#This Row],[Importe]]-Tabla19[[#This Row],[Pagado]]</f>
        <v>0</v>
      </c>
      <c r="H1662" s="75" t="s">
        <v>10</v>
      </c>
    </row>
    <row r="1663" spans="1:8" x14ac:dyDescent="0.25">
      <c r="A1663" s="148">
        <v>44790</v>
      </c>
      <c r="B1663" s="149" t="s">
        <v>26381</v>
      </c>
      <c r="C1663" s="153" t="s">
        <v>173</v>
      </c>
      <c r="D1663" s="178">
        <v>8032</v>
      </c>
      <c r="E1663" s="155">
        <v>44791</v>
      </c>
      <c r="F1663" s="178">
        <v>8032</v>
      </c>
      <c r="G1663" s="179">
        <f>Tabla19[[#This Row],[Importe]]-Tabla19[[#This Row],[Pagado]]</f>
        <v>0</v>
      </c>
      <c r="H1663" s="153" t="s">
        <v>10</v>
      </c>
    </row>
    <row r="1664" spans="1:8" x14ac:dyDescent="0.25">
      <c r="A1664" s="73">
        <v>44790</v>
      </c>
      <c r="B1664" s="74" t="s">
        <v>26382</v>
      </c>
      <c r="C1664" s="75" t="s">
        <v>2139</v>
      </c>
      <c r="D1664" s="176">
        <v>6526.8</v>
      </c>
      <c r="E1664" s="151">
        <v>44790</v>
      </c>
      <c r="F1664" s="176">
        <v>6526.8</v>
      </c>
      <c r="G1664" s="177">
        <f>Tabla19[[#This Row],[Importe]]-Tabla19[[#This Row],[Pagado]]</f>
        <v>0</v>
      </c>
      <c r="H1664" s="75" t="s">
        <v>10</v>
      </c>
    </row>
    <row r="1665" spans="1:8" x14ac:dyDescent="0.25">
      <c r="A1665" s="148">
        <v>44790</v>
      </c>
      <c r="B1665" s="149" t="s">
        <v>26383</v>
      </c>
      <c r="C1665" s="153" t="s">
        <v>154</v>
      </c>
      <c r="D1665" s="178">
        <v>15688</v>
      </c>
      <c r="E1665" s="155">
        <v>44794</v>
      </c>
      <c r="F1665" s="178">
        <v>15688</v>
      </c>
      <c r="G1665" s="179">
        <f>Tabla19[[#This Row],[Importe]]-Tabla19[[#This Row],[Pagado]]</f>
        <v>0</v>
      </c>
      <c r="H1665" s="153" t="s">
        <v>10</v>
      </c>
    </row>
    <row r="1666" spans="1:8" x14ac:dyDescent="0.25">
      <c r="A1666" s="73">
        <v>44790</v>
      </c>
      <c r="B1666" s="74" t="s">
        <v>26384</v>
      </c>
      <c r="C1666" s="75" t="s">
        <v>133</v>
      </c>
      <c r="D1666" s="176">
        <v>16052.4</v>
      </c>
      <c r="E1666" s="151">
        <v>44791</v>
      </c>
      <c r="F1666" s="176">
        <v>16052.4</v>
      </c>
      <c r="G1666" s="177">
        <f>Tabla19[[#This Row],[Importe]]-Tabla19[[#This Row],[Pagado]]</f>
        <v>0</v>
      </c>
      <c r="H1666" s="75" t="s">
        <v>10</v>
      </c>
    </row>
    <row r="1667" spans="1:8" x14ac:dyDescent="0.25">
      <c r="A1667" s="148">
        <v>44790</v>
      </c>
      <c r="B1667" s="149" t="s">
        <v>26385</v>
      </c>
      <c r="C1667" s="153" t="s">
        <v>206</v>
      </c>
      <c r="D1667" s="178">
        <v>12558</v>
      </c>
      <c r="E1667" s="155">
        <v>44793</v>
      </c>
      <c r="F1667" s="178">
        <v>12558</v>
      </c>
      <c r="G1667" s="179">
        <f>Tabla19[[#This Row],[Importe]]-Tabla19[[#This Row],[Pagado]]</f>
        <v>0</v>
      </c>
      <c r="H1667" s="153" t="s">
        <v>10</v>
      </c>
    </row>
    <row r="1668" spans="1:8" x14ac:dyDescent="0.25">
      <c r="A1668" s="73">
        <v>44790</v>
      </c>
      <c r="B1668" s="74" t="s">
        <v>26386</v>
      </c>
      <c r="C1668" s="75" t="s">
        <v>14</v>
      </c>
      <c r="D1668" s="176">
        <v>26786.1</v>
      </c>
      <c r="E1668" s="151">
        <v>44790</v>
      </c>
      <c r="F1668" s="176">
        <v>26786.1</v>
      </c>
      <c r="G1668" s="177">
        <f>Tabla19[[#This Row],[Importe]]-Tabla19[[#This Row],[Pagado]]</f>
        <v>0</v>
      </c>
      <c r="H1668" s="75" t="s">
        <v>10</v>
      </c>
    </row>
    <row r="1669" spans="1:8" x14ac:dyDescent="0.25">
      <c r="A1669" s="148">
        <v>44790</v>
      </c>
      <c r="B1669" s="149" t="s">
        <v>26387</v>
      </c>
      <c r="C1669" s="153" t="s">
        <v>26388</v>
      </c>
      <c r="D1669" s="178">
        <v>0</v>
      </c>
      <c r="E1669" s="158" t="s">
        <v>189</v>
      </c>
      <c r="F1669" s="178">
        <v>0</v>
      </c>
      <c r="G1669" s="179">
        <f>Tabla19[[#This Row],[Importe]]-Tabla19[[#This Row],[Pagado]]</f>
        <v>0</v>
      </c>
      <c r="H1669" s="153" t="s">
        <v>26389</v>
      </c>
    </row>
    <row r="1670" spans="1:8" x14ac:dyDescent="0.25">
      <c r="A1670" s="73">
        <v>44790</v>
      </c>
      <c r="B1670" s="74" t="s">
        <v>26390</v>
      </c>
      <c r="C1670" s="75" t="s">
        <v>24</v>
      </c>
      <c r="D1670" s="176">
        <v>4243</v>
      </c>
      <c r="E1670" s="151">
        <v>44790</v>
      </c>
      <c r="F1670" s="176">
        <v>4243</v>
      </c>
      <c r="G1670" s="177">
        <f>Tabla19[[#This Row],[Importe]]-Tabla19[[#This Row],[Pagado]]</f>
        <v>0</v>
      </c>
      <c r="H1670" s="75" t="s">
        <v>10</v>
      </c>
    </row>
    <row r="1671" spans="1:8" x14ac:dyDescent="0.25">
      <c r="A1671" s="148">
        <v>44790</v>
      </c>
      <c r="B1671" s="149" t="s">
        <v>26391</v>
      </c>
      <c r="C1671" s="153" t="s">
        <v>191</v>
      </c>
      <c r="D1671" s="178">
        <v>1967.1</v>
      </c>
      <c r="E1671" s="155">
        <v>44790</v>
      </c>
      <c r="F1671" s="178">
        <v>1967.1</v>
      </c>
      <c r="G1671" s="179">
        <f>Tabla19[[#This Row],[Importe]]-Tabla19[[#This Row],[Pagado]]</f>
        <v>0</v>
      </c>
      <c r="H1671" s="153" t="s">
        <v>10</v>
      </c>
    </row>
    <row r="1672" spans="1:8" x14ac:dyDescent="0.25">
      <c r="A1672" s="73">
        <v>44790</v>
      </c>
      <c r="B1672" s="74" t="s">
        <v>26392</v>
      </c>
      <c r="C1672" s="75" t="s">
        <v>179</v>
      </c>
      <c r="D1672" s="176">
        <v>1762.8</v>
      </c>
      <c r="E1672" s="151">
        <v>44791</v>
      </c>
      <c r="F1672" s="176">
        <v>1762.8</v>
      </c>
      <c r="G1672" s="177">
        <f>Tabla19[[#This Row],[Importe]]-Tabla19[[#This Row],[Pagado]]</f>
        <v>0</v>
      </c>
      <c r="H1672" s="75" t="s">
        <v>10</v>
      </c>
    </row>
    <row r="1673" spans="1:8" x14ac:dyDescent="0.25">
      <c r="A1673" s="148">
        <v>44790</v>
      </c>
      <c r="B1673" s="149" t="s">
        <v>26393</v>
      </c>
      <c r="C1673" s="153" t="s">
        <v>31</v>
      </c>
      <c r="D1673" s="178">
        <v>585</v>
      </c>
      <c r="E1673" s="155">
        <v>44790</v>
      </c>
      <c r="F1673" s="178">
        <v>585</v>
      </c>
      <c r="G1673" s="179">
        <f>Tabla19[[#This Row],[Importe]]-Tabla19[[#This Row],[Pagado]]</f>
        <v>0</v>
      </c>
      <c r="H1673" s="153" t="s">
        <v>10</v>
      </c>
    </row>
    <row r="1674" spans="1:8" x14ac:dyDescent="0.25">
      <c r="A1674" s="73">
        <v>44790</v>
      </c>
      <c r="B1674" s="74" t="s">
        <v>26394</v>
      </c>
      <c r="C1674" s="75" t="s">
        <v>409</v>
      </c>
      <c r="D1674" s="176">
        <v>10685.4</v>
      </c>
      <c r="E1674" s="151">
        <v>44792</v>
      </c>
      <c r="F1674" s="176">
        <v>10685.4</v>
      </c>
      <c r="G1674" s="177">
        <f>Tabla19[[#This Row],[Importe]]-Tabla19[[#This Row],[Pagado]]</f>
        <v>0</v>
      </c>
      <c r="H1674" s="75" t="s">
        <v>10</v>
      </c>
    </row>
    <row r="1675" spans="1:8" x14ac:dyDescent="0.25">
      <c r="A1675" s="148">
        <v>44790</v>
      </c>
      <c r="B1675" s="149" t="s">
        <v>26395</v>
      </c>
      <c r="C1675" s="153" t="s">
        <v>587</v>
      </c>
      <c r="D1675" s="178">
        <v>6047.28</v>
      </c>
      <c r="E1675" s="155">
        <v>44790</v>
      </c>
      <c r="F1675" s="178">
        <v>6047.28</v>
      </c>
      <c r="G1675" s="179">
        <f>Tabla19[[#This Row],[Importe]]-Tabla19[[#This Row],[Pagado]]</f>
        <v>0</v>
      </c>
      <c r="H1675" s="153" t="s">
        <v>10</v>
      </c>
    </row>
    <row r="1676" spans="1:8" x14ac:dyDescent="0.25">
      <c r="A1676" s="73">
        <v>44790</v>
      </c>
      <c r="B1676" s="74" t="s">
        <v>26396</v>
      </c>
      <c r="C1676" s="75" t="s">
        <v>135</v>
      </c>
      <c r="D1676" s="176">
        <v>2589.6</v>
      </c>
      <c r="E1676" s="151">
        <v>44791</v>
      </c>
      <c r="F1676" s="176">
        <v>2589.6</v>
      </c>
      <c r="G1676" s="177">
        <f>Tabla19[[#This Row],[Importe]]-Tabla19[[#This Row],[Pagado]]</f>
        <v>0</v>
      </c>
      <c r="H1676" s="75" t="s">
        <v>10</v>
      </c>
    </row>
    <row r="1677" spans="1:8" x14ac:dyDescent="0.25">
      <c r="A1677" s="148">
        <v>44790</v>
      </c>
      <c r="B1677" s="149" t="s">
        <v>26397</v>
      </c>
      <c r="C1677" s="153" t="s">
        <v>339</v>
      </c>
      <c r="D1677" s="178">
        <v>702</v>
      </c>
      <c r="E1677" s="155">
        <v>44791</v>
      </c>
      <c r="F1677" s="178">
        <v>702</v>
      </c>
      <c r="G1677" s="179">
        <f>Tabla19[[#This Row],[Importe]]-Tabla19[[#This Row],[Pagado]]</f>
        <v>0</v>
      </c>
      <c r="H1677" s="153" t="s">
        <v>10</v>
      </c>
    </row>
    <row r="1678" spans="1:8" x14ac:dyDescent="0.25">
      <c r="A1678" s="73">
        <v>44790</v>
      </c>
      <c r="B1678" s="74" t="s">
        <v>26398</v>
      </c>
      <c r="C1678" s="75" t="s">
        <v>357</v>
      </c>
      <c r="D1678" s="176">
        <v>795.6</v>
      </c>
      <c r="E1678" s="151">
        <v>44791</v>
      </c>
      <c r="F1678" s="176">
        <v>795.6</v>
      </c>
      <c r="G1678" s="177">
        <f>Tabla19[[#This Row],[Importe]]-Tabla19[[#This Row],[Pagado]]</f>
        <v>0</v>
      </c>
      <c r="H1678" s="75" t="s">
        <v>10</v>
      </c>
    </row>
    <row r="1679" spans="1:8" x14ac:dyDescent="0.25">
      <c r="A1679" s="148">
        <v>44790</v>
      </c>
      <c r="B1679" s="149" t="s">
        <v>26399</v>
      </c>
      <c r="C1679" s="153" t="s">
        <v>127</v>
      </c>
      <c r="D1679" s="178">
        <v>7007.7</v>
      </c>
      <c r="E1679" s="155">
        <v>44791</v>
      </c>
      <c r="F1679" s="178">
        <v>7007.7</v>
      </c>
      <c r="G1679" s="179">
        <f>Tabla19[[#This Row],[Importe]]-Tabla19[[#This Row],[Pagado]]</f>
        <v>0</v>
      </c>
      <c r="H1679" s="153" t="s">
        <v>10</v>
      </c>
    </row>
    <row r="1680" spans="1:8" x14ac:dyDescent="0.25">
      <c r="A1680" s="73">
        <v>44790</v>
      </c>
      <c r="B1680" s="74" t="s">
        <v>26400</v>
      </c>
      <c r="C1680" s="75" t="s">
        <v>129</v>
      </c>
      <c r="D1680" s="176">
        <v>2511.6</v>
      </c>
      <c r="E1680" s="151">
        <v>44791</v>
      </c>
      <c r="F1680" s="176">
        <v>2511.6</v>
      </c>
      <c r="G1680" s="177">
        <f>Tabla19[[#This Row],[Importe]]-Tabla19[[#This Row],[Pagado]]</f>
        <v>0</v>
      </c>
      <c r="H1680" s="75" t="s">
        <v>10</v>
      </c>
    </row>
    <row r="1681" spans="1:8" x14ac:dyDescent="0.25">
      <c r="A1681" s="148">
        <v>44790</v>
      </c>
      <c r="B1681" s="149" t="s">
        <v>26401</v>
      </c>
      <c r="C1681" s="153" t="s">
        <v>333</v>
      </c>
      <c r="D1681" s="178">
        <v>709.8</v>
      </c>
      <c r="E1681" s="155">
        <v>44791</v>
      </c>
      <c r="F1681" s="178">
        <v>709.8</v>
      </c>
      <c r="G1681" s="179">
        <f>Tabla19[[#This Row],[Importe]]-Tabla19[[#This Row],[Pagado]]</f>
        <v>0</v>
      </c>
      <c r="H1681" s="153" t="s">
        <v>10</v>
      </c>
    </row>
    <row r="1682" spans="1:8" x14ac:dyDescent="0.25">
      <c r="A1682" s="73">
        <v>44790</v>
      </c>
      <c r="B1682" s="74" t="s">
        <v>26402</v>
      </c>
      <c r="C1682" s="75" t="s">
        <v>107</v>
      </c>
      <c r="D1682" s="176">
        <v>6794.5</v>
      </c>
      <c r="E1682" s="151">
        <v>44791</v>
      </c>
      <c r="F1682" s="176">
        <v>6794.5</v>
      </c>
      <c r="G1682" s="177">
        <f>Tabla19[[#This Row],[Importe]]-Tabla19[[#This Row],[Pagado]]</f>
        <v>0</v>
      </c>
      <c r="H1682" s="75" t="s">
        <v>10</v>
      </c>
    </row>
    <row r="1683" spans="1:8" x14ac:dyDescent="0.25">
      <c r="A1683" s="148">
        <v>44790</v>
      </c>
      <c r="B1683" s="149" t="s">
        <v>26403</v>
      </c>
      <c r="C1683" s="153" t="s">
        <v>226</v>
      </c>
      <c r="D1683" s="178">
        <v>4009.6</v>
      </c>
      <c r="E1683" s="155">
        <v>44790</v>
      </c>
      <c r="F1683" s="178">
        <v>4009.6</v>
      </c>
      <c r="G1683" s="179">
        <f>Tabla19[[#This Row],[Importe]]-Tabla19[[#This Row],[Pagado]]</f>
        <v>0</v>
      </c>
      <c r="H1683" s="153" t="s">
        <v>10</v>
      </c>
    </row>
    <row r="1684" spans="1:8" x14ac:dyDescent="0.25">
      <c r="A1684" s="73">
        <v>44790</v>
      </c>
      <c r="B1684" s="74" t="s">
        <v>26404</v>
      </c>
      <c r="C1684" s="75" t="s">
        <v>555</v>
      </c>
      <c r="D1684" s="176">
        <v>28699.84</v>
      </c>
      <c r="E1684" s="151">
        <v>44790</v>
      </c>
      <c r="F1684" s="176">
        <v>28699.84</v>
      </c>
      <c r="G1684" s="177">
        <f>Tabla19[[#This Row],[Importe]]-Tabla19[[#This Row],[Pagado]]</f>
        <v>0</v>
      </c>
      <c r="H1684" s="75" t="s">
        <v>10</v>
      </c>
    </row>
    <row r="1685" spans="1:8" x14ac:dyDescent="0.25">
      <c r="A1685" s="148">
        <v>44790</v>
      </c>
      <c r="B1685" s="149" t="s">
        <v>26405</v>
      </c>
      <c r="C1685" s="153" t="s">
        <v>69</v>
      </c>
      <c r="D1685" s="178">
        <v>1560</v>
      </c>
      <c r="E1685" s="155">
        <v>44790</v>
      </c>
      <c r="F1685" s="178">
        <v>1560</v>
      </c>
      <c r="G1685" s="179">
        <f>Tabla19[[#This Row],[Importe]]-Tabla19[[#This Row],[Pagado]]</f>
        <v>0</v>
      </c>
      <c r="H1685" s="153" t="s">
        <v>10</v>
      </c>
    </row>
    <row r="1686" spans="1:8" x14ac:dyDescent="0.25">
      <c r="A1686" s="73">
        <v>44790</v>
      </c>
      <c r="B1686" s="74" t="s">
        <v>26406</v>
      </c>
      <c r="C1686" s="75" t="s">
        <v>31</v>
      </c>
      <c r="D1686" s="176">
        <v>1404</v>
      </c>
      <c r="E1686" s="151">
        <v>44790</v>
      </c>
      <c r="F1686" s="176">
        <v>1404</v>
      </c>
      <c r="G1686" s="177">
        <f>Tabla19[[#This Row],[Importe]]-Tabla19[[#This Row],[Pagado]]</f>
        <v>0</v>
      </c>
      <c r="H1686" s="75" t="s">
        <v>10</v>
      </c>
    </row>
    <row r="1687" spans="1:8" x14ac:dyDescent="0.25">
      <c r="A1687" s="148">
        <v>44790</v>
      </c>
      <c r="B1687" s="149" t="s">
        <v>26407</v>
      </c>
      <c r="C1687" s="153" t="s">
        <v>296</v>
      </c>
      <c r="D1687" s="178">
        <v>3655.6</v>
      </c>
      <c r="E1687" s="155">
        <v>44790</v>
      </c>
      <c r="F1687" s="178">
        <v>3655.6</v>
      </c>
      <c r="G1687" s="179">
        <f>Tabla19[[#This Row],[Importe]]-Tabla19[[#This Row],[Pagado]]</f>
        <v>0</v>
      </c>
      <c r="H1687" s="153" t="s">
        <v>10</v>
      </c>
    </row>
    <row r="1688" spans="1:8" x14ac:dyDescent="0.25">
      <c r="A1688" s="73">
        <v>44790</v>
      </c>
      <c r="B1688" s="74" t="s">
        <v>26408</v>
      </c>
      <c r="C1688" s="75" t="s">
        <v>233</v>
      </c>
      <c r="D1688" s="176">
        <v>5569.2</v>
      </c>
      <c r="E1688" s="151">
        <v>44790</v>
      </c>
      <c r="F1688" s="176">
        <v>5569.2</v>
      </c>
      <c r="G1688" s="177">
        <f>Tabla19[[#This Row],[Importe]]-Tabla19[[#This Row],[Pagado]]</f>
        <v>0</v>
      </c>
      <c r="H1688" s="75" t="s">
        <v>10</v>
      </c>
    </row>
    <row r="1689" spans="1:8" x14ac:dyDescent="0.25">
      <c r="A1689" s="148">
        <v>44790</v>
      </c>
      <c r="B1689" s="149" t="s">
        <v>26409</v>
      </c>
      <c r="C1689" s="153" t="s">
        <v>214</v>
      </c>
      <c r="D1689" s="178">
        <v>1560</v>
      </c>
      <c r="E1689" s="155">
        <v>44790</v>
      </c>
      <c r="F1689" s="178">
        <v>1560</v>
      </c>
      <c r="G1689" s="179">
        <f>Tabla19[[#This Row],[Importe]]-Tabla19[[#This Row],[Pagado]]</f>
        <v>0</v>
      </c>
      <c r="H1689" s="153" t="s">
        <v>10</v>
      </c>
    </row>
    <row r="1690" spans="1:8" x14ac:dyDescent="0.25">
      <c r="A1690" s="73">
        <v>44790</v>
      </c>
      <c r="B1690" s="74" t="s">
        <v>26410</v>
      </c>
      <c r="C1690" s="75" t="s">
        <v>214</v>
      </c>
      <c r="D1690" s="176">
        <v>9515.2000000000007</v>
      </c>
      <c r="E1690" s="151">
        <v>44791</v>
      </c>
      <c r="F1690" s="176">
        <v>9515.2000000000007</v>
      </c>
      <c r="G1690" s="177">
        <f>Tabla19[[#This Row],[Importe]]-Tabla19[[#This Row],[Pagado]]</f>
        <v>0</v>
      </c>
      <c r="H1690" s="75" t="s">
        <v>10</v>
      </c>
    </row>
    <row r="1691" spans="1:8" x14ac:dyDescent="0.25">
      <c r="A1691" s="148">
        <v>44790</v>
      </c>
      <c r="B1691" s="149" t="s">
        <v>26411</v>
      </c>
      <c r="C1691" s="153" t="s">
        <v>664</v>
      </c>
      <c r="D1691" s="178">
        <v>4758</v>
      </c>
      <c r="E1691" s="155">
        <v>44791</v>
      </c>
      <c r="F1691" s="178">
        <v>4758</v>
      </c>
      <c r="G1691" s="179">
        <f>Tabla19[[#This Row],[Importe]]-Tabla19[[#This Row],[Pagado]]</f>
        <v>0</v>
      </c>
      <c r="H1691" s="153" t="s">
        <v>10</v>
      </c>
    </row>
    <row r="1692" spans="1:8" x14ac:dyDescent="0.25">
      <c r="A1692" s="73">
        <v>44790</v>
      </c>
      <c r="B1692" s="74" t="s">
        <v>26412</v>
      </c>
      <c r="C1692" s="75" t="s">
        <v>291</v>
      </c>
      <c r="D1692" s="176">
        <v>1061.5999999999999</v>
      </c>
      <c r="E1692" s="151">
        <v>44791</v>
      </c>
      <c r="F1692" s="176">
        <v>1061.5999999999999</v>
      </c>
      <c r="G1692" s="177">
        <f>Tabla19[[#This Row],[Importe]]-Tabla19[[#This Row],[Pagado]]</f>
        <v>0</v>
      </c>
      <c r="H1692" s="75" t="s">
        <v>10</v>
      </c>
    </row>
    <row r="1693" spans="1:8" x14ac:dyDescent="0.25">
      <c r="A1693" s="148">
        <v>44790</v>
      </c>
      <c r="B1693" s="149" t="s">
        <v>26413</v>
      </c>
      <c r="C1693" s="153" t="s">
        <v>214</v>
      </c>
      <c r="D1693" s="178">
        <v>78</v>
      </c>
      <c r="E1693" s="155">
        <v>44790</v>
      </c>
      <c r="F1693" s="178">
        <v>78</v>
      </c>
      <c r="G1693" s="179">
        <f>Tabla19[[#This Row],[Importe]]-Tabla19[[#This Row],[Pagado]]</f>
        <v>0</v>
      </c>
      <c r="H1693" s="153" t="s">
        <v>10</v>
      </c>
    </row>
    <row r="1694" spans="1:8" x14ac:dyDescent="0.25">
      <c r="A1694" s="73">
        <v>44790</v>
      </c>
      <c r="B1694" s="74" t="s">
        <v>26414</v>
      </c>
      <c r="C1694" s="75" t="s">
        <v>15868</v>
      </c>
      <c r="D1694" s="176">
        <v>49692.6</v>
      </c>
      <c r="E1694" s="151">
        <v>44791</v>
      </c>
      <c r="F1694" s="176">
        <v>49692.6</v>
      </c>
      <c r="G1694" s="177">
        <f>Tabla19[[#This Row],[Importe]]-Tabla19[[#This Row],[Pagado]]</f>
        <v>0</v>
      </c>
      <c r="H1694" s="75" t="s">
        <v>10</v>
      </c>
    </row>
    <row r="1695" spans="1:8" x14ac:dyDescent="0.25">
      <c r="A1695" s="148">
        <v>44790</v>
      </c>
      <c r="B1695" s="149" t="s">
        <v>26415</v>
      </c>
      <c r="C1695" s="153" t="s">
        <v>857</v>
      </c>
      <c r="D1695" s="178">
        <v>472</v>
      </c>
      <c r="E1695" s="155">
        <v>44790</v>
      </c>
      <c r="F1695" s="178">
        <v>472</v>
      </c>
      <c r="G1695" s="179">
        <f>Tabla19[[#This Row],[Importe]]-Tabla19[[#This Row],[Pagado]]</f>
        <v>0</v>
      </c>
      <c r="H1695" s="153" t="s">
        <v>10</v>
      </c>
    </row>
    <row r="1696" spans="1:8" x14ac:dyDescent="0.25">
      <c r="A1696" s="73">
        <v>44790</v>
      </c>
      <c r="B1696" s="74" t="s">
        <v>26416</v>
      </c>
      <c r="C1696" s="75" t="s">
        <v>4136</v>
      </c>
      <c r="D1696" s="176">
        <v>2596.1</v>
      </c>
      <c r="E1696" s="151">
        <v>44790</v>
      </c>
      <c r="F1696" s="176">
        <v>2596.1</v>
      </c>
      <c r="G1696" s="177">
        <f>Tabla19[[#This Row],[Importe]]-Tabla19[[#This Row],[Pagado]]</f>
        <v>0</v>
      </c>
      <c r="H1696" s="75" t="s">
        <v>10</v>
      </c>
    </row>
    <row r="1697" spans="1:8" x14ac:dyDescent="0.25">
      <c r="A1697" s="148">
        <v>44790</v>
      </c>
      <c r="B1697" s="149" t="s">
        <v>26417</v>
      </c>
      <c r="C1697" s="153" t="s">
        <v>9827</v>
      </c>
      <c r="D1697" s="178">
        <v>4290</v>
      </c>
      <c r="E1697" s="155">
        <v>44790</v>
      </c>
      <c r="F1697" s="178">
        <v>4290</v>
      </c>
      <c r="G1697" s="179">
        <f>Tabla19[[#This Row],[Importe]]-Tabla19[[#This Row],[Pagado]]</f>
        <v>0</v>
      </c>
      <c r="H1697" s="153" t="s">
        <v>10</v>
      </c>
    </row>
    <row r="1698" spans="1:8" x14ac:dyDescent="0.25">
      <c r="A1698" s="73">
        <v>44790</v>
      </c>
      <c r="B1698" s="74" t="s">
        <v>26418</v>
      </c>
      <c r="C1698" s="75" t="s">
        <v>562</v>
      </c>
      <c r="D1698" s="176">
        <v>4518</v>
      </c>
      <c r="E1698" s="151">
        <v>44790</v>
      </c>
      <c r="F1698" s="176">
        <v>4518</v>
      </c>
      <c r="G1698" s="177">
        <f>Tabla19[[#This Row],[Importe]]-Tabla19[[#This Row],[Pagado]]</f>
        <v>0</v>
      </c>
      <c r="H1698" s="75" t="s">
        <v>10</v>
      </c>
    </row>
    <row r="1699" spans="1:8" x14ac:dyDescent="0.25">
      <c r="A1699" s="148">
        <v>44790</v>
      </c>
      <c r="B1699" s="149" t="s">
        <v>26419</v>
      </c>
      <c r="C1699" s="153" t="s">
        <v>16</v>
      </c>
      <c r="D1699" s="178">
        <v>828.1</v>
      </c>
      <c r="E1699" s="155">
        <v>44790</v>
      </c>
      <c r="F1699" s="178">
        <v>828.1</v>
      </c>
      <c r="G1699" s="179">
        <f>Tabla19[[#This Row],[Importe]]-Tabla19[[#This Row],[Pagado]]</f>
        <v>0</v>
      </c>
      <c r="H1699" s="153" t="s">
        <v>10</v>
      </c>
    </row>
    <row r="1700" spans="1:8" x14ac:dyDescent="0.25">
      <c r="A1700" s="73">
        <v>44790</v>
      </c>
      <c r="B1700" s="74" t="s">
        <v>26420</v>
      </c>
      <c r="C1700" s="75" t="s">
        <v>541</v>
      </c>
      <c r="D1700" s="176">
        <v>12692</v>
      </c>
      <c r="E1700" s="151">
        <v>44793</v>
      </c>
      <c r="F1700" s="176">
        <v>12692</v>
      </c>
      <c r="G1700" s="177">
        <f>Tabla19[[#This Row],[Importe]]-Tabla19[[#This Row],[Pagado]]</f>
        <v>0</v>
      </c>
      <c r="H1700" s="75" t="s">
        <v>10</v>
      </c>
    </row>
    <row r="1701" spans="1:8" x14ac:dyDescent="0.25">
      <c r="A1701" s="148">
        <v>44790</v>
      </c>
      <c r="B1701" s="149" t="s">
        <v>26421</v>
      </c>
      <c r="C1701" s="153" t="s">
        <v>396</v>
      </c>
      <c r="D1701" s="178">
        <v>12752.8</v>
      </c>
      <c r="E1701" s="155">
        <v>44798</v>
      </c>
      <c r="F1701" s="178">
        <v>12752.8</v>
      </c>
      <c r="G1701" s="179">
        <f>Tabla19[[#This Row],[Importe]]-Tabla19[[#This Row],[Pagado]]</f>
        <v>0</v>
      </c>
      <c r="H1701" s="153" t="s">
        <v>10</v>
      </c>
    </row>
    <row r="1702" spans="1:8" x14ac:dyDescent="0.25">
      <c r="A1702" s="73">
        <v>44790</v>
      </c>
      <c r="B1702" s="74" t="s">
        <v>26422</v>
      </c>
      <c r="C1702" s="75" t="s">
        <v>79</v>
      </c>
      <c r="D1702" s="176">
        <v>10920</v>
      </c>
      <c r="E1702" s="151">
        <v>44790</v>
      </c>
      <c r="F1702" s="176">
        <v>10920</v>
      </c>
      <c r="G1702" s="177">
        <f>Tabla19[[#This Row],[Importe]]-Tabla19[[#This Row],[Pagado]]</f>
        <v>0</v>
      </c>
      <c r="H1702" s="75" t="s">
        <v>10</v>
      </c>
    </row>
    <row r="1703" spans="1:8" x14ac:dyDescent="0.25">
      <c r="A1703" s="148">
        <v>44790</v>
      </c>
      <c r="B1703" s="149" t="s">
        <v>26423</v>
      </c>
      <c r="C1703" s="153" t="s">
        <v>1421</v>
      </c>
      <c r="D1703" s="178">
        <v>79349.2</v>
      </c>
      <c r="E1703" s="155">
        <v>44790</v>
      </c>
      <c r="F1703" s="178">
        <v>79349.2</v>
      </c>
      <c r="G1703" s="179">
        <f>Tabla19[[#This Row],[Importe]]-Tabla19[[#This Row],[Pagado]]</f>
        <v>0</v>
      </c>
      <c r="H1703" s="153" t="s">
        <v>10</v>
      </c>
    </row>
    <row r="1704" spans="1:8" x14ac:dyDescent="0.25">
      <c r="A1704" s="73">
        <v>44790</v>
      </c>
      <c r="B1704" s="74" t="s">
        <v>26424</v>
      </c>
      <c r="C1704" s="75" t="s">
        <v>1421</v>
      </c>
      <c r="D1704" s="176">
        <v>21019.200000000001</v>
      </c>
      <c r="E1704" s="151">
        <v>44790</v>
      </c>
      <c r="F1704" s="176">
        <v>21019.200000000001</v>
      </c>
      <c r="G1704" s="177">
        <f>Tabla19[[#This Row],[Importe]]-Tabla19[[#This Row],[Pagado]]</f>
        <v>0</v>
      </c>
      <c r="H1704" s="75" t="s">
        <v>10</v>
      </c>
    </row>
    <row r="1705" spans="1:8" x14ac:dyDescent="0.25">
      <c r="A1705" s="148">
        <v>44790</v>
      </c>
      <c r="B1705" s="149" t="s">
        <v>26425</v>
      </c>
      <c r="C1705" s="153" t="s">
        <v>53</v>
      </c>
      <c r="D1705" s="178">
        <v>624.1</v>
      </c>
      <c r="E1705" s="155">
        <v>44790</v>
      </c>
      <c r="F1705" s="178">
        <v>624.1</v>
      </c>
      <c r="G1705" s="179">
        <f>Tabla19[[#This Row],[Importe]]-Tabla19[[#This Row],[Pagado]]</f>
        <v>0</v>
      </c>
      <c r="H1705" s="153" t="s">
        <v>10</v>
      </c>
    </row>
    <row r="1706" spans="1:8" x14ac:dyDescent="0.25">
      <c r="A1706" s="73">
        <v>44790</v>
      </c>
      <c r="B1706" s="74" t="s">
        <v>26426</v>
      </c>
      <c r="C1706" s="75" t="s">
        <v>2151</v>
      </c>
      <c r="D1706" s="176">
        <v>2969.6</v>
      </c>
      <c r="E1706" s="151">
        <v>44790</v>
      </c>
      <c r="F1706" s="176">
        <v>2969.6</v>
      </c>
      <c r="G1706" s="177">
        <f>Tabla19[[#This Row],[Importe]]-Tabla19[[#This Row],[Pagado]]</f>
        <v>0</v>
      </c>
      <c r="H1706" s="75" t="s">
        <v>10</v>
      </c>
    </row>
    <row r="1707" spans="1:8" x14ac:dyDescent="0.25">
      <c r="A1707" s="148">
        <v>44790</v>
      </c>
      <c r="B1707" s="149" t="s">
        <v>26427</v>
      </c>
      <c r="C1707" s="153" t="s">
        <v>698</v>
      </c>
      <c r="D1707" s="178">
        <v>8437.5</v>
      </c>
      <c r="E1707" s="155">
        <v>44790</v>
      </c>
      <c r="F1707" s="178">
        <v>8437.5</v>
      </c>
      <c r="G1707" s="179">
        <f>Tabla19[[#This Row],[Importe]]-Tabla19[[#This Row],[Pagado]]</f>
        <v>0</v>
      </c>
      <c r="H1707" s="153" t="s">
        <v>10</v>
      </c>
    </row>
    <row r="1708" spans="1:8" x14ac:dyDescent="0.25">
      <c r="A1708" s="73">
        <v>44790</v>
      </c>
      <c r="B1708" s="74" t="s">
        <v>26428</v>
      </c>
      <c r="C1708" s="75" t="s">
        <v>2151</v>
      </c>
      <c r="D1708" s="176">
        <v>193.5</v>
      </c>
      <c r="E1708" s="151">
        <v>44790</v>
      </c>
      <c r="F1708" s="176">
        <v>193.5</v>
      </c>
      <c r="G1708" s="177">
        <f>Tabla19[[#This Row],[Importe]]-Tabla19[[#This Row],[Pagado]]</f>
        <v>0</v>
      </c>
      <c r="H1708" s="75" t="s">
        <v>10</v>
      </c>
    </row>
    <row r="1709" spans="1:8" x14ac:dyDescent="0.25">
      <c r="A1709" s="148">
        <v>44790</v>
      </c>
      <c r="B1709" s="149" t="s">
        <v>26429</v>
      </c>
      <c r="C1709" s="153" t="s">
        <v>484</v>
      </c>
      <c r="D1709" s="178">
        <v>4219.8</v>
      </c>
      <c r="E1709" s="155">
        <v>44790</v>
      </c>
      <c r="F1709" s="178">
        <v>4219.8</v>
      </c>
      <c r="G1709" s="179">
        <f>Tabla19[[#This Row],[Importe]]-Tabla19[[#This Row],[Pagado]]</f>
        <v>0</v>
      </c>
      <c r="H1709" s="153" t="s">
        <v>10</v>
      </c>
    </row>
    <row r="1710" spans="1:8" x14ac:dyDescent="0.25">
      <c r="A1710" s="73">
        <v>44790</v>
      </c>
      <c r="B1710" s="74" t="s">
        <v>26430</v>
      </c>
      <c r="C1710" s="75" t="s">
        <v>421</v>
      </c>
      <c r="D1710" s="176">
        <v>8143.7</v>
      </c>
      <c r="E1710" s="151">
        <v>44790</v>
      </c>
      <c r="F1710" s="176">
        <v>8143.7</v>
      </c>
      <c r="G1710" s="177">
        <f>Tabla19[[#This Row],[Importe]]-Tabla19[[#This Row],[Pagado]]</f>
        <v>0</v>
      </c>
      <c r="H1710" s="75" t="s">
        <v>10</v>
      </c>
    </row>
    <row r="1711" spans="1:8" x14ac:dyDescent="0.25">
      <c r="A1711" s="148">
        <v>44790</v>
      </c>
      <c r="B1711" s="149" t="s">
        <v>26431</v>
      </c>
      <c r="C1711" s="153" t="s">
        <v>9993</v>
      </c>
      <c r="D1711" s="178">
        <v>58345.2</v>
      </c>
      <c r="E1711" s="155">
        <v>44790</v>
      </c>
      <c r="F1711" s="178">
        <v>58345.2</v>
      </c>
      <c r="G1711" s="179">
        <f>Tabla19[[#This Row],[Importe]]-Tabla19[[#This Row],[Pagado]]</f>
        <v>0</v>
      </c>
      <c r="H1711" s="153" t="s">
        <v>10</v>
      </c>
    </row>
    <row r="1712" spans="1:8" x14ac:dyDescent="0.25">
      <c r="A1712" s="73">
        <v>44790</v>
      </c>
      <c r="B1712" s="74" t="s">
        <v>26432</v>
      </c>
      <c r="C1712" s="75" t="s">
        <v>191</v>
      </c>
      <c r="D1712" s="176">
        <v>584.1</v>
      </c>
      <c r="E1712" s="151">
        <v>44790</v>
      </c>
      <c r="F1712" s="176">
        <v>584.1</v>
      </c>
      <c r="G1712" s="177">
        <f>Tabla19[[#This Row],[Importe]]-Tabla19[[#This Row],[Pagado]]</f>
        <v>0</v>
      </c>
      <c r="H1712" s="75" t="s">
        <v>10</v>
      </c>
    </row>
    <row r="1713" spans="1:8" x14ac:dyDescent="0.25">
      <c r="A1713" s="148">
        <v>44790</v>
      </c>
      <c r="B1713" s="149" t="s">
        <v>26433</v>
      </c>
      <c r="C1713" s="153" t="s">
        <v>26434</v>
      </c>
      <c r="D1713" s="178">
        <v>0</v>
      </c>
      <c r="E1713" s="158" t="s">
        <v>189</v>
      </c>
      <c r="F1713" s="178">
        <v>0</v>
      </c>
      <c r="G1713" s="179">
        <f>Tabla19[[#This Row],[Importe]]-Tabla19[[#This Row],[Pagado]]</f>
        <v>0</v>
      </c>
      <c r="H1713" s="153" t="s">
        <v>189</v>
      </c>
    </row>
    <row r="1714" spans="1:8" x14ac:dyDescent="0.25">
      <c r="A1714" s="73">
        <v>44790</v>
      </c>
      <c r="B1714" s="74" t="s">
        <v>26435</v>
      </c>
      <c r="C1714" s="75" t="s">
        <v>407</v>
      </c>
      <c r="D1714" s="176">
        <v>17679.2</v>
      </c>
      <c r="E1714" s="151">
        <v>44791</v>
      </c>
      <c r="F1714" s="176">
        <v>17679.2</v>
      </c>
      <c r="G1714" s="177">
        <f>Tabla19[[#This Row],[Importe]]-Tabla19[[#This Row],[Pagado]]</f>
        <v>0</v>
      </c>
      <c r="H1714" s="75" t="s">
        <v>10</v>
      </c>
    </row>
    <row r="1715" spans="1:8" x14ac:dyDescent="0.25">
      <c r="A1715" s="148">
        <v>44790</v>
      </c>
      <c r="B1715" s="149" t="s">
        <v>26436</v>
      </c>
      <c r="C1715" s="153" t="s">
        <v>296</v>
      </c>
      <c r="D1715" s="178">
        <v>1208.7</v>
      </c>
      <c r="E1715" s="155">
        <v>44790</v>
      </c>
      <c r="F1715" s="178">
        <v>1208.7</v>
      </c>
      <c r="G1715" s="179">
        <f>Tabla19[[#This Row],[Importe]]-Tabla19[[#This Row],[Pagado]]</f>
        <v>0</v>
      </c>
      <c r="H1715" s="153" t="s">
        <v>10</v>
      </c>
    </row>
    <row r="1716" spans="1:8" x14ac:dyDescent="0.25">
      <c r="A1716" s="73">
        <v>44790</v>
      </c>
      <c r="B1716" s="74" t="s">
        <v>26437</v>
      </c>
      <c r="C1716" s="75" t="s">
        <v>275</v>
      </c>
      <c r="D1716" s="176">
        <v>160063.78</v>
      </c>
      <c r="E1716" s="151">
        <v>44813</v>
      </c>
      <c r="F1716" s="176">
        <v>160063.78</v>
      </c>
      <c r="G1716" s="177">
        <f>Tabla19[[#This Row],[Importe]]-Tabla19[[#This Row],[Pagado]]</f>
        <v>0</v>
      </c>
      <c r="H1716" s="75" t="s">
        <v>10</v>
      </c>
    </row>
    <row r="1717" spans="1:8" x14ac:dyDescent="0.25">
      <c r="A1717" s="148">
        <v>44790</v>
      </c>
      <c r="B1717" s="149" t="s">
        <v>26438</v>
      </c>
      <c r="C1717" s="153" t="s">
        <v>26439</v>
      </c>
      <c r="D1717" s="178">
        <v>3756</v>
      </c>
      <c r="E1717" s="155">
        <v>44790</v>
      </c>
      <c r="F1717" s="178">
        <v>3756</v>
      </c>
      <c r="G1717" s="179">
        <f>Tabla19[[#This Row],[Importe]]-Tabla19[[#This Row],[Pagado]]</f>
        <v>0</v>
      </c>
      <c r="H1717" s="153" t="s">
        <v>10</v>
      </c>
    </row>
    <row r="1718" spans="1:8" x14ac:dyDescent="0.25">
      <c r="A1718" s="73">
        <v>44790</v>
      </c>
      <c r="B1718" s="74" t="s">
        <v>26440</v>
      </c>
      <c r="C1718" s="75" t="s">
        <v>31</v>
      </c>
      <c r="D1718" s="176">
        <v>1168</v>
      </c>
      <c r="E1718" s="151">
        <v>44790</v>
      </c>
      <c r="F1718" s="176">
        <v>1168</v>
      </c>
      <c r="G1718" s="177">
        <f>Tabla19[[#This Row],[Importe]]-Tabla19[[#This Row],[Pagado]]</f>
        <v>0</v>
      </c>
      <c r="H1718" s="75" t="s">
        <v>10</v>
      </c>
    </row>
    <row r="1719" spans="1:8" x14ac:dyDescent="0.25">
      <c r="A1719" s="148">
        <v>44790</v>
      </c>
      <c r="B1719" s="149" t="s">
        <v>26441</v>
      </c>
      <c r="C1719" s="153" t="s">
        <v>31</v>
      </c>
      <c r="D1719" s="178">
        <v>4200</v>
      </c>
      <c r="E1719" s="155">
        <v>44790</v>
      </c>
      <c r="F1719" s="178">
        <v>4200</v>
      </c>
      <c r="G1719" s="179">
        <f>Tabla19[[#This Row],[Importe]]-Tabla19[[#This Row],[Pagado]]</f>
        <v>0</v>
      </c>
      <c r="H1719" s="153" t="s">
        <v>10</v>
      </c>
    </row>
    <row r="1720" spans="1:8" x14ac:dyDescent="0.25">
      <c r="A1720" s="73">
        <v>44790</v>
      </c>
      <c r="B1720" s="74" t="s">
        <v>26442</v>
      </c>
      <c r="C1720" s="75" t="s">
        <v>31</v>
      </c>
      <c r="D1720" s="176">
        <v>130</v>
      </c>
      <c r="E1720" s="151">
        <v>44790</v>
      </c>
      <c r="F1720" s="176">
        <v>130</v>
      </c>
      <c r="G1720" s="177">
        <f>Tabla19[[#This Row],[Importe]]-Tabla19[[#This Row],[Pagado]]</f>
        <v>0</v>
      </c>
      <c r="H1720" s="75" t="s">
        <v>10</v>
      </c>
    </row>
    <row r="1721" spans="1:8" x14ac:dyDescent="0.25">
      <c r="A1721" s="148">
        <v>44790</v>
      </c>
      <c r="B1721" s="149" t="s">
        <v>26443</v>
      </c>
      <c r="C1721" s="153" t="s">
        <v>605</v>
      </c>
      <c r="D1721" s="178">
        <v>54735.6</v>
      </c>
      <c r="E1721" s="155">
        <v>44791</v>
      </c>
      <c r="F1721" s="178">
        <v>54735.6</v>
      </c>
      <c r="G1721" s="179">
        <f>Tabla19[[#This Row],[Importe]]-Tabla19[[#This Row],[Pagado]]</f>
        <v>0</v>
      </c>
      <c r="H1721" s="153" t="s">
        <v>10</v>
      </c>
    </row>
    <row r="1722" spans="1:8" x14ac:dyDescent="0.25">
      <c r="A1722" s="73">
        <v>44790</v>
      </c>
      <c r="B1722" s="74" t="s">
        <v>26444</v>
      </c>
      <c r="C1722" s="75" t="s">
        <v>10819</v>
      </c>
      <c r="D1722" s="176">
        <v>858</v>
      </c>
      <c r="E1722" s="151">
        <v>44791</v>
      </c>
      <c r="F1722" s="176">
        <v>858</v>
      </c>
      <c r="G1722" s="177">
        <f>Tabla19[[#This Row],[Importe]]-Tabla19[[#This Row],[Pagado]]</f>
        <v>0</v>
      </c>
      <c r="H1722" s="75" t="s">
        <v>10</v>
      </c>
    </row>
    <row r="1723" spans="1:8" x14ac:dyDescent="0.25">
      <c r="A1723" s="148">
        <v>44790</v>
      </c>
      <c r="B1723" s="149" t="s">
        <v>26445</v>
      </c>
      <c r="C1723" s="153" t="s">
        <v>280</v>
      </c>
      <c r="D1723" s="178">
        <v>1302.5999999999999</v>
      </c>
      <c r="E1723" s="155">
        <v>44791</v>
      </c>
      <c r="F1723" s="178">
        <v>1302.5999999999999</v>
      </c>
      <c r="G1723" s="179">
        <f>Tabla19[[#This Row],[Importe]]-Tabla19[[#This Row],[Pagado]]</f>
        <v>0</v>
      </c>
      <c r="H1723" s="153" t="s">
        <v>10</v>
      </c>
    </row>
    <row r="1724" spans="1:8" x14ac:dyDescent="0.25">
      <c r="A1724" s="73">
        <v>44790</v>
      </c>
      <c r="B1724" s="74" t="s">
        <v>26446</v>
      </c>
      <c r="C1724" s="75" t="s">
        <v>5345</v>
      </c>
      <c r="D1724" s="176">
        <v>1872</v>
      </c>
      <c r="E1724" s="151">
        <v>44791</v>
      </c>
      <c r="F1724" s="176">
        <v>1872</v>
      </c>
      <c r="G1724" s="177">
        <f>Tabla19[[#This Row],[Importe]]-Tabla19[[#This Row],[Pagado]]</f>
        <v>0</v>
      </c>
      <c r="H1724" s="75" t="s">
        <v>10</v>
      </c>
    </row>
    <row r="1725" spans="1:8" x14ac:dyDescent="0.25">
      <c r="A1725" s="148">
        <v>44790</v>
      </c>
      <c r="B1725" s="149" t="s">
        <v>26447</v>
      </c>
      <c r="C1725" s="153" t="s">
        <v>10819</v>
      </c>
      <c r="D1725" s="178">
        <v>40</v>
      </c>
      <c r="E1725" s="155">
        <v>44791</v>
      </c>
      <c r="F1725" s="178">
        <v>40</v>
      </c>
      <c r="G1725" s="179">
        <f>Tabla19[[#This Row],[Importe]]-Tabla19[[#This Row],[Pagado]]</f>
        <v>0</v>
      </c>
      <c r="H1725" s="153" t="s">
        <v>10</v>
      </c>
    </row>
    <row r="1726" spans="1:8" x14ac:dyDescent="0.25">
      <c r="A1726" s="73">
        <v>44790</v>
      </c>
      <c r="B1726" s="74" t="s">
        <v>26448</v>
      </c>
      <c r="C1726" s="75" t="s">
        <v>610</v>
      </c>
      <c r="D1726" s="176">
        <v>30835.599999999999</v>
      </c>
      <c r="E1726" s="151">
        <v>44791</v>
      </c>
      <c r="F1726" s="176">
        <v>30835.599999999999</v>
      </c>
      <c r="G1726" s="177">
        <f>Tabla19[[#This Row],[Importe]]-Tabla19[[#This Row],[Pagado]]</f>
        <v>0</v>
      </c>
      <c r="H1726" s="75" t="s">
        <v>10</v>
      </c>
    </row>
    <row r="1727" spans="1:8" x14ac:dyDescent="0.25">
      <c r="A1727" s="148">
        <v>44790</v>
      </c>
      <c r="B1727" s="149" t="s">
        <v>26449</v>
      </c>
      <c r="C1727" s="153" t="s">
        <v>9577</v>
      </c>
      <c r="D1727" s="178">
        <v>26894</v>
      </c>
      <c r="E1727" s="155">
        <v>44791</v>
      </c>
      <c r="F1727" s="178">
        <v>26894</v>
      </c>
      <c r="G1727" s="179">
        <f>Tabla19[[#This Row],[Importe]]-Tabla19[[#This Row],[Pagado]]</f>
        <v>0</v>
      </c>
      <c r="H1727" s="153" t="s">
        <v>10</v>
      </c>
    </row>
    <row r="1728" spans="1:8" x14ac:dyDescent="0.25">
      <c r="A1728" s="73">
        <v>44790</v>
      </c>
      <c r="B1728" s="74" t="s">
        <v>26450</v>
      </c>
      <c r="C1728" s="75" t="s">
        <v>400</v>
      </c>
      <c r="D1728" s="176">
        <v>12162.66</v>
      </c>
      <c r="E1728" s="151">
        <v>44798</v>
      </c>
      <c r="F1728" s="176">
        <v>12162.66</v>
      </c>
      <c r="G1728" s="177">
        <f>Tabla19[[#This Row],[Importe]]-Tabla19[[#This Row],[Pagado]]</f>
        <v>0</v>
      </c>
      <c r="H1728" s="75" t="s">
        <v>10</v>
      </c>
    </row>
    <row r="1729" spans="1:8" x14ac:dyDescent="0.25">
      <c r="A1729" s="148">
        <v>44790</v>
      </c>
      <c r="B1729" s="149" t="s">
        <v>26451</v>
      </c>
      <c r="C1729" s="153" t="s">
        <v>1644</v>
      </c>
      <c r="D1729" s="178">
        <v>12090</v>
      </c>
      <c r="E1729" s="155">
        <v>44791</v>
      </c>
      <c r="F1729" s="178">
        <v>12090</v>
      </c>
      <c r="G1729" s="179">
        <f>Tabla19[[#This Row],[Importe]]-Tabla19[[#This Row],[Pagado]]</f>
        <v>0</v>
      </c>
      <c r="H1729" s="153" t="s">
        <v>10</v>
      </c>
    </row>
    <row r="1730" spans="1:8" x14ac:dyDescent="0.25">
      <c r="A1730" s="73">
        <v>44790</v>
      </c>
      <c r="B1730" s="74" t="s">
        <v>26452</v>
      </c>
      <c r="C1730" s="75" t="s">
        <v>400</v>
      </c>
      <c r="D1730" s="176">
        <v>1038.8</v>
      </c>
      <c r="E1730" s="151">
        <v>44841</v>
      </c>
      <c r="F1730" s="176">
        <v>1038.8</v>
      </c>
      <c r="G1730" s="177">
        <f>Tabla19[[#This Row],[Importe]]-Tabla19[[#This Row],[Pagado]]</f>
        <v>0</v>
      </c>
      <c r="H1730" s="75" t="s">
        <v>10</v>
      </c>
    </row>
    <row r="1731" spans="1:8" x14ac:dyDescent="0.25">
      <c r="A1731" s="148">
        <v>44790</v>
      </c>
      <c r="B1731" s="149" t="s">
        <v>26453</v>
      </c>
      <c r="C1731" s="153" t="s">
        <v>402</v>
      </c>
      <c r="D1731" s="178">
        <v>20521.2</v>
      </c>
      <c r="E1731" s="155">
        <v>44798</v>
      </c>
      <c r="F1731" s="178">
        <v>20521.2</v>
      </c>
      <c r="G1731" s="179">
        <f>Tabla19[[#This Row],[Importe]]-Tabla19[[#This Row],[Pagado]]</f>
        <v>0</v>
      </c>
      <c r="H1731" s="153" t="s">
        <v>10</v>
      </c>
    </row>
    <row r="1732" spans="1:8" x14ac:dyDescent="0.25">
      <c r="A1732" s="73">
        <v>44790</v>
      </c>
      <c r="B1732" s="74" t="s">
        <v>26454</v>
      </c>
      <c r="C1732" s="75" t="s">
        <v>10190</v>
      </c>
      <c r="D1732" s="176">
        <v>23490</v>
      </c>
      <c r="E1732" s="151">
        <v>44792</v>
      </c>
      <c r="F1732" s="176">
        <v>23490</v>
      </c>
      <c r="G1732" s="177">
        <f>Tabla19[[#This Row],[Importe]]-Tabla19[[#This Row],[Pagado]]</f>
        <v>0</v>
      </c>
      <c r="H1732" s="75" t="s">
        <v>10</v>
      </c>
    </row>
    <row r="1733" spans="1:8" x14ac:dyDescent="0.25">
      <c r="A1733" s="148">
        <v>44791</v>
      </c>
      <c r="B1733" s="149" t="s">
        <v>26455</v>
      </c>
      <c r="C1733" s="153" t="s">
        <v>20</v>
      </c>
      <c r="D1733" s="178">
        <v>2800</v>
      </c>
      <c r="E1733" s="155">
        <v>44791</v>
      </c>
      <c r="F1733" s="178">
        <v>2800</v>
      </c>
      <c r="G1733" s="179">
        <f>Tabla19[[#This Row],[Importe]]-Tabla19[[#This Row],[Pagado]]</f>
        <v>0</v>
      </c>
      <c r="H1733" s="153" t="s">
        <v>10</v>
      </c>
    </row>
    <row r="1734" spans="1:8" x14ac:dyDescent="0.25">
      <c r="A1734" s="73">
        <v>44791</v>
      </c>
      <c r="B1734" s="74" t="s">
        <v>26456</v>
      </c>
      <c r="C1734" s="75" t="s">
        <v>473</v>
      </c>
      <c r="D1734" s="176">
        <v>5369</v>
      </c>
      <c r="E1734" s="151">
        <v>44791</v>
      </c>
      <c r="F1734" s="176">
        <v>5369</v>
      </c>
      <c r="G1734" s="177">
        <f>Tabla19[[#This Row],[Importe]]-Tabla19[[#This Row],[Pagado]]</f>
        <v>0</v>
      </c>
      <c r="H1734" s="75" t="s">
        <v>10</v>
      </c>
    </row>
    <row r="1735" spans="1:8" x14ac:dyDescent="0.25">
      <c r="A1735" s="148">
        <v>44791</v>
      </c>
      <c r="B1735" s="149" t="s">
        <v>26457</v>
      </c>
      <c r="C1735" s="153" t="s">
        <v>175</v>
      </c>
      <c r="D1735" s="178">
        <v>21884.2</v>
      </c>
      <c r="E1735" s="155">
        <v>44791</v>
      </c>
      <c r="F1735" s="178">
        <v>21884.2</v>
      </c>
      <c r="G1735" s="179">
        <f>Tabla19[[#This Row],[Importe]]-Tabla19[[#This Row],[Pagado]]</f>
        <v>0</v>
      </c>
      <c r="H1735" s="153" t="s">
        <v>10</v>
      </c>
    </row>
    <row r="1736" spans="1:8" x14ac:dyDescent="0.25">
      <c r="A1736" s="73">
        <v>44791</v>
      </c>
      <c r="B1736" s="74" t="s">
        <v>26458</v>
      </c>
      <c r="C1736" s="75" t="s">
        <v>618</v>
      </c>
      <c r="D1736" s="176">
        <v>10308.200000000001</v>
      </c>
      <c r="E1736" s="151">
        <v>44791</v>
      </c>
      <c r="F1736" s="176">
        <v>10308.200000000001</v>
      </c>
      <c r="G1736" s="177">
        <f>Tabla19[[#This Row],[Importe]]-Tabla19[[#This Row],[Pagado]]</f>
        <v>0</v>
      </c>
      <c r="H1736" s="75" t="s">
        <v>10</v>
      </c>
    </row>
    <row r="1737" spans="1:8" x14ac:dyDescent="0.25">
      <c r="A1737" s="148">
        <v>44791</v>
      </c>
      <c r="B1737" s="149" t="s">
        <v>26459</v>
      </c>
      <c r="C1737" s="153" t="s">
        <v>12</v>
      </c>
      <c r="D1737" s="178">
        <v>15119.3</v>
      </c>
      <c r="E1737" s="155">
        <v>44791</v>
      </c>
      <c r="F1737" s="178">
        <v>15119.3</v>
      </c>
      <c r="G1737" s="179">
        <f>Tabla19[[#This Row],[Importe]]-Tabla19[[#This Row],[Pagado]]</f>
        <v>0</v>
      </c>
      <c r="H1737" s="153" t="s">
        <v>10</v>
      </c>
    </row>
    <row r="1738" spans="1:8" x14ac:dyDescent="0.25">
      <c r="A1738" s="73">
        <v>44791</v>
      </c>
      <c r="B1738" s="74" t="s">
        <v>26460</v>
      </c>
      <c r="C1738" s="75" t="s">
        <v>966</v>
      </c>
      <c r="D1738" s="176">
        <v>5637.32</v>
      </c>
      <c r="E1738" s="151">
        <v>44791</v>
      </c>
      <c r="F1738" s="176">
        <v>5637.32</v>
      </c>
      <c r="G1738" s="177">
        <f>Tabla19[[#This Row],[Importe]]-Tabla19[[#This Row],[Pagado]]</f>
        <v>0</v>
      </c>
      <c r="H1738" s="75" t="s">
        <v>10</v>
      </c>
    </row>
    <row r="1739" spans="1:8" x14ac:dyDescent="0.25">
      <c r="A1739" s="148">
        <v>44791</v>
      </c>
      <c r="B1739" s="149" t="s">
        <v>26461</v>
      </c>
      <c r="C1739" s="153" t="s">
        <v>159</v>
      </c>
      <c r="D1739" s="178">
        <v>1421</v>
      </c>
      <c r="E1739" s="155">
        <v>44791</v>
      </c>
      <c r="F1739" s="178">
        <v>1421</v>
      </c>
      <c r="G1739" s="179">
        <f>Tabla19[[#This Row],[Importe]]-Tabla19[[#This Row],[Pagado]]</f>
        <v>0</v>
      </c>
      <c r="H1739" s="153" t="s">
        <v>10</v>
      </c>
    </row>
    <row r="1740" spans="1:8" x14ac:dyDescent="0.25">
      <c r="A1740" s="73">
        <v>44791</v>
      </c>
      <c r="B1740" s="74" t="s">
        <v>26462</v>
      </c>
      <c r="C1740" s="75" t="s">
        <v>89</v>
      </c>
      <c r="D1740" s="176">
        <v>11257.8</v>
      </c>
      <c r="E1740" s="151">
        <v>44792</v>
      </c>
      <c r="F1740" s="176">
        <v>11257.8</v>
      </c>
      <c r="G1740" s="177">
        <f>Tabla19[[#This Row],[Importe]]-Tabla19[[#This Row],[Pagado]]</f>
        <v>0</v>
      </c>
      <c r="H1740" s="75" t="s">
        <v>10</v>
      </c>
    </row>
    <row r="1741" spans="1:8" x14ac:dyDescent="0.25">
      <c r="A1741" s="148">
        <v>44791</v>
      </c>
      <c r="B1741" s="149" t="s">
        <v>26463</v>
      </c>
      <c r="C1741" s="153" t="s">
        <v>157</v>
      </c>
      <c r="D1741" s="178">
        <v>7444.2</v>
      </c>
      <c r="E1741" s="155">
        <v>44791</v>
      </c>
      <c r="F1741" s="178">
        <v>7444.2</v>
      </c>
      <c r="G1741" s="179">
        <f>Tabla19[[#This Row],[Importe]]-Tabla19[[#This Row],[Pagado]]</f>
        <v>0</v>
      </c>
      <c r="H1741" s="153" t="s">
        <v>10</v>
      </c>
    </row>
    <row r="1742" spans="1:8" x14ac:dyDescent="0.25">
      <c r="A1742" s="73">
        <v>44791</v>
      </c>
      <c r="B1742" s="74" t="s">
        <v>26464</v>
      </c>
      <c r="C1742" s="75" t="s">
        <v>93</v>
      </c>
      <c r="D1742" s="176">
        <v>10222.799999999999</v>
      </c>
      <c r="E1742" s="151">
        <v>44793</v>
      </c>
      <c r="F1742" s="176">
        <v>10222.799999999999</v>
      </c>
      <c r="G1742" s="177">
        <f>Tabla19[[#This Row],[Importe]]-Tabla19[[#This Row],[Pagado]]</f>
        <v>0</v>
      </c>
      <c r="H1742" s="75" t="s">
        <v>10</v>
      </c>
    </row>
    <row r="1743" spans="1:8" x14ac:dyDescent="0.25">
      <c r="A1743" s="148">
        <v>44791</v>
      </c>
      <c r="B1743" s="149" t="s">
        <v>26465</v>
      </c>
      <c r="C1743" s="153" t="s">
        <v>348</v>
      </c>
      <c r="D1743" s="178">
        <v>6733.8</v>
      </c>
      <c r="E1743" s="155">
        <v>44795</v>
      </c>
      <c r="F1743" s="178">
        <v>6733.8</v>
      </c>
      <c r="G1743" s="179">
        <f>Tabla19[[#This Row],[Importe]]-Tabla19[[#This Row],[Pagado]]</f>
        <v>0</v>
      </c>
      <c r="H1743" s="153" t="s">
        <v>10</v>
      </c>
    </row>
    <row r="1744" spans="1:8" x14ac:dyDescent="0.25">
      <c r="A1744" s="73">
        <v>44791</v>
      </c>
      <c r="B1744" s="74" t="s">
        <v>26466</v>
      </c>
      <c r="C1744" s="75" t="s">
        <v>105</v>
      </c>
      <c r="D1744" s="176">
        <v>9474.7000000000007</v>
      </c>
      <c r="E1744" s="151">
        <v>44792</v>
      </c>
      <c r="F1744" s="176">
        <v>9474.7000000000007</v>
      </c>
      <c r="G1744" s="177">
        <f>Tabla19[[#This Row],[Importe]]-Tabla19[[#This Row],[Pagado]]</f>
        <v>0</v>
      </c>
      <c r="H1744" s="75" t="s">
        <v>10</v>
      </c>
    </row>
    <row r="1745" spans="1:8" x14ac:dyDescent="0.25">
      <c r="A1745" s="148">
        <v>44791</v>
      </c>
      <c r="B1745" s="149" t="s">
        <v>26467</v>
      </c>
      <c r="C1745" s="153" t="s">
        <v>114</v>
      </c>
      <c r="D1745" s="178">
        <v>13191.7</v>
      </c>
      <c r="E1745" s="155">
        <v>44792</v>
      </c>
      <c r="F1745" s="178">
        <v>13191.7</v>
      </c>
      <c r="G1745" s="179">
        <f>Tabla19[[#This Row],[Importe]]-Tabla19[[#This Row],[Pagado]]</f>
        <v>0</v>
      </c>
      <c r="H1745" s="153" t="s">
        <v>10</v>
      </c>
    </row>
    <row r="1746" spans="1:8" x14ac:dyDescent="0.25">
      <c r="A1746" s="73">
        <v>44791</v>
      </c>
      <c r="B1746" s="74" t="s">
        <v>26468</v>
      </c>
      <c r="C1746" s="75" t="s">
        <v>2151</v>
      </c>
      <c r="D1746" s="176">
        <v>28137.1</v>
      </c>
      <c r="E1746" s="151">
        <v>44791</v>
      </c>
      <c r="F1746" s="176">
        <v>28137.1</v>
      </c>
      <c r="G1746" s="177">
        <f>Tabla19[[#This Row],[Importe]]-Tabla19[[#This Row],[Pagado]]</f>
        <v>0</v>
      </c>
      <c r="H1746" s="75" t="s">
        <v>10</v>
      </c>
    </row>
    <row r="1747" spans="1:8" x14ac:dyDescent="0.25">
      <c r="A1747" s="148">
        <v>44791</v>
      </c>
      <c r="B1747" s="149" t="s">
        <v>26469</v>
      </c>
      <c r="C1747" s="153" t="s">
        <v>109</v>
      </c>
      <c r="D1747" s="178">
        <v>6098.4</v>
      </c>
      <c r="E1747" s="155">
        <v>44792</v>
      </c>
      <c r="F1747" s="178">
        <v>6098.4</v>
      </c>
      <c r="G1747" s="179">
        <f>Tabla19[[#This Row],[Importe]]-Tabla19[[#This Row],[Pagado]]</f>
        <v>0</v>
      </c>
      <c r="H1747" s="153" t="s">
        <v>10</v>
      </c>
    </row>
    <row r="1748" spans="1:8" x14ac:dyDescent="0.25">
      <c r="A1748" s="73">
        <v>44791</v>
      </c>
      <c r="B1748" s="74" t="s">
        <v>26470</v>
      </c>
      <c r="C1748" s="75" t="s">
        <v>97</v>
      </c>
      <c r="D1748" s="176">
        <v>5447</v>
      </c>
      <c r="E1748" s="151">
        <v>44792</v>
      </c>
      <c r="F1748" s="176">
        <v>5447</v>
      </c>
      <c r="G1748" s="177">
        <f>Tabla19[[#This Row],[Importe]]-Tabla19[[#This Row],[Pagado]]</f>
        <v>0</v>
      </c>
      <c r="H1748" s="75" t="s">
        <v>10</v>
      </c>
    </row>
    <row r="1749" spans="1:8" x14ac:dyDescent="0.25">
      <c r="A1749" s="148">
        <v>44791</v>
      </c>
      <c r="B1749" s="149" t="s">
        <v>26471</v>
      </c>
      <c r="C1749" s="153" t="s">
        <v>111</v>
      </c>
      <c r="D1749" s="178">
        <v>5840.1</v>
      </c>
      <c r="E1749" s="155">
        <v>44792</v>
      </c>
      <c r="F1749" s="178">
        <v>5840.1</v>
      </c>
      <c r="G1749" s="179">
        <f>Tabla19[[#This Row],[Importe]]-Tabla19[[#This Row],[Pagado]]</f>
        <v>0</v>
      </c>
      <c r="H1749" s="153" t="s">
        <v>10</v>
      </c>
    </row>
    <row r="1750" spans="1:8" x14ac:dyDescent="0.25">
      <c r="A1750" s="73">
        <v>44791</v>
      </c>
      <c r="B1750" s="74" t="s">
        <v>26472</v>
      </c>
      <c r="C1750" s="75" t="s">
        <v>2563</v>
      </c>
      <c r="D1750" s="176">
        <v>5382</v>
      </c>
      <c r="E1750" s="151">
        <v>44792</v>
      </c>
      <c r="F1750" s="176">
        <v>5382</v>
      </c>
      <c r="G1750" s="177">
        <f>Tabla19[[#This Row],[Importe]]-Tabla19[[#This Row],[Pagado]]</f>
        <v>0</v>
      </c>
      <c r="H1750" s="75" t="s">
        <v>10</v>
      </c>
    </row>
    <row r="1751" spans="1:8" x14ac:dyDescent="0.25">
      <c r="A1751" s="148">
        <v>44791</v>
      </c>
      <c r="B1751" s="149" t="s">
        <v>26473</v>
      </c>
      <c r="C1751" s="153" t="s">
        <v>64</v>
      </c>
      <c r="D1751" s="178">
        <v>6097</v>
      </c>
      <c r="E1751" s="155">
        <v>44792</v>
      </c>
      <c r="F1751" s="178">
        <v>6097</v>
      </c>
      <c r="G1751" s="179">
        <f>Tabla19[[#This Row],[Importe]]-Tabla19[[#This Row],[Pagado]]</f>
        <v>0</v>
      </c>
      <c r="H1751" s="153" t="s">
        <v>10</v>
      </c>
    </row>
    <row r="1752" spans="1:8" x14ac:dyDescent="0.25">
      <c r="A1752" s="73">
        <v>44791</v>
      </c>
      <c r="B1752" s="74" t="s">
        <v>26474</v>
      </c>
      <c r="C1752" s="75" t="s">
        <v>142</v>
      </c>
      <c r="D1752" s="176">
        <v>79085.52</v>
      </c>
      <c r="E1752" s="151">
        <v>44841</v>
      </c>
      <c r="F1752" s="176">
        <v>79085.52</v>
      </c>
      <c r="G1752" s="177">
        <f>Tabla19[[#This Row],[Importe]]-Tabla19[[#This Row],[Pagado]]</f>
        <v>0</v>
      </c>
      <c r="H1752" s="75" t="s">
        <v>10</v>
      </c>
    </row>
    <row r="1753" spans="1:8" x14ac:dyDescent="0.25">
      <c r="A1753" s="148">
        <v>44791</v>
      </c>
      <c r="B1753" s="149" t="s">
        <v>26475</v>
      </c>
      <c r="C1753" s="153" t="s">
        <v>93</v>
      </c>
      <c r="D1753" s="178">
        <v>432</v>
      </c>
      <c r="E1753" s="155">
        <v>44792</v>
      </c>
      <c r="F1753" s="178">
        <v>432</v>
      </c>
      <c r="G1753" s="179">
        <f>Tabla19[[#This Row],[Importe]]-Tabla19[[#This Row],[Pagado]]</f>
        <v>0</v>
      </c>
      <c r="H1753" s="153" t="s">
        <v>10</v>
      </c>
    </row>
    <row r="1754" spans="1:8" x14ac:dyDescent="0.25">
      <c r="A1754" s="73">
        <v>44791</v>
      </c>
      <c r="B1754" s="74" t="s">
        <v>26476</v>
      </c>
      <c r="C1754" s="75" t="s">
        <v>131</v>
      </c>
      <c r="D1754" s="176">
        <v>3865.4</v>
      </c>
      <c r="E1754" s="151">
        <v>44791</v>
      </c>
      <c r="F1754" s="176">
        <v>3865.4</v>
      </c>
      <c r="G1754" s="177">
        <f>Tabla19[[#This Row],[Importe]]-Tabla19[[#This Row],[Pagado]]</f>
        <v>0</v>
      </c>
      <c r="H1754" s="75" t="s">
        <v>10</v>
      </c>
    </row>
    <row r="1755" spans="1:8" x14ac:dyDescent="0.25">
      <c r="A1755" s="148">
        <v>44791</v>
      </c>
      <c r="B1755" s="149" t="s">
        <v>26477</v>
      </c>
      <c r="C1755" s="153" t="s">
        <v>31</v>
      </c>
      <c r="D1755" s="178">
        <v>1534.4</v>
      </c>
      <c r="E1755" s="155">
        <v>44791</v>
      </c>
      <c r="F1755" s="178">
        <v>1534.4</v>
      </c>
      <c r="G1755" s="179">
        <f>Tabla19[[#This Row],[Importe]]-Tabla19[[#This Row],[Pagado]]</f>
        <v>0</v>
      </c>
      <c r="H1755" s="153" t="s">
        <v>10</v>
      </c>
    </row>
    <row r="1756" spans="1:8" x14ac:dyDescent="0.25">
      <c r="A1756" s="73">
        <v>44791</v>
      </c>
      <c r="B1756" s="74" t="s">
        <v>26478</v>
      </c>
      <c r="C1756" s="75" t="s">
        <v>151</v>
      </c>
      <c r="D1756" s="176">
        <v>19641.439999999999</v>
      </c>
      <c r="E1756" s="151">
        <v>44791</v>
      </c>
      <c r="F1756" s="176">
        <v>19641.439999999999</v>
      </c>
      <c r="G1756" s="177">
        <f>Tabla19[[#This Row],[Importe]]-Tabla19[[#This Row],[Pagado]]</f>
        <v>0</v>
      </c>
      <c r="H1756" s="75" t="s">
        <v>10</v>
      </c>
    </row>
    <row r="1757" spans="1:8" x14ac:dyDescent="0.25">
      <c r="A1757" s="148">
        <v>44791</v>
      </c>
      <c r="B1757" s="149" t="s">
        <v>26479</v>
      </c>
      <c r="C1757" s="153" t="s">
        <v>1187</v>
      </c>
      <c r="D1757" s="178">
        <v>2492.4</v>
      </c>
      <c r="E1757" s="155">
        <v>44791</v>
      </c>
      <c r="F1757" s="178">
        <v>2492.4</v>
      </c>
      <c r="G1757" s="179">
        <f>Tabla19[[#This Row],[Importe]]-Tabla19[[#This Row],[Pagado]]</f>
        <v>0</v>
      </c>
      <c r="H1757" s="153" t="s">
        <v>10</v>
      </c>
    </row>
    <row r="1758" spans="1:8" x14ac:dyDescent="0.25">
      <c r="A1758" s="73">
        <v>44791</v>
      </c>
      <c r="B1758" s="74" t="s">
        <v>26480</v>
      </c>
      <c r="C1758" s="75" t="s">
        <v>142</v>
      </c>
      <c r="D1758" s="176">
        <v>543.20000000000005</v>
      </c>
      <c r="E1758" s="151">
        <v>44841</v>
      </c>
      <c r="F1758" s="176">
        <v>543.20000000000005</v>
      </c>
      <c r="G1758" s="177">
        <f>Tabla19[[#This Row],[Importe]]-Tabla19[[#This Row],[Pagado]]</f>
        <v>0</v>
      </c>
      <c r="H1758" s="75" t="s">
        <v>10</v>
      </c>
    </row>
    <row r="1759" spans="1:8" x14ac:dyDescent="0.25">
      <c r="A1759" s="148">
        <v>44791</v>
      </c>
      <c r="B1759" s="149" t="s">
        <v>26481</v>
      </c>
      <c r="C1759" s="153" t="s">
        <v>9</v>
      </c>
      <c r="D1759" s="178">
        <v>8482.1</v>
      </c>
      <c r="E1759" s="155">
        <v>44791</v>
      </c>
      <c r="F1759" s="178">
        <v>8482.1</v>
      </c>
      <c r="G1759" s="179">
        <f>Tabla19[[#This Row],[Importe]]-Tabla19[[#This Row],[Pagado]]</f>
        <v>0</v>
      </c>
      <c r="H1759" s="153" t="s">
        <v>10</v>
      </c>
    </row>
    <row r="1760" spans="1:8" x14ac:dyDescent="0.25">
      <c r="A1760" s="73">
        <v>44791</v>
      </c>
      <c r="B1760" s="74" t="s">
        <v>26482</v>
      </c>
      <c r="C1760" s="75" t="s">
        <v>18</v>
      </c>
      <c r="D1760" s="176">
        <v>351.4</v>
      </c>
      <c r="E1760" s="151">
        <v>44791</v>
      </c>
      <c r="F1760" s="176">
        <v>351.4</v>
      </c>
      <c r="G1760" s="177">
        <f>Tabla19[[#This Row],[Importe]]-Tabla19[[#This Row],[Pagado]]</f>
        <v>0</v>
      </c>
      <c r="H1760" s="75" t="s">
        <v>10</v>
      </c>
    </row>
    <row r="1761" spans="1:8" x14ac:dyDescent="0.25">
      <c r="A1761" s="148">
        <v>44791</v>
      </c>
      <c r="B1761" s="149" t="s">
        <v>26483</v>
      </c>
      <c r="C1761" s="153" t="s">
        <v>83</v>
      </c>
      <c r="D1761" s="178">
        <v>10000</v>
      </c>
      <c r="E1761" s="155">
        <v>44791</v>
      </c>
      <c r="F1761" s="178">
        <v>10000</v>
      </c>
      <c r="G1761" s="179">
        <f>Tabla19[[#This Row],[Importe]]-Tabla19[[#This Row],[Pagado]]</f>
        <v>0</v>
      </c>
      <c r="H1761" s="153" t="s">
        <v>10</v>
      </c>
    </row>
    <row r="1762" spans="1:8" x14ac:dyDescent="0.25">
      <c r="A1762" s="73">
        <v>44791</v>
      </c>
      <c r="B1762" s="74" t="s">
        <v>26484</v>
      </c>
      <c r="C1762" s="75" t="s">
        <v>357</v>
      </c>
      <c r="D1762" s="176">
        <v>4650</v>
      </c>
      <c r="E1762" s="151">
        <v>44791</v>
      </c>
      <c r="F1762" s="176">
        <v>4650</v>
      </c>
      <c r="G1762" s="177">
        <f>Tabla19[[#This Row],[Importe]]-Tabla19[[#This Row],[Pagado]]</f>
        <v>0</v>
      </c>
      <c r="H1762" s="75" t="s">
        <v>10</v>
      </c>
    </row>
    <row r="1763" spans="1:8" x14ac:dyDescent="0.25">
      <c r="A1763" s="148">
        <v>44791</v>
      </c>
      <c r="B1763" s="149" t="s">
        <v>26485</v>
      </c>
      <c r="C1763" s="153" t="s">
        <v>127</v>
      </c>
      <c r="D1763" s="178">
        <v>4717.5</v>
      </c>
      <c r="E1763" s="155">
        <v>44791</v>
      </c>
      <c r="F1763" s="178">
        <v>4717.5</v>
      </c>
      <c r="G1763" s="179">
        <f>Tabla19[[#This Row],[Importe]]-Tabla19[[#This Row],[Pagado]]</f>
        <v>0</v>
      </c>
      <c r="H1763" s="153" t="s">
        <v>10</v>
      </c>
    </row>
    <row r="1764" spans="1:8" x14ac:dyDescent="0.25">
      <c r="A1764" s="73">
        <v>44791</v>
      </c>
      <c r="B1764" s="74" t="s">
        <v>26486</v>
      </c>
      <c r="C1764" s="75" t="s">
        <v>140</v>
      </c>
      <c r="D1764" s="176">
        <v>4882.5</v>
      </c>
      <c r="E1764" s="151">
        <v>44791</v>
      </c>
      <c r="F1764" s="176">
        <v>4882.5</v>
      </c>
      <c r="G1764" s="177">
        <f>Tabla19[[#This Row],[Importe]]-Tabla19[[#This Row],[Pagado]]</f>
        <v>0</v>
      </c>
      <c r="H1764" s="75" t="s">
        <v>10</v>
      </c>
    </row>
    <row r="1765" spans="1:8" x14ac:dyDescent="0.25">
      <c r="A1765" s="148">
        <v>44791</v>
      </c>
      <c r="B1765" s="149" t="s">
        <v>26487</v>
      </c>
      <c r="C1765" s="153" t="s">
        <v>339</v>
      </c>
      <c r="D1765" s="178">
        <v>616.20000000000005</v>
      </c>
      <c r="E1765" s="155">
        <v>44791</v>
      </c>
      <c r="F1765" s="178">
        <v>616.20000000000005</v>
      </c>
      <c r="G1765" s="179">
        <f>Tabla19[[#This Row],[Importe]]-Tabla19[[#This Row],[Pagado]]</f>
        <v>0</v>
      </c>
      <c r="H1765" s="153" t="s">
        <v>10</v>
      </c>
    </row>
    <row r="1766" spans="1:8" x14ac:dyDescent="0.25">
      <c r="A1766" s="73">
        <v>44791</v>
      </c>
      <c r="B1766" s="74" t="s">
        <v>26488</v>
      </c>
      <c r="C1766" s="75" t="s">
        <v>107</v>
      </c>
      <c r="D1766" s="176">
        <v>18084</v>
      </c>
      <c r="E1766" s="151">
        <v>44791</v>
      </c>
      <c r="F1766" s="176">
        <v>18084</v>
      </c>
      <c r="G1766" s="177">
        <f>Tabla19[[#This Row],[Importe]]-Tabla19[[#This Row],[Pagado]]</f>
        <v>0</v>
      </c>
      <c r="H1766" s="75" t="s">
        <v>10</v>
      </c>
    </row>
    <row r="1767" spans="1:8" x14ac:dyDescent="0.25">
      <c r="A1767" s="148">
        <v>44791</v>
      </c>
      <c r="B1767" s="149" t="s">
        <v>26489</v>
      </c>
      <c r="C1767" s="153" t="s">
        <v>87</v>
      </c>
      <c r="D1767" s="178">
        <v>2563.4</v>
      </c>
      <c r="E1767" s="155">
        <v>44791</v>
      </c>
      <c r="F1767" s="178">
        <v>2563.4</v>
      </c>
      <c r="G1767" s="179">
        <f>Tabla19[[#This Row],[Importe]]-Tabla19[[#This Row],[Pagado]]</f>
        <v>0</v>
      </c>
      <c r="H1767" s="153" t="s">
        <v>10</v>
      </c>
    </row>
    <row r="1768" spans="1:8" x14ac:dyDescent="0.25">
      <c r="A1768" s="73">
        <v>44791</v>
      </c>
      <c r="B1768" s="74" t="s">
        <v>26490</v>
      </c>
      <c r="C1768" s="75" t="s">
        <v>75</v>
      </c>
      <c r="D1768" s="176">
        <v>6848.4</v>
      </c>
      <c r="E1768" s="151">
        <v>44791</v>
      </c>
      <c r="F1768" s="176">
        <v>6848.4</v>
      </c>
      <c r="G1768" s="177">
        <f>Tabla19[[#This Row],[Importe]]-Tabla19[[#This Row],[Pagado]]</f>
        <v>0</v>
      </c>
      <c r="H1768" s="75" t="s">
        <v>10</v>
      </c>
    </row>
    <row r="1769" spans="1:8" x14ac:dyDescent="0.25">
      <c r="A1769" s="148">
        <v>44791</v>
      </c>
      <c r="B1769" s="149" t="s">
        <v>26491</v>
      </c>
      <c r="C1769" s="153" t="s">
        <v>312</v>
      </c>
      <c r="D1769" s="178">
        <v>5358.9</v>
      </c>
      <c r="E1769" s="155">
        <v>44791</v>
      </c>
      <c r="F1769" s="178">
        <v>5358.9</v>
      </c>
      <c r="G1769" s="179">
        <f>Tabla19[[#This Row],[Importe]]-Tabla19[[#This Row],[Pagado]]</f>
        <v>0</v>
      </c>
      <c r="H1769" s="153" t="s">
        <v>10</v>
      </c>
    </row>
    <row r="1770" spans="1:8" x14ac:dyDescent="0.25">
      <c r="A1770" s="73">
        <v>44791</v>
      </c>
      <c r="B1770" s="74" t="s">
        <v>26492</v>
      </c>
      <c r="C1770" s="75" t="s">
        <v>200</v>
      </c>
      <c r="D1770" s="176">
        <v>1420.8</v>
      </c>
      <c r="E1770" s="151">
        <v>44791</v>
      </c>
      <c r="F1770" s="176">
        <v>1420.8</v>
      </c>
      <c r="G1770" s="177">
        <f>Tabla19[[#This Row],[Importe]]-Tabla19[[#This Row],[Pagado]]</f>
        <v>0</v>
      </c>
      <c r="H1770" s="75" t="s">
        <v>10</v>
      </c>
    </row>
    <row r="1771" spans="1:8" x14ac:dyDescent="0.25">
      <c r="A1771" s="148">
        <v>44791</v>
      </c>
      <c r="B1771" s="149" t="s">
        <v>26493</v>
      </c>
      <c r="C1771" s="153" t="s">
        <v>79</v>
      </c>
      <c r="D1771" s="178">
        <v>21286.400000000001</v>
      </c>
      <c r="E1771" s="155">
        <v>44791</v>
      </c>
      <c r="F1771" s="178">
        <v>21286.400000000001</v>
      </c>
      <c r="G1771" s="179">
        <f>Tabla19[[#This Row],[Importe]]-Tabla19[[#This Row],[Pagado]]</f>
        <v>0</v>
      </c>
      <c r="H1771" s="153" t="s">
        <v>10</v>
      </c>
    </row>
    <row r="1772" spans="1:8" x14ac:dyDescent="0.25">
      <c r="A1772" s="73">
        <v>44791</v>
      </c>
      <c r="B1772" s="74" t="s">
        <v>26494</v>
      </c>
      <c r="C1772" s="75" t="s">
        <v>319</v>
      </c>
      <c r="D1772" s="176">
        <v>10156.299999999999</v>
      </c>
      <c r="E1772" s="151">
        <v>44791</v>
      </c>
      <c r="F1772" s="176">
        <v>10156.299999999999</v>
      </c>
      <c r="G1772" s="177">
        <f>Tabla19[[#This Row],[Importe]]-Tabla19[[#This Row],[Pagado]]</f>
        <v>0</v>
      </c>
      <c r="H1772" s="75" t="s">
        <v>10</v>
      </c>
    </row>
    <row r="1773" spans="1:8" x14ac:dyDescent="0.25">
      <c r="A1773" s="148">
        <v>44791</v>
      </c>
      <c r="B1773" s="149" t="s">
        <v>26495</v>
      </c>
      <c r="C1773" s="153" t="s">
        <v>22</v>
      </c>
      <c r="D1773" s="178">
        <v>7876.4</v>
      </c>
      <c r="E1773" s="155">
        <v>44792</v>
      </c>
      <c r="F1773" s="178">
        <v>7876.4</v>
      </c>
      <c r="G1773" s="179">
        <f>Tabla19[[#This Row],[Importe]]-Tabla19[[#This Row],[Pagado]]</f>
        <v>0</v>
      </c>
      <c r="H1773" s="153" t="s">
        <v>10</v>
      </c>
    </row>
    <row r="1774" spans="1:8" x14ac:dyDescent="0.25">
      <c r="A1774" s="73">
        <v>44791</v>
      </c>
      <c r="B1774" s="74" t="s">
        <v>26496</v>
      </c>
      <c r="C1774" s="75" t="s">
        <v>333</v>
      </c>
      <c r="D1774" s="176">
        <v>1264</v>
      </c>
      <c r="E1774" s="151">
        <v>44791</v>
      </c>
      <c r="F1774" s="176">
        <v>1264</v>
      </c>
      <c r="G1774" s="177">
        <f>Tabla19[[#This Row],[Importe]]-Tabla19[[#This Row],[Pagado]]</f>
        <v>0</v>
      </c>
      <c r="H1774" s="75" t="s">
        <v>10</v>
      </c>
    </row>
    <row r="1775" spans="1:8" x14ac:dyDescent="0.25">
      <c r="A1775" s="148">
        <v>44791</v>
      </c>
      <c r="B1775" s="149" t="s">
        <v>26497</v>
      </c>
      <c r="C1775" s="153" t="s">
        <v>196</v>
      </c>
      <c r="D1775" s="178">
        <v>139269.35999999999</v>
      </c>
      <c r="E1775" s="155">
        <v>44792</v>
      </c>
      <c r="F1775" s="178">
        <v>139269.35999999999</v>
      </c>
      <c r="G1775" s="179">
        <f>Tabla19[[#This Row],[Importe]]-Tabla19[[#This Row],[Pagado]]</f>
        <v>0</v>
      </c>
      <c r="H1775" s="153" t="s">
        <v>10</v>
      </c>
    </row>
    <row r="1776" spans="1:8" x14ac:dyDescent="0.25">
      <c r="A1776" s="73">
        <v>44791</v>
      </c>
      <c r="B1776" s="74" t="s">
        <v>26498</v>
      </c>
      <c r="C1776" s="75" t="s">
        <v>146</v>
      </c>
      <c r="D1776" s="176">
        <v>6364.8</v>
      </c>
      <c r="E1776" s="151">
        <v>44791</v>
      </c>
      <c r="F1776" s="176">
        <v>6364.8</v>
      </c>
      <c r="G1776" s="177">
        <f>Tabla19[[#This Row],[Importe]]-Tabla19[[#This Row],[Pagado]]</f>
        <v>0</v>
      </c>
      <c r="H1776" s="75" t="s">
        <v>10</v>
      </c>
    </row>
    <row r="1777" spans="1:8" x14ac:dyDescent="0.25">
      <c r="A1777" s="148">
        <v>44791</v>
      </c>
      <c r="B1777" s="149" t="s">
        <v>26499</v>
      </c>
      <c r="C1777" s="153" t="s">
        <v>9577</v>
      </c>
      <c r="D1777" s="178">
        <v>2900</v>
      </c>
      <c r="E1777" s="155">
        <v>44791</v>
      </c>
      <c r="F1777" s="178">
        <v>2900</v>
      </c>
      <c r="G1777" s="179">
        <f>Tabla19[[#This Row],[Importe]]-Tabla19[[#This Row],[Pagado]]</f>
        <v>0</v>
      </c>
      <c r="H1777" s="153" t="s">
        <v>10</v>
      </c>
    </row>
    <row r="1778" spans="1:8" x14ac:dyDescent="0.25">
      <c r="A1778" s="73">
        <v>44791</v>
      </c>
      <c r="B1778" s="74" t="s">
        <v>26500</v>
      </c>
      <c r="C1778" s="75" t="s">
        <v>647</v>
      </c>
      <c r="D1778" s="176">
        <v>7192.8</v>
      </c>
      <c r="E1778" s="151">
        <v>44791</v>
      </c>
      <c r="F1778" s="176">
        <v>7192.8</v>
      </c>
      <c r="G1778" s="177">
        <f>Tabla19[[#This Row],[Importe]]-Tabla19[[#This Row],[Pagado]]</f>
        <v>0</v>
      </c>
      <c r="H1778" s="75" t="s">
        <v>10</v>
      </c>
    </row>
    <row r="1779" spans="1:8" x14ac:dyDescent="0.25">
      <c r="A1779" s="148">
        <v>44791</v>
      </c>
      <c r="B1779" s="149" t="s">
        <v>26501</v>
      </c>
      <c r="C1779" s="153" t="s">
        <v>27</v>
      </c>
      <c r="D1779" s="178">
        <v>624</v>
      </c>
      <c r="E1779" s="155">
        <v>44791</v>
      </c>
      <c r="F1779" s="178">
        <v>624</v>
      </c>
      <c r="G1779" s="179">
        <f>Tabla19[[#This Row],[Importe]]-Tabla19[[#This Row],[Pagado]]</f>
        <v>0</v>
      </c>
      <c r="H1779" s="153" t="s">
        <v>10</v>
      </c>
    </row>
    <row r="1780" spans="1:8" x14ac:dyDescent="0.25">
      <c r="A1780" s="73">
        <v>44791</v>
      </c>
      <c r="B1780" s="74" t="s">
        <v>26502</v>
      </c>
      <c r="C1780" s="75" t="s">
        <v>45</v>
      </c>
      <c r="D1780" s="176">
        <v>14215.1</v>
      </c>
      <c r="E1780" s="151">
        <v>44791</v>
      </c>
      <c r="F1780" s="176">
        <v>14215.1</v>
      </c>
      <c r="G1780" s="177">
        <f>Tabla19[[#This Row],[Importe]]-Tabla19[[#This Row],[Pagado]]</f>
        <v>0</v>
      </c>
      <c r="H1780" s="75" t="s">
        <v>10</v>
      </c>
    </row>
    <row r="1781" spans="1:8" x14ac:dyDescent="0.25">
      <c r="A1781" s="148">
        <v>44791</v>
      </c>
      <c r="B1781" s="149" t="s">
        <v>26503</v>
      </c>
      <c r="C1781" s="153" t="s">
        <v>359</v>
      </c>
      <c r="D1781" s="178">
        <v>1371.2</v>
      </c>
      <c r="E1781" s="155">
        <v>44791</v>
      </c>
      <c r="F1781" s="178">
        <v>1371.2</v>
      </c>
      <c r="G1781" s="179">
        <f>Tabla19[[#This Row],[Importe]]-Tabla19[[#This Row],[Pagado]]</f>
        <v>0</v>
      </c>
      <c r="H1781" s="153" t="s">
        <v>10</v>
      </c>
    </row>
    <row r="1782" spans="1:8" x14ac:dyDescent="0.25">
      <c r="A1782" s="73">
        <v>44791</v>
      </c>
      <c r="B1782" s="74" t="s">
        <v>26504</v>
      </c>
      <c r="C1782" s="75" t="s">
        <v>45</v>
      </c>
      <c r="D1782" s="176">
        <v>661.2</v>
      </c>
      <c r="E1782" s="151">
        <v>44791</v>
      </c>
      <c r="F1782" s="176">
        <v>661.2</v>
      </c>
      <c r="G1782" s="177">
        <f>Tabla19[[#This Row],[Importe]]-Tabla19[[#This Row],[Pagado]]</f>
        <v>0</v>
      </c>
      <c r="H1782" s="75" t="s">
        <v>10</v>
      </c>
    </row>
    <row r="1783" spans="1:8" x14ac:dyDescent="0.25">
      <c r="A1783" s="148">
        <v>44791</v>
      </c>
      <c r="B1783" s="149" t="s">
        <v>26505</v>
      </c>
      <c r="C1783" s="153" t="s">
        <v>426</v>
      </c>
      <c r="D1783" s="178">
        <v>1260.4000000000001</v>
      </c>
      <c r="E1783" s="155">
        <v>44791</v>
      </c>
      <c r="F1783" s="178">
        <v>1260.4000000000001</v>
      </c>
      <c r="G1783" s="179">
        <f>Tabla19[[#This Row],[Importe]]-Tabla19[[#This Row],[Pagado]]</f>
        <v>0</v>
      </c>
      <c r="H1783" s="153" t="s">
        <v>10</v>
      </c>
    </row>
    <row r="1784" spans="1:8" x14ac:dyDescent="0.25">
      <c r="A1784" s="73">
        <v>44791</v>
      </c>
      <c r="B1784" s="74" t="s">
        <v>26506</v>
      </c>
      <c r="C1784" s="75" t="s">
        <v>37</v>
      </c>
      <c r="D1784" s="176">
        <v>2740.4</v>
      </c>
      <c r="E1784" s="151">
        <v>44791</v>
      </c>
      <c r="F1784" s="176">
        <v>2740.4</v>
      </c>
      <c r="G1784" s="177">
        <f>Tabla19[[#This Row],[Importe]]-Tabla19[[#This Row],[Pagado]]</f>
        <v>0</v>
      </c>
      <c r="H1784" s="75" t="s">
        <v>10</v>
      </c>
    </row>
    <row r="1785" spans="1:8" x14ac:dyDescent="0.25">
      <c r="A1785" s="148">
        <v>44791</v>
      </c>
      <c r="B1785" s="149" t="s">
        <v>26507</v>
      </c>
      <c r="C1785" s="153" t="s">
        <v>49</v>
      </c>
      <c r="D1785" s="178">
        <v>3490.7</v>
      </c>
      <c r="E1785" s="155">
        <v>44791</v>
      </c>
      <c r="F1785" s="178">
        <v>3490.7</v>
      </c>
      <c r="G1785" s="179">
        <f>Tabla19[[#This Row],[Importe]]-Tabla19[[#This Row],[Pagado]]</f>
        <v>0</v>
      </c>
      <c r="H1785" s="153" t="s">
        <v>10</v>
      </c>
    </row>
    <row r="1786" spans="1:8" x14ac:dyDescent="0.25">
      <c r="A1786" s="73">
        <v>44791</v>
      </c>
      <c r="B1786" s="74" t="s">
        <v>26508</v>
      </c>
      <c r="C1786" s="75" t="s">
        <v>56</v>
      </c>
      <c r="D1786" s="176">
        <v>7255.8</v>
      </c>
      <c r="E1786" s="151">
        <v>44791</v>
      </c>
      <c r="F1786" s="176">
        <v>7255.8</v>
      </c>
      <c r="G1786" s="177">
        <f>Tabla19[[#This Row],[Importe]]-Tabla19[[#This Row],[Pagado]]</f>
        <v>0</v>
      </c>
      <c r="H1786" s="75" t="s">
        <v>10</v>
      </c>
    </row>
    <row r="1787" spans="1:8" x14ac:dyDescent="0.25">
      <c r="A1787" s="148">
        <v>44791</v>
      </c>
      <c r="B1787" s="149" t="s">
        <v>26509</v>
      </c>
      <c r="C1787" s="153" t="s">
        <v>647</v>
      </c>
      <c r="D1787" s="178">
        <v>1376.6</v>
      </c>
      <c r="E1787" s="155">
        <v>44791</v>
      </c>
      <c r="F1787" s="178">
        <v>1376.6</v>
      </c>
      <c r="G1787" s="179">
        <f>Tabla19[[#This Row],[Importe]]-Tabla19[[#This Row],[Pagado]]</f>
        <v>0</v>
      </c>
      <c r="H1787" s="153" t="s">
        <v>10</v>
      </c>
    </row>
    <row r="1788" spans="1:8" x14ac:dyDescent="0.25">
      <c r="A1788" s="73">
        <v>44791</v>
      </c>
      <c r="B1788" s="74" t="s">
        <v>26510</v>
      </c>
      <c r="C1788" s="75" t="s">
        <v>698</v>
      </c>
      <c r="D1788" s="176">
        <v>5206.7</v>
      </c>
      <c r="E1788" s="151">
        <v>44791</v>
      </c>
      <c r="F1788" s="176">
        <v>5206.7</v>
      </c>
      <c r="G1788" s="177">
        <f>Tabla19[[#This Row],[Importe]]-Tabla19[[#This Row],[Pagado]]</f>
        <v>0</v>
      </c>
      <c r="H1788" s="75" t="s">
        <v>10</v>
      </c>
    </row>
    <row r="1789" spans="1:8" x14ac:dyDescent="0.25">
      <c r="A1789" s="148">
        <v>44791</v>
      </c>
      <c r="B1789" s="149" t="s">
        <v>26511</v>
      </c>
      <c r="C1789" s="153" t="s">
        <v>1003</v>
      </c>
      <c r="D1789" s="178">
        <v>3718.7</v>
      </c>
      <c r="E1789" s="155">
        <v>44791</v>
      </c>
      <c r="F1789" s="178">
        <v>3718.7</v>
      </c>
      <c r="G1789" s="179">
        <f>Tabla19[[#This Row],[Importe]]-Tabla19[[#This Row],[Pagado]]</f>
        <v>0</v>
      </c>
      <c r="H1789" s="153" t="s">
        <v>10</v>
      </c>
    </row>
    <row r="1790" spans="1:8" x14ac:dyDescent="0.25">
      <c r="A1790" s="73">
        <v>44791</v>
      </c>
      <c r="B1790" s="74" t="s">
        <v>26512</v>
      </c>
      <c r="C1790" s="75" t="s">
        <v>222</v>
      </c>
      <c r="D1790" s="176">
        <v>9848.6</v>
      </c>
      <c r="E1790" s="151">
        <v>44791</v>
      </c>
      <c r="F1790" s="176">
        <v>9848.6</v>
      </c>
      <c r="G1790" s="177">
        <f>Tabla19[[#This Row],[Importe]]-Tabla19[[#This Row],[Pagado]]</f>
        <v>0</v>
      </c>
      <c r="H1790" s="75" t="s">
        <v>10</v>
      </c>
    </row>
    <row r="1791" spans="1:8" x14ac:dyDescent="0.25">
      <c r="A1791" s="148">
        <v>44791</v>
      </c>
      <c r="B1791" s="149" t="s">
        <v>26513</v>
      </c>
      <c r="C1791" s="153" t="s">
        <v>191</v>
      </c>
      <c r="D1791" s="178">
        <v>1373.5</v>
      </c>
      <c r="E1791" s="155">
        <v>44791</v>
      </c>
      <c r="F1791" s="178">
        <v>1373.5</v>
      </c>
      <c r="G1791" s="179">
        <f>Tabla19[[#This Row],[Importe]]-Tabla19[[#This Row],[Pagado]]</f>
        <v>0</v>
      </c>
      <c r="H1791" s="153" t="s">
        <v>10</v>
      </c>
    </row>
    <row r="1792" spans="1:8" x14ac:dyDescent="0.25">
      <c r="A1792" s="73">
        <v>44791</v>
      </c>
      <c r="B1792" s="74" t="s">
        <v>26514</v>
      </c>
      <c r="C1792" s="75" t="s">
        <v>29</v>
      </c>
      <c r="D1792" s="176">
        <v>4453.8</v>
      </c>
      <c r="E1792" s="151">
        <v>44791</v>
      </c>
      <c r="F1792" s="176">
        <v>4453.8</v>
      </c>
      <c r="G1792" s="177">
        <f>Tabla19[[#This Row],[Importe]]-Tabla19[[#This Row],[Pagado]]</f>
        <v>0</v>
      </c>
      <c r="H1792" s="75" t="s">
        <v>10</v>
      </c>
    </row>
    <row r="1793" spans="1:8" x14ac:dyDescent="0.25">
      <c r="A1793" s="148">
        <v>44791</v>
      </c>
      <c r="B1793" s="149" t="s">
        <v>26515</v>
      </c>
      <c r="C1793" s="153" t="s">
        <v>414</v>
      </c>
      <c r="D1793" s="178">
        <v>24717</v>
      </c>
      <c r="E1793" s="155">
        <v>44809</v>
      </c>
      <c r="F1793" s="178">
        <v>24717</v>
      </c>
      <c r="G1793" s="179">
        <f>Tabla19[[#This Row],[Importe]]-Tabla19[[#This Row],[Pagado]]</f>
        <v>0</v>
      </c>
      <c r="H1793" s="153" t="s">
        <v>10</v>
      </c>
    </row>
    <row r="1794" spans="1:8" x14ac:dyDescent="0.25">
      <c r="A1794" s="73">
        <v>44791</v>
      </c>
      <c r="B1794" s="74" t="s">
        <v>26516</v>
      </c>
      <c r="C1794" s="75" t="s">
        <v>191</v>
      </c>
      <c r="D1794" s="176">
        <v>205</v>
      </c>
      <c r="E1794" s="151">
        <v>44791</v>
      </c>
      <c r="F1794" s="176">
        <v>205</v>
      </c>
      <c r="G1794" s="177">
        <f>Tabla19[[#This Row],[Importe]]-Tabla19[[#This Row],[Pagado]]</f>
        <v>0</v>
      </c>
      <c r="H1794" s="75" t="s">
        <v>10</v>
      </c>
    </row>
    <row r="1795" spans="1:8" x14ac:dyDescent="0.25">
      <c r="A1795" s="148">
        <v>44791</v>
      </c>
      <c r="B1795" s="149" t="s">
        <v>26517</v>
      </c>
      <c r="C1795" s="153" t="s">
        <v>296</v>
      </c>
      <c r="D1795" s="178">
        <v>6044.2</v>
      </c>
      <c r="E1795" s="155">
        <v>44791</v>
      </c>
      <c r="F1795" s="178">
        <v>6044.2</v>
      </c>
      <c r="G1795" s="179">
        <f>Tabla19[[#This Row],[Importe]]-Tabla19[[#This Row],[Pagado]]</f>
        <v>0</v>
      </c>
      <c r="H1795" s="153" t="s">
        <v>10</v>
      </c>
    </row>
    <row r="1796" spans="1:8" x14ac:dyDescent="0.25">
      <c r="A1796" s="73">
        <v>44791</v>
      </c>
      <c r="B1796" s="74" t="s">
        <v>26518</v>
      </c>
      <c r="C1796" s="75" t="s">
        <v>857</v>
      </c>
      <c r="D1796" s="176">
        <v>556</v>
      </c>
      <c r="E1796" s="151">
        <v>44791</v>
      </c>
      <c r="F1796" s="176">
        <v>556</v>
      </c>
      <c r="G1796" s="177">
        <f>Tabla19[[#This Row],[Importe]]-Tabla19[[#This Row],[Pagado]]</f>
        <v>0</v>
      </c>
      <c r="H1796" s="75" t="s">
        <v>10</v>
      </c>
    </row>
    <row r="1797" spans="1:8" x14ac:dyDescent="0.25">
      <c r="A1797" s="148">
        <v>44791</v>
      </c>
      <c r="B1797" s="149" t="s">
        <v>26519</v>
      </c>
      <c r="C1797" s="153" t="s">
        <v>58</v>
      </c>
      <c r="D1797" s="178">
        <v>2140.1999999999998</v>
      </c>
      <c r="E1797" s="155">
        <v>44791</v>
      </c>
      <c r="F1797" s="178">
        <v>2140.1999999999998</v>
      </c>
      <c r="G1797" s="179">
        <f>Tabla19[[#This Row],[Importe]]-Tabla19[[#This Row],[Pagado]]</f>
        <v>0</v>
      </c>
      <c r="H1797" s="153" t="s">
        <v>10</v>
      </c>
    </row>
    <row r="1798" spans="1:8" x14ac:dyDescent="0.25">
      <c r="A1798" s="73">
        <v>44791</v>
      </c>
      <c r="B1798" s="74" t="s">
        <v>26520</v>
      </c>
      <c r="C1798" s="75" t="s">
        <v>31</v>
      </c>
      <c r="D1798" s="176">
        <v>3500</v>
      </c>
      <c r="E1798" s="151">
        <v>44791</v>
      </c>
      <c r="F1798" s="176">
        <v>3500</v>
      </c>
      <c r="G1798" s="177">
        <f>Tabla19[[#This Row],[Importe]]-Tabla19[[#This Row],[Pagado]]</f>
        <v>0</v>
      </c>
      <c r="H1798" s="75" t="s">
        <v>10</v>
      </c>
    </row>
    <row r="1799" spans="1:8" x14ac:dyDescent="0.25">
      <c r="A1799" s="148">
        <v>44791</v>
      </c>
      <c r="B1799" s="149" t="s">
        <v>26521</v>
      </c>
      <c r="C1799" s="153" t="s">
        <v>2114</v>
      </c>
      <c r="D1799" s="178">
        <v>8393</v>
      </c>
      <c r="E1799" s="155">
        <v>44791</v>
      </c>
      <c r="F1799" s="178">
        <v>8393</v>
      </c>
      <c r="G1799" s="179">
        <f>Tabla19[[#This Row],[Importe]]-Tabla19[[#This Row],[Pagado]]</f>
        <v>0</v>
      </c>
      <c r="H1799" s="153" t="s">
        <v>10</v>
      </c>
    </row>
    <row r="1800" spans="1:8" x14ac:dyDescent="0.25">
      <c r="A1800" s="73">
        <v>44791</v>
      </c>
      <c r="B1800" s="74" t="s">
        <v>26522</v>
      </c>
      <c r="C1800" s="75" t="s">
        <v>31</v>
      </c>
      <c r="D1800" s="176">
        <v>368</v>
      </c>
      <c r="E1800" s="151">
        <v>44791</v>
      </c>
      <c r="F1800" s="176">
        <v>368</v>
      </c>
      <c r="G1800" s="177">
        <f>Tabla19[[#This Row],[Importe]]-Tabla19[[#This Row],[Pagado]]</f>
        <v>0</v>
      </c>
      <c r="H1800" s="75" t="s">
        <v>10</v>
      </c>
    </row>
    <row r="1801" spans="1:8" x14ac:dyDescent="0.25">
      <c r="A1801" s="148">
        <v>44791</v>
      </c>
      <c r="B1801" s="149" t="s">
        <v>26523</v>
      </c>
      <c r="C1801" s="153" t="s">
        <v>9827</v>
      </c>
      <c r="D1801" s="178">
        <v>4266.6000000000004</v>
      </c>
      <c r="E1801" s="155">
        <v>44791</v>
      </c>
      <c r="F1801" s="178">
        <v>4266.6000000000004</v>
      </c>
      <c r="G1801" s="179">
        <f>Tabla19[[#This Row],[Importe]]-Tabla19[[#This Row],[Pagado]]</f>
        <v>0</v>
      </c>
      <c r="H1801" s="153" t="s">
        <v>10</v>
      </c>
    </row>
    <row r="1802" spans="1:8" x14ac:dyDescent="0.25">
      <c r="A1802" s="73">
        <v>44791</v>
      </c>
      <c r="B1802" s="74" t="s">
        <v>26524</v>
      </c>
      <c r="C1802" s="75" t="s">
        <v>24284</v>
      </c>
      <c r="D1802" s="176">
        <v>1357.2</v>
      </c>
      <c r="E1802" s="151">
        <v>44791</v>
      </c>
      <c r="F1802" s="176">
        <v>1357.2</v>
      </c>
      <c r="G1802" s="177">
        <f>Tabla19[[#This Row],[Importe]]-Tabla19[[#This Row],[Pagado]]</f>
        <v>0</v>
      </c>
      <c r="H1802" s="75" t="s">
        <v>10</v>
      </c>
    </row>
    <row r="1803" spans="1:8" x14ac:dyDescent="0.25">
      <c r="A1803" s="148">
        <v>44791</v>
      </c>
      <c r="B1803" s="149" t="s">
        <v>26525</v>
      </c>
      <c r="C1803" s="153" t="s">
        <v>9415</v>
      </c>
      <c r="D1803" s="178">
        <v>3351.6</v>
      </c>
      <c r="E1803" s="155">
        <v>44793</v>
      </c>
      <c r="F1803" s="178">
        <v>3351.6</v>
      </c>
      <c r="G1803" s="179">
        <f>Tabla19[[#This Row],[Importe]]-Tabla19[[#This Row],[Pagado]]</f>
        <v>0</v>
      </c>
      <c r="H1803" s="153" t="s">
        <v>10</v>
      </c>
    </row>
    <row r="1804" spans="1:8" x14ac:dyDescent="0.25">
      <c r="A1804" s="73">
        <v>44791</v>
      </c>
      <c r="B1804" s="74" t="s">
        <v>26526</v>
      </c>
      <c r="C1804" s="75" t="s">
        <v>226</v>
      </c>
      <c r="D1804" s="176">
        <v>7829.2</v>
      </c>
      <c r="E1804" s="151">
        <v>44791</v>
      </c>
      <c r="F1804" s="176">
        <v>7829.2</v>
      </c>
      <c r="G1804" s="177">
        <f>Tabla19[[#This Row],[Importe]]-Tabla19[[#This Row],[Pagado]]</f>
        <v>0</v>
      </c>
      <c r="H1804" s="75" t="s">
        <v>10</v>
      </c>
    </row>
    <row r="1805" spans="1:8" x14ac:dyDescent="0.25">
      <c r="A1805" s="148">
        <v>44791</v>
      </c>
      <c r="B1805" s="149" t="s">
        <v>26527</v>
      </c>
      <c r="C1805" s="153" t="s">
        <v>419</v>
      </c>
      <c r="D1805" s="178">
        <v>6014</v>
      </c>
      <c r="E1805" s="155">
        <v>44791</v>
      </c>
      <c r="F1805" s="178">
        <v>6014</v>
      </c>
      <c r="G1805" s="179">
        <f>Tabla19[[#This Row],[Importe]]-Tabla19[[#This Row],[Pagado]]</f>
        <v>0</v>
      </c>
      <c r="H1805" s="153" t="s">
        <v>10</v>
      </c>
    </row>
    <row r="1806" spans="1:8" x14ac:dyDescent="0.25">
      <c r="A1806" s="73">
        <v>44791</v>
      </c>
      <c r="B1806" s="74" t="s">
        <v>26528</v>
      </c>
      <c r="C1806" s="75" t="s">
        <v>12</v>
      </c>
      <c r="D1806" s="176">
        <v>4024</v>
      </c>
      <c r="E1806" s="151">
        <v>44791</v>
      </c>
      <c r="F1806" s="176">
        <v>4024</v>
      </c>
      <c r="G1806" s="177">
        <f>Tabla19[[#This Row],[Importe]]-Tabla19[[#This Row],[Pagado]]</f>
        <v>0</v>
      </c>
      <c r="H1806" s="75" t="s">
        <v>10</v>
      </c>
    </row>
    <row r="1807" spans="1:8" x14ac:dyDescent="0.25">
      <c r="A1807" s="148">
        <v>44791</v>
      </c>
      <c r="B1807" s="149" t="s">
        <v>26529</v>
      </c>
      <c r="C1807" s="153" t="s">
        <v>12</v>
      </c>
      <c r="D1807" s="178">
        <v>7152</v>
      </c>
      <c r="E1807" s="155">
        <v>44791</v>
      </c>
      <c r="F1807" s="178">
        <v>7152</v>
      </c>
      <c r="G1807" s="179">
        <f>Tabla19[[#This Row],[Importe]]-Tabla19[[#This Row],[Pagado]]</f>
        <v>0</v>
      </c>
      <c r="H1807" s="153" t="s">
        <v>10</v>
      </c>
    </row>
    <row r="1808" spans="1:8" x14ac:dyDescent="0.25">
      <c r="A1808" s="73">
        <v>44791</v>
      </c>
      <c r="B1808" s="74" t="s">
        <v>26530</v>
      </c>
      <c r="C1808" s="75" t="s">
        <v>244</v>
      </c>
      <c r="D1808" s="176">
        <v>1108.8</v>
      </c>
      <c r="E1808" s="151">
        <v>44791</v>
      </c>
      <c r="F1808" s="176">
        <v>1108.8</v>
      </c>
      <c r="G1808" s="177">
        <f>Tabla19[[#This Row],[Importe]]-Tabla19[[#This Row],[Pagado]]</f>
        <v>0</v>
      </c>
      <c r="H1808" s="75" t="s">
        <v>10</v>
      </c>
    </row>
    <row r="1809" spans="1:8" x14ac:dyDescent="0.25">
      <c r="A1809" s="148">
        <v>44791</v>
      </c>
      <c r="B1809" s="149" t="s">
        <v>26531</v>
      </c>
      <c r="C1809" s="153" t="s">
        <v>204</v>
      </c>
      <c r="D1809" s="178">
        <v>1552</v>
      </c>
      <c r="E1809" s="155">
        <v>44791</v>
      </c>
      <c r="F1809" s="178">
        <v>1552</v>
      </c>
      <c r="G1809" s="179">
        <f>Tabla19[[#This Row],[Importe]]-Tabla19[[#This Row],[Pagado]]</f>
        <v>0</v>
      </c>
      <c r="H1809" s="153" t="s">
        <v>10</v>
      </c>
    </row>
    <row r="1810" spans="1:8" x14ac:dyDescent="0.25">
      <c r="A1810" s="73">
        <v>44791</v>
      </c>
      <c r="B1810" s="74" t="s">
        <v>26532</v>
      </c>
      <c r="C1810" s="75" t="s">
        <v>31</v>
      </c>
      <c r="D1810" s="176">
        <v>1512</v>
      </c>
      <c r="E1810" s="151">
        <v>44791</v>
      </c>
      <c r="F1810" s="176">
        <v>1512</v>
      </c>
      <c r="G1810" s="177">
        <f>Tabla19[[#This Row],[Importe]]-Tabla19[[#This Row],[Pagado]]</f>
        <v>0</v>
      </c>
      <c r="H1810" s="75" t="s">
        <v>10</v>
      </c>
    </row>
    <row r="1811" spans="1:8" x14ac:dyDescent="0.25">
      <c r="A1811" s="148">
        <v>44791</v>
      </c>
      <c r="B1811" s="149" t="s">
        <v>26533</v>
      </c>
      <c r="C1811" s="153" t="s">
        <v>67</v>
      </c>
      <c r="D1811" s="178">
        <v>2493.1999999999998</v>
      </c>
      <c r="E1811" s="155">
        <v>44791</v>
      </c>
      <c r="F1811" s="178">
        <v>2493.1999999999998</v>
      </c>
      <c r="G1811" s="179">
        <f>Tabla19[[#This Row],[Importe]]-Tabla19[[#This Row],[Pagado]]</f>
        <v>0</v>
      </c>
      <c r="H1811" s="153" t="s">
        <v>10</v>
      </c>
    </row>
    <row r="1812" spans="1:8" x14ac:dyDescent="0.25">
      <c r="A1812" s="73">
        <v>44791</v>
      </c>
      <c r="B1812" s="74" t="s">
        <v>26534</v>
      </c>
      <c r="C1812" s="75" t="s">
        <v>284</v>
      </c>
      <c r="D1812" s="176">
        <v>8205.6</v>
      </c>
      <c r="E1812" s="151">
        <v>44792</v>
      </c>
      <c r="F1812" s="176">
        <v>8205.6</v>
      </c>
      <c r="G1812" s="177">
        <f>Tabla19[[#This Row],[Importe]]-Tabla19[[#This Row],[Pagado]]</f>
        <v>0</v>
      </c>
      <c r="H1812" s="75" t="s">
        <v>10</v>
      </c>
    </row>
    <row r="1813" spans="1:8" x14ac:dyDescent="0.25">
      <c r="A1813" s="148">
        <v>44791</v>
      </c>
      <c r="B1813" s="149" t="s">
        <v>26535</v>
      </c>
      <c r="C1813" s="153" t="s">
        <v>53</v>
      </c>
      <c r="D1813" s="178">
        <v>647.79999999999995</v>
      </c>
      <c r="E1813" s="155">
        <v>44791</v>
      </c>
      <c r="F1813" s="178">
        <v>647.79999999999995</v>
      </c>
      <c r="G1813" s="179">
        <f>Tabla19[[#This Row],[Importe]]-Tabla19[[#This Row],[Pagado]]</f>
        <v>0</v>
      </c>
      <c r="H1813" s="153" t="s">
        <v>10</v>
      </c>
    </row>
    <row r="1814" spans="1:8" x14ac:dyDescent="0.25">
      <c r="A1814" s="73">
        <v>44791</v>
      </c>
      <c r="B1814" s="74" t="s">
        <v>26536</v>
      </c>
      <c r="C1814" s="75" t="s">
        <v>280</v>
      </c>
      <c r="D1814" s="176">
        <v>1536.6</v>
      </c>
      <c r="E1814" s="151">
        <v>44792</v>
      </c>
      <c r="F1814" s="176">
        <v>1536.6</v>
      </c>
      <c r="G1814" s="177">
        <f>Tabla19[[#This Row],[Importe]]-Tabla19[[#This Row],[Pagado]]</f>
        <v>0</v>
      </c>
      <c r="H1814" s="75" t="s">
        <v>10</v>
      </c>
    </row>
    <row r="1815" spans="1:8" x14ac:dyDescent="0.25">
      <c r="A1815" s="148">
        <v>44791</v>
      </c>
      <c r="B1815" s="149" t="s">
        <v>26537</v>
      </c>
      <c r="C1815" s="153" t="s">
        <v>273</v>
      </c>
      <c r="D1815" s="178">
        <v>2000</v>
      </c>
      <c r="E1815" s="155">
        <v>44792</v>
      </c>
      <c r="F1815" s="178">
        <v>2000</v>
      </c>
      <c r="G1815" s="179">
        <f>Tabla19[[#This Row],[Importe]]-Tabla19[[#This Row],[Pagado]]</f>
        <v>0</v>
      </c>
      <c r="H1815" s="153" t="s">
        <v>10</v>
      </c>
    </row>
    <row r="1816" spans="1:8" x14ac:dyDescent="0.25">
      <c r="A1816" s="73">
        <v>44791</v>
      </c>
      <c r="B1816" s="74" t="s">
        <v>26538</v>
      </c>
      <c r="C1816" s="75" t="s">
        <v>5345</v>
      </c>
      <c r="D1816" s="176">
        <v>3564.6</v>
      </c>
      <c r="E1816" s="151">
        <v>44792</v>
      </c>
      <c r="F1816" s="176">
        <v>3564.6</v>
      </c>
      <c r="G1816" s="177">
        <f>Tabla19[[#This Row],[Importe]]-Tabla19[[#This Row],[Pagado]]</f>
        <v>0</v>
      </c>
      <c r="H1816" s="75" t="s">
        <v>10</v>
      </c>
    </row>
    <row r="1817" spans="1:8" x14ac:dyDescent="0.25">
      <c r="A1817" s="148">
        <v>44791</v>
      </c>
      <c r="B1817" s="149" t="s">
        <v>26539</v>
      </c>
      <c r="C1817" s="153" t="s">
        <v>25517</v>
      </c>
      <c r="D1817" s="178">
        <v>289.8</v>
      </c>
      <c r="E1817" s="155">
        <v>44791</v>
      </c>
      <c r="F1817" s="178">
        <v>289.8</v>
      </c>
      <c r="G1817" s="179">
        <f>Tabla19[[#This Row],[Importe]]-Tabla19[[#This Row],[Pagado]]</f>
        <v>0</v>
      </c>
      <c r="H1817" s="153" t="s">
        <v>10</v>
      </c>
    </row>
    <row r="1818" spans="1:8" x14ac:dyDescent="0.25">
      <c r="A1818" s="73">
        <v>44791</v>
      </c>
      <c r="B1818" s="74" t="s">
        <v>26540</v>
      </c>
      <c r="C1818" s="75" t="s">
        <v>10819</v>
      </c>
      <c r="D1818" s="176">
        <v>788.8</v>
      </c>
      <c r="E1818" s="151">
        <v>44792</v>
      </c>
      <c r="F1818" s="176">
        <v>788.8</v>
      </c>
      <c r="G1818" s="177">
        <f>Tabla19[[#This Row],[Importe]]-Tabla19[[#This Row],[Pagado]]</f>
        <v>0</v>
      </c>
      <c r="H1818" s="75" t="s">
        <v>10</v>
      </c>
    </row>
    <row r="1819" spans="1:8" x14ac:dyDescent="0.25">
      <c r="A1819" s="148">
        <v>44791</v>
      </c>
      <c r="B1819" s="149" t="s">
        <v>26541</v>
      </c>
      <c r="C1819" s="153" t="s">
        <v>431</v>
      </c>
      <c r="D1819" s="178">
        <v>2605.1999999999998</v>
      </c>
      <c r="E1819" s="155">
        <v>44792</v>
      </c>
      <c r="F1819" s="178">
        <v>2605.1999999999998</v>
      </c>
      <c r="G1819" s="179">
        <f>Tabla19[[#This Row],[Importe]]-Tabla19[[#This Row],[Pagado]]</f>
        <v>0</v>
      </c>
      <c r="H1819" s="153" t="s">
        <v>10</v>
      </c>
    </row>
    <row r="1820" spans="1:8" x14ac:dyDescent="0.25">
      <c r="A1820" s="73">
        <v>44791</v>
      </c>
      <c r="B1820" s="74" t="s">
        <v>26542</v>
      </c>
      <c r="C1820" s="75" t="s">
        <v>729</v>
      </c>
      <c r="D1820" s="176">
        <v>28378.9</v>
      </c>
      <c r="E1820" s="151">
        <v>44792</v>
      </c>
      <c r="F1820" s="176">
        <v>28378.9</v>
      </c>
      <c r="G1820" s="177">
        <f>Tabla19[[#This Row],[Importe]]-Tabla19[[#This Row],[Pagado]]</f>
        <v>0</v>
      </c>
      <c r="H1820" s="75" t="s">
        <v>10</v>
      </c>
    </row>
    <row r="1821" spans="1:8" x14ac:dyDescent="0.25">
      <c r="A1821" s="148">
        <v>44791</v>
      </c>
      <c r="B1821" s="149" t="s">
        <v>26543</v>
      </c>
      <c r="C1821" s="153" t="s">
        <v>179</v>
      </c>
      <c r="D1821" s="178">
        <v>1606.8</v>
      </c>
      <c r="E1821" s="155">
        <v>44792</v>
      </c>
      <c r="F1821" s="178">
        <v>1606.8</v>
      </c>
      <c r="G1821" s="179">
        <f>Tabla19[[#This Row],[Importe]]-Tabla19[[#This Row],[Pagado]]</f>
        <v>0</v>
      </c>
      <c r="H1821" s="153" t="s">
        <v>10</v>
      </c>
    </row>
    <row r="1822" spans="1:8" x14ac:dyDescent="0.25">
      <c r="A1822" s="73">
        <v>44791</v>
      </c>
      <c r="B1822" s="74" t="s">
        <v>26544</v>
      </c>
      <c r="C1822" s="75" t="s">
        <v>56</v>
      </c>
      <c r="D1822" s="176">
        <v>5943.2</v>
      </c>
      <c r="E1822" s="151">
        <v>44791</v>
      </c>
      <c r="F1822" s="176">
        <v>5943.2</v>
      </c>
      <c r="G1822" s="177">
        <f>Tabla19[[#This Row],[Importe]]-Tabla19[[#This Row],[Pagado]]</f>
        <v>0</v>
      </c>
      <c r="H1822" s="75" t="s">
        <v>10</v>
      </c>
    </row>
    <row r="1823" spans="1:8" x14ac:dyDescent="0.25">
      <c r="A1823" s="148">
        <v>44791</v>
      </c>
      <c r="B1823" s="149" t="s">
        <v>26545</v>
      </c>
      <c r="C1823" s="153" t="s">
        <v>1350</v>
      </c>
      <c r="D1823" s="178">
        <v>544.20000000000005</v>
      </c>
      <c r="E1823" s="155">
        <v>44792</v>
      </c>
      <c r="F1823" s="178">
        <v>544.20000000000005</v>
      </c>
      <c r="G1823" s="179">
        <f>Tabla19[[#This Row],[Importe]]-Tabla19[[#This Row],[Pagado]]</f>
        <v>0</v>
      </c>
      <c r="H1823" s="153" t="s">
        <v>10</v>
      </c>
    </row>
    <row r="1824" spans="1:8" x14ac:dyDescent="0.25">
      <c r="A1824" s="73">
        <v>44791</v>
      </c>
      <c r="B1824" s="74" t="s">
        <v>26546</v>
      </c>
      <c r="C1824" s="75" t="s">
        <v>31</v>
      </c>
      <c r="D1824" s="176">
        <v>811.2</v>
      </c>
      <c r="E1824" s="151">
        <v>44791</v>
      </c>
      <c r="F1824" s="176">
        <v>811.2</v>
      </c>
      <c r="G1824" s="177">
        <f>Tabla19[[#This Row],[Importe]]-Tabla19[[#This Row],[Pagado]]</f>
        <v>0</v>
      </c>
      <c r="H1824" s="75" t="s">
        <v>10</v>
      </c>
    </row>
    <row r="1825" spans="1:8" x14ac:dyDescent="0.25">
      <c r="A1825" s="148">
        <v>44791</v>
      </c>
      <c r="B1825" s="149" t="s">
        <v>26547</v>
      </c>
      <c r="C1825" s="153" t="s">
        <v>583</v>
      </c>
      <c r="D1825" s="178">
        <v>2200</v>
      </c>
      <c r="E1825" s="155">
        <v>44791</v>
      </c>
      <c r="F1825" s="178">
        <v>2200</v>
      </c>
      <c r="G1825" s="179">
        <f>Tabla19[[#This Row],[Importe]]-Tabla19[[#This Row],[Pagado]]</f>
        <v>0</v>
      </c>
      <c r="H1825" s="153" t="s">
        <v>10</v>
      </c>
    </row>
    <row r="1826" spans="1:8" x14ac:dyDescent="0.25">
      <c r="A1826" s="73">
        <v>44791</v>
      </c>
      <c r="B1826" s="74" t="s">
        <v>26548</v>
      </c>
      <c r="C1826" s="75" t="s">
        <v>58</v>
      </c>
      <c r="D1826" s="176">
        <v>1322.4</v>
      </c>
      <c r="E1826" s="151">
        <v>44791</v>
      </c>
      <c r="F1826" s="176">
        <v>1322.4</v>
      </c>
      <c r="G1826" s="177">
        <f>Tabla19[[#This Row],[Importe]]-Tabla19[[#This Row],[Pagado]]</f>
        <v>0</v>
      </c>
      <c r="H1826" s="75" t="s">
        <v>10</v>
      </c>
    </row>
    <row r="1827" spans="1:8" x14ac:dyDescent="0.25">
      <c r="A1827" s="148">
        <v>44791</v>
      </c>
      <c r="B1827" s="149" t="s">
        <v>26549</v>
      </c>
      <c r="C1827" s="153" t="s">
        <v>214</v>
      </c>
      <c r="D1827" s="178">
        <v>1560</v>
      </c>
      <c r="E1827" s="155">
        <v>44791</v>
      </c>
      <c r="F1827" s="178">
        <v>1560</v>
      </c>
      <c r="G1827" s="179">
        <f>Tabla19[[#This Row],[Importe]]-Tabla19[[#This Row],[Pagado]]</f>
        <v>0</v>
      </c>
      <c r="H1827" s="153" t="s">
        <v>10</v>
      </c>
    </row>
    <row r="1828" spans="1:8" x14ac:dyDescent="0.25">
      <c r="A1828" s="73">
        <v>44791</v>
      </c>
      <c r="B1828" s="74" t="s">
        <v>26550</v>
      </c>
      <c r="C1828" s="75" t="s">
        <v>605</v>
      </c>
      <c r="D1828" s="176">
        <v>51968.04</v>
      </c>
      <c r="E1828" s="151">
        <v>44792</v>
      </c>
      <c r="F1828" s="176">
        <v>51968.04</v>
      </c>
      <c r="G1828" s="177">
        <f>Tabla19[[#This Row],[Importe]]-Tabla19[[#This Row],[Pagado]]</f>
        <v>0</v>
      </c>
      <c r="H1828" s="75" t="s">
        <v>10</v>
      </c>
    </row>
    <row r="1829" spans="1:8" x14ac:dyDescent="0.25">
      <c r="A1829" s="148">
        <v>44791</v>
      </c>
      <c r="B1829" s="149" t="s">
        <v>26551</v>
      </c>
      <c r="C1829" s="153" t="s">
        <v>69</v>
      </c>
      <c r="D1829" s="178">
        <v>1520</v>
      </c>
      <c r="E1829" s="155">
        <v>44791</v>
      </c>
      <c r="F1829" s="178">
        <v>1520</v>
      </c>
      <c r="G1829" s="179">
        <f>Tabla19[[#This Row],[Importe]]-Tabla19[[#This Row],[Pagado]]</f>
        <v>0</v>
      </c>
      <c r="H1829" s="153" t="s">
        <v>10</v>
      </c>
    </row>
    <row r="1830" spans="1:8" x14ac:dyDescent="0.25">
      <c r="A1830" s="73">
        <v>44791</v>
      </c>
      <c r="B1830" s="74" t="s">
        <v>26552</v>
      </c>
      <c r="C1830" s="75" t="s">
        <v>31</v>
      </c>
      <c r="D1830" s="176">
        <v>5250</v>
      </c>
      <c r="E1830" s="151">
        <v>44791</v>
      </c>
      <c r="F1830" s="176">
        <v>5250</v>
      </c>
      <c r="G1830" s="177">
        <f>Tabla19[[#This Row],[Importe]]-Tabla19[[#This Row],[Pagado]]</f>
        <v>0</v>
      </c>
      <c r="H1830" s="75" t="s">
        <v>10</v>
      </c>
    </row>
    <row r="1831" spans="1:8" x14ac:dyDescent="0.25">
      <c r="A1831" s="148">
        <v>44791</v>
      </c>
      <c r="B1831" s="149" t="s">
        <v>26553</v>
      </c>
      <c r="C1831" s="153" t="s">
        <v>8501</v>
      </c>
      <c r="D1831" s="178">
        <v>14075.4</v>
      </c>
      <c r="E1831" s="155">
        <v>44791</v>
      </c>
      <c r="F1831" s="178">
        <v>14075.4</v>
      </c>
      <c r="G1831" s="179">
        <f>Tabla19[[#This Row],[Importe]]-Tabla19[[#This Row],[Pagado]]</f>
        <v>0</v>
      </c>
      <c r="H1831" s="153" t="s">
        <v>10</v>
      </c>
    </row>
    <row r="1832" spans="1:8" x14ac:dyDescent="0.25">
      <c r="A1832" s="73">
        <v>44791</v>
      </c>
      <c r="B1832" s="74" t="s">
        <v>26554</v>
      </c>
      <c r="C1832" s="75" t="s">
        <v>191</v>
      </c>
      <c r="D1832" s="176">
        <v>643.5</v>
      </c>
      <c r="E1832" s="151">
        <v>44791</v>
      </c>
      <c r="F1832" s="176">
        <v>643.5</v>
      </c>
      <c r="G1832" s="177">
        <f>Tabla19[[#This Row],[Importe]]-Tabla19[[#This Row],[Pagado]]</f>
        <v>0</v>
      </c>
      <c r="H1832" s="75" t="s">
        <v>10</v>
      </c>
    </row>
    <row r="1833" spans="1:8" ht="31.5" x14ac:dyDescent="0.25">
      <c r="A1833" s="148">
        <v>44791</v>
      </c>
      <c r="B1833" s="149" t="s">
        <v>26555</v>
      </c>
      <c r="C1833" s="153" t="s">
        <v>275</v>
      </c>
      <c r="D1833" s="178">
        <v>185550.33</v>
      </c>
      <c r="E1833" s="150" t="s">
        <v>28007</v>
      </c>
      <c r="F1833" s="178">
        <f>10065.37+175484.96</f>
        <v>185550.33</v>
      </c>
      <c r="G1833" s="179">
        <f>Tabla19[[#This Row],[Importe]]-Tabla19[[#This Row],[Pagado]]</f>
        <v>0</v>
      </c>
      <c r="H1833" s="153" t="s">
        <v>10</v>
      </c>
    </row>
    <row r="1834" spans="1:8" x14ac:dyDescent="0.25">
      <c r="A1834" s="73">
        <v>44791</v>
      </c>
      <c r="B1834" s="74" t="s">
        <v>26556</v>
      </c>
      <c r="C1834" s="75" t="s">
        <v>10678</v>
      </c>
      <c r="D1834" s="176">
        <v>4215.5</v>
      </c>
      <c r="E1834" s="151">
        <v>44791</v>
      </c>
      <c r="F1834" s="176">
        <v>4215.5</v>
      </c>
      <c r="G1834" s="177">
        <f>Tabla19[[#This Row],[Importe]]-Tabla19[[#This Row],[Pagado]]</f>
        <v>0</v>
      </c>
      <c r="H1834" s="75" t="s">
        <v>10</v>
      </c>
    </row>
    <row r="1835" spans="1:8" x14ac:dyDescent="0.25">
      <c r="A1835" s="148">
        <v>44791</v>
      </c>
      <c r="B1835" s="149" t="s">
        <v>26557</v>
      </c>
      <c r="C1835" s="153" t="s">
        <v>10324</v>
      </c>
      <c r="D1835" s="178">
        <v>3993.6</v>
      </c>
      <c r="E1835" s="155">
        <v>44791</v>
      </c>
      <c r="F1835" s="178">
        <v>3993.6</v>
      </c>
      <c r="G1835" s="179">
        <f>Tabla19[[#This Row],[Importe]]-Tabla19[[#This Row],[Pagado]]</f>
        <v>0</v>
      </c>
      <c r="H1835" s="153" t="s">
        <v>10</v>
      </c>
    </row>
    <row r="1836" spans="1:8" x14ac:dyDescent="0.25">
      <c r="A1836" s="73">
        <v>44791</v>
      </c>
      <c r="B1836" s="74" t="s">
        <v>26558</v>
      </c>
      <c r="C1836" s="75" t="s">
        <v>647</v>
      </c>
      <c r="D1836" s="176">
        <v>719</v>
      </c>
      <c r="E1836" s="151">
        <v>44791</v>
      </c>
      <c r="F1836" s="176">
        <v>719</v>
      </c>
      <c r="G1836" s="177">
        <f>Tabla19[[#This Row],[Importe]]-Tabla19[[#This Row],[Pagado]]</f>
        <v>0</v>
      </c>
      <c r="H1836" s="75" t="s">
        <v>10</v>
      </c>
    </row>
    <row r="1837" spans="1:8" x14ac:dyDescent="0.25">
      <c r="A1837" s="148">
        <v>44791</v>
      </c>
      <c r="B1837" s="149" t="s">
        <v>26559</v>
      </c>
      <c r="C1837" s="153" t="s">
        <v>275</v>
      </c>
      <c r="D1837" s="178">
        <v>52495.8</v>
      </c>
      <c r="E1837" s="155">
        <v>44819</v>
      </c>
      <c r="F1837" s="178">
        <v>52495.8</v>
      </c>
      <c r="G1837" s="179">
        <f>Tabla19[[#This Row],[Importe]]-Tabla19[[#This Row],[Pagado]]</f>
        <v>0</v>
      </c>
      <c r="H1837" s="153" t="s">
        <v>10</v>
      </c>
    </row>
    <row r="1838" spans="1:8" x14ac:dyDescent="0.25">
      <c r="A1838" s="73">
        <v>44792</v>
      </c>
      <c r="B1838" s="74" t="s">
        <v>26560</v>
      </c>
      <c r="C1838" s="75" t="s">
        <v>887</v>
      </c>
      <c r="D1838" s="176">
        <v>15363.9</v>
      </c>
      <c r="E1838" s="151">
        <v>44792</v>
      </c>
      <c r="F1838" s="176">
        <v>15363.9</v>
      </c>
      <c r="G1838" s="177">
        <f>Tabla19[[#This Row],[Importe]]-Tabla19[[#This Row],[Pagado]]</f>
        <v>0</v>
      </c>
      <c r="H1838" s="75" t="s">
        <v>10</v>
      </c>
    </row>
    <row r="1839" spans="1:8" ht="31.5" x14ac:dyDescent="0.25">
      <c r="A1839" s="148">
        <v>44792</v>
      </c>
      <c r="B1839" s="149" t="s">
        <v>26561</v>
      </c>
      <c r="C1839" s="153" t="s">
        <v>475</v>
      </c>
      <c r="D1839" s="178">
        <v>51699.8</v>
      </c>
      <c r="E1839" s="150" t="s">
        <v>26562</v>
      </c>
      <c r="F1839" s="178">
        <f>45000+6699.8</f>
        <v>51699.8</v>
      </c>
      <c r="G1839" s="179">
        <f>Tabla19[[#This Row],[Importe]]-Tabla19[[#This Row],[Pagado]]</f>
        <v>0</v>
      </c>
      <c r="H1839" s="153" t="s">
        <v>10</v>
      </c>
    </row>
    <row r="1840" spans="1:8" x14ac:dyDescent="0.25">
      <c r="A1840" s="73">
        <v>44792</v>
      </c>
      <c r="B1840" s="74" t="s">
        <v>26563</v>
      </c>
      <c r="C1840" s="75" t="s">
        <v>99</v>
      </c>
      <c r="D1840" s="176">
        <v>5786.1</v>
      </c>
      <c r="E1840" s="151">
        <v>44792</v>
      </c>
      <c r="F1840" s="176">
        <v>5786.1</v>
      </c>
      <c r="G1840" s="177">
        <f>Tabla19[[#This Row],[Importe]]-Tabla19[[#This Row],[Pagado]]</f>
        <v>0</v>
      </c>
      <c r="H1840" s="75" t="s">
        <v>10</v>
      </c>
    </row>
    <row r="1841" spans="1:8" x14ac:dyDescent="0.25">
      <c r="A1841" s="148">
        <v>44792</v>
      </c>
      <c r="B1841" s="149" t="s">
        <v>26564</v>
      </c>
      <c r="C1841" s="153" t="s">
        <v>12</v>
      </c>
      <c r="D1841" s="178">
        <v>13115.4</v>
      </c>
      <c r="E1841" s="155">
        <v>44792</v>
      </c>
      <c r="F1841" s="178">
        <v>13115.4</v>
      </c>
      <c r="G1841" s="179">
        <f>Tabla19[[#This Row],[Importe]]-Tabla19[[#This Row],[Pagado]]</f>
        <v>0</v>
      </c>
      <c r="H1841" s="153" t="s">
        <v>10</v>
      </c>
    </row>
    <row r="1842" spans="1:8" x14ac:dyDescent="0.25">
      <c r="A1842" s="73">
        <v>44792</v>
      </c>
      <c r="B1842" s="74" t="s">
        <v>26565</v>
      </c>
      <c r="C1842" s="75" t="s">
        <v>314</v>
      </c>
      <c r="D1842" s="176">
        <v>1903.2</v>
      </c>
      <c r="E1842" s="151">
        <v>44792</v>
      </c>
      <c r="F1842" s="176">
        <v>1903.2</v>
      </c>
      <c r="G1842" s="177">
        <f>Tabla19[[#This Row],[Importe]]-Tabla19[[#This Row],[Pagado]]</f>
        <v>0</v>
      </c>
      <c r="H1842" s="75" t="s">
        <v>10</v>
      </c>
    </row>
    <row r="1843" spans="1:8" x14ac:dyDescent="0.25">
      <c r="A1843" s="148">
        <v>44792</v>
      </c>
      <c r="B1843" s="149" t="s">
        <v>26566</v>
      </c>
      <c r="C1843" s="153" t="s">
        <v>87</v>
      </c>
      <c r="D1843" s="178">
        <v>4848.8</v>
      </c>
      <c r="E1843" s="155">
        <v>44792</v>
      </c>
      <c r="F1843" s="178">
        <v>4848.8</v>
      </c>
      <c r="G1843" s="179">
        <f>Tabla19[[#This Row],[Importe]]-Tabla19[[#This Row],[Pagado]]</f>
        <v>0</v>
      </c>
      <c r="H1843" s="153" t="s">
        <v>10</v>
      </c>
    </row>
    <row r="1844" spans="1:8" x14ac:dyDescent="0.25">
      <c r="A1844" s="73">
        <v>44792</v>
      </c>
      <c r="B1844" s="74" t="s">
        <v>26567</v>
      </c>
      <c r="C1844" s="75" t="s">
        <v>4983</v>
      </c>
      <c r="D1844" s="176">
        <v>0</v>
      </c>
      <c r="E1844" s="157" t="s">
        <v>189</v>
      </c>
      <c r="F1844" s="176">
        <v>0</v>
      </c>
      <c r="G1844" s="177">
        <f>Tabla19[[#This Row],[Importe]]-Tabla19[[#This Row],[Pagado]]</f>
        <v>0</v>
      </c>
      <c r="H1844" s="75" t="s">
        <v>189</v>
      </c>
    </row>
    <row r="1845" spans="1:8" x14ac:dyDescent="0.25">
      <c r="A1845" s="148">
        <v>44792</v>
      </c>
      <c r="B1845" s="149" t="s">
        <v>26568</v>
      </c>
      <c r="C1845" s="153" t="s">
        <v>333</v>
      </c>
      <c r="D1845" s="178">
        <v>1108.8599999999999</v>
      </c>
      <c r="E1845" s="155">
        <v>44792</v>
      </c>
      <c r="F1845" s="178">
        <v>1108.8599999999999</v>
      </c>
      <c r="G1845" s="179">
        <f>Tabla19[[#This Row],[Importe]]-Tabla19[[#This Row],[Pagado]]</f>
        <v>0</v>
      </c>
      <c r="H1845" s="153" t="s">
        <v>10</v>
      </c>
    </row>
    <row r="1846" spans="1:8" x14ac:dyDescent="0.25">
      <c r="A1846" s="73">
        <v>44792</v>
      </c>
      <c r="B1846" s="74" t="s">
        <v>26569</v>
      </c>
      <c r="C1846" s="75" t="s">
        <v>481</v>
      </c>
      <c r="D1846" s="176">
        <v>809.2</v>
      </c>
      <c r="E1846" s="151">
        <v>44792</v>
      </c>
      <c r="F1846" s="176">
        <v>809.2</v>
      </c>
      <c r="G1846" s="177">
        <f>Tabla19[[#This Row],[Importe]]-Tabla19[[#This Row],[Pagado]]</f>
        <v>0</v>
      </c>
      <c r="H1846" s="75" t="s">
        <v>10</v>
      </c>
    </row>
    <row r="1847" spans="1:8" x14ac:dyDescent="0.25">
      <c r="A1847" s="148">
        <v>44792</v>
      </c>
      <c r="B1847" s="149" t="s">
        <v>26570</v>
      </c>
      <c r="C1847" s="153" t="s">
        <v>31</v>
      </c>
      <c r="D1847" s="178">
        <v>5200.8</v>
      </c>
      <c r="E1847" s="155">
        <v>44792</v>
      </c>
      <c r="F1847" s="178">
        <v>5200.8</v>
      </c>
      <c r="G1847" s="179">
        <f>Tabla19[[#This Row],[Importe]]-Tabla19[[#This Row],[Pagado]]</f>
        <v>0</v>
      </c>
      <c r="H1847" s="153" t="s">
        <v>10</v>
      </c>
    </row>
    <row r="1848" spans="1:8" x14ac:dyDescent="0.25">
      <c r="A1848" s="73">
        <v>44792</v>
      </c>
      <c r="B1848" s="74" t="s">
        <v>26571</v>
      </c>
      <c r="C1848" s="75" t="s">
        <v>131</v>
      </c>
      <c r="D1848" s="176">
        <v>5068.7</v>
      </c>
      <c r="E1848" s="151">
        <v>44792</v>
      </c>
      <c r="F1848" s="176">
        <v>5068.7</v>
      </c>
      <c r="G1848" s="177">
        <f>Tabla19[[#This Row],[Importe]]-Tabla19[[#This Row],[Pagado]]</f>
        <v>0</v>
      </c>
      <c r="H1848" s="75" t="s">
        <v>10</v>
      </c>
    </row>
    <row r="1849" spans="1:8" x14ac:dyDescent="0.25">
      <c r="A1849" s="148">
        <v>44792</v>
      </c>
      <c r="B1849" s="149" t="s">
        <v>26572</v>
      </c>
      <c r="C1849" s="153" t="s">
        <v>1187</v>
      </c>
      <c r="D1849" s="178">
        <v>2358.4</v>
      </c>
      <c r="E1849" s="155">
        <v>44792</v>
      </c>
      <c r="F1849" s="178">
        <v>2358.4</v>
      </c>
      <c r="G1849" s="179">
        <f>Tabla19[[#This Row],[Importe]]-Tabla19[[#This Row],[Pagado]]</f>
        <v>0</v>
      </c>
      <c r="H1849" s="153" t="s">
        <v>10</v>
      </c>
    </row>
    <row r="1850" spans="1:8" x14ac:dyDescent="0.25">
      <c r="A1850" s="73">
        <v>44792</v>
      </c>
      <c r="B1850" s="74" t="s">
        <v>26573</v>
      </c>
      <c r="C1850" s="75" t="s">
        <v>83</v>
      </c>
      <c r="D1850" s="176">
        <v>6208</v>
      </c>
      <c r="E1850" s="151">
        <v>44792</v>
      </c>
      <c r="F1850" s="176">
        <v>6208</v>
      </c>
      <c r="G1850" s="177">
        <f>Tabla19[[#This Row],[Importe]]-Tabla19[[#This Row],[Pagado]]</f>
        <v>0</v>
      </c>
      <c r="H1850" s="75" t="s">
        <v>10</v>
      </c>
    </row>
    <row r="1851" spans="1:8" x14ac:dyDescent="0.25">
      <c r="A1851" s="148">
        <v>44792</v>
      </c>
      <c r="B1851" s="149" t="s">
        <v>26574</v>
      </c>
      <c r="C1851" s="153" t="s">
        <v>135</v>
      </c>
      <c r="D1851" s="178">
        <v>5094.2</v>
      </c>
      <c r="E1851" s="155">
        <v>44792</v>
      </c>
      <c r="F1851" s="178">
        <v>5094.2</v>
      </c>
      <c r="G1851" s="179">
        <f>Tabla19[[#This Row],[Importe]]-Tabla19[[#This Row],[Pagado]]</f>
        <v>0</v>
      </c>
      <c r="H1851" s="153" t="s">
        <v>10</v>
      </c>
    </row>
    <row r="1852" spans="1:8" x14ac:dyDescent="0.25">
      <c r="A1852" s="73">
        <v>44792</v>
      </c>
      <c r="B1852" s="74" t="s">
        <v>26575</v>
      </c>
      <c r="C1852" s="75" t="s">
        <v>647</v>
      </c>
      <c r="D1852" s="176">
        <v>3993.2</v>
      </c>
      <c r="E1852" s="151">
        <v>44792</v>
      </c>
      <c r="F1852" s="176">
        <v>3993.2</v>
      </c>
      <c r="G1852" s="177">
        <f>Tabla19[[#This Row],[Importe]]-Tabla19[[#This Row],[Pagado]]</f>
        <v>0</v>
      </c>
      <c r="H1852" s="75" t="s">
        <v>10</v>
      </c>
    </row>
    <row r="1853" spans="1:8" x14ac:dyDescent="0.25">
      <c r="A1853" s="148">
        <v>44792</v>
      </c>
      <c r="B1853" s="149" t="s">
        <v>26576</v>
      </c>
      <c r="C1853" s="153" t="s">
        <v>60</v>
      </c>
      <c r="D1853" s="178">
        <v>4758</v>
      </c>
      <c r="E1853" s="155">
        <v>44795</v>
      </c>
      <c r="F1853" s="178">
        <v>4758</v>
      </c>
      <c r="G1853" s="179">
        <f>Tabla19[[#This Row],[Importe]]-Tabla19[[#This Row],[Pagado]]</f>
        <v>0</v>
      </c>
      <c r="H1853" s="153" t="s">
        <v>10</v>
      </c>
    </row>
    <row r="1854" spans="1:8" x14ac:dyDescent="0.25">
      <c r="A1854" s="73">
        <v>44792</v>
      </c>
      <c r="B1854" s="74" t="s">
        <v>26577</v>
      </c>
      <c r="C1854" s="75" t="s">
        <v>10742</v>
      </c>
      <c r="D1854" s="176">
        <v>5167.5</v>
      </c>
      <c r="E1854" s="151">
        <v>44793</v>
      </c>
      <c r="F1854" s="176">
        <v>5167.5</v>
      </c>
      <c r="G1854" s="177">
        <f>Tabla19[[#This Row],[Importe]]-Tabla19[[#This Row],[Pagado]]</f>
        <v>0</v>
      </c>
      <c r="H1854" s="75" t="s">
        <v>10</v>
      </c>
    </row>
    <row r="1855" spans="1:8" x14ac:dyDescent="0.25">
      <c r="A1855" s="148">
        <v>44792</v>
      </c>
      <c r="B1855" s="149" t="s">
        <v>26578</v>
      </c>
      <c r="C1855" s="153" t="s">
        <v>64</v>
      </c>
      <c r="D1855" s="178">
        <v>4602</v>
      </c>
      <c r="E1855" s="155">
        <v>44793</v>
      </c>
      <c r="F1855" s="178">
        <v>4602</v>
      </c>
      <c r="G1855" s="179">
        <f>Tabla19[[#This Row],[Importe]]-Tabla19[[#This Row],[Pagado]]</f>
        <v>0</v>
      </c>
      <c r="H1855" s="153" t="s">
        <v>10</v>
      </c>
    </row>
    <row r="1856" spans="1:8" x14ac:dyDescent="0.25">
      <c r="A1856" s="73">
        <v>44792</v>
      </c>
      <c r="B1856" s="74" t="s">
        <v>26579</v>
      </c>
      <c r="C1856" s="75" t="s">
        <v>97</v>
      </c>
      <c r="D1856" s="176">
        <v>7525.8</v>
      </c>
      <c r="E1856" s="151">
        <v>44793</v>
      </c>
      <c r="F1856" s="176">
        <v>7525.8</v>
      </c>
      <c r="G1856" s="177">
        <f>Tabla19[[#This Row],[Importe]]-Tabla19[[#This Row],[Pagado]]</f>
        <v>0</v>
      </c>
      <c r="H1856" s="75" t="s">
        <v>10</v>
      </c>
    </row>
    <row r="1857" spans="1:8" x14ac:dyDescent="0.25">
      <c r="A1857" s="148">
        <v>44792</v>
      </c>
      <c r="B1857" s="149" t="s">
        <v>26580</v>
      </c>
      <c r="C1857" s="153" t="s">
        <v>326</v>
      </c>
      <c r="D1857" s="178">
        <v>5044</v>
      </c>
      <c r="E1857" s="155">
        <v>44793</v>
      </c>
      <c r="F1857" s="178">
        <v>5044</v>
      </c>
      <c r="G1857" s="179">
        <f>Tabla19[[#This Row],[Importe]]-Tabla19[[#This Row],[Pagado]]</f>
        <v>0</v>
      </c>
      <c r="H1857" s="153" t="s">
        <v>10</v>
      </c>
    </row>
    <row r="1858" spans="1:8" x14ac:dyDescent="0.25">
      <c r="A1858" s="73">
        <v>44792</v>
      </c>
      <c r="B1858" s="74" t="s">
        <v>26581</v>
      </c>
      <c r="C1858" s="75" t="s">
        <v>105</v>
      </c>
      <c r="D1858" s="176">
        <v>8132.7</v>
      </c>
      <c r="E1858" s="151">
        <v>44793</v>
      </c>
      <c r="F1858" s="176">
        <v>8132.7</v>
      </c>
      <c r="G1858" s="177">
        <f>Tabla19[[#This Row],[Importe]]-Tabla19[[#This Row],[Pagado]]</f>
        <v>0</v>
      </c>
      <c r="H1858" s="75" t="s">
        <v>10</v>
      </c>
    </row>
    <row r="1859" spans="1:8" x14ac:dyDescent="0.25">
      <c r="A1859" s="148">
        <v>44792</v>
      </c>
      <c r="B1859" s="149" t="s">
        <v>26582</v>
      </c>
      <c r="C1859" s="153" t="s">
        <v>111</v>
      </c>
      <c r="D1859" s="178">
        <v>4788</v>
      </c>
      <c r="E1859" s="155">
        <v>44793</v>
      </c>
      <c r="F1859" s="178">
        <v>4788</v>
      </c>
      <c r="G1859" s="179">
        <f>Tabla19[[#This Row],[Importe]]-Tabla19[[#This Row],[Pagado]]</f>
        <v>0</v>
      </c>
      <c r="H1859" s="153" t="s">
        <v>10</v>
      </c>
    </row>
    <row r="1860" spans="1:8" x14ac:dyDescent="0.25">
      <c r="A1860" s="73">
        <v>44792</v>
      </c>
      <c r="B1860" s="74" t="s">
        <v>26583</v>
      </c>
      <c r="C1860" s="75" t="s">
        <v>114</v>
      </c>
      <c r="D1860" s="176">
        <v>12797.4</v>
      </c>
      <c r="E1860" s="151">
        <v>44793</v>
      </c>
      <c r="F1860" s="176">
        <v>12797.4</v>
      </c>
      <c r="G1860" s="177">
        <f>Tabla19[[#This Row],[Importe]]-Tabla19[[#This Row],[Pagado]]</f>
        <v>0</v>
      </c>
      <c r="H1860" s="75" t="s">
        <v>10</v>
      </c>
    </row>
    <row r="1861" spans="1:8" x14ac:dyDescent="0.25">
      <c r="A1861" s="148">
        <v>44792</v>
      </c>
      <c r="B1861" s="149" t="s">
        <v>26584</v>
      </c>
      <c r="C1861" s="153" t="s">
        <v>2151</v>
      </c>
      <c r="D1861" s="178">
        <v>23187.1</v>
      </c>
      <c r="E1861" s="155">
        <v>44792</v>
      </c>
      <c r="F1861" s="178">
        <v>23187.1</v>
      </c>
      <c r="G1861" s="179">
        <f>Tabla19[[#This Row],[Importe]]-Tabla19[[#This Row],[Pagado]]</f>
        <v>0</v>
      </c>
      <c r="H1861" s="153" t="s">
        <v>10</v>
      </c>
    </row>
    <row r="1862" spans="1:8" x14ac:dyDescent="0.25">
      <c r="A1862" s="73">
        <v>44792</v>
      </c>
      <c r="B1862" s="74" t="s">
        <v>26585</v>
      </c>
      <c r="C1862" s="75" t="s">
        <v>348</v>
      </c>
      <c r="D1862" s="176">
        <v>7528</v>
      </c>
      <c r="E1862" s="151">
        <v>44792</v>
      </c>
      <c r="F1862" s="176">
        <v>7528</v>
      </c>
      <c r="G1862" s="177">
        <f>Tabla19[[#This Row],[Importe]]-Tabla19[[#This Row],[Pagado]]</f>
        <v>0</v>
      </c>
      <c r="H1862" s="75" t="s">
        <v>10</v>
      </c>
    </row>
    <row r="1863" spans="1:8" x14ac:dyDescent="0.25">
      <c r="A1863" s="148">
        <v>44792</v>
      </c>
      <c r="B1863" s="149" t="s">
        <v>26586</v>
      </c>
      <c r="C1863" s="153" t="s">
        <v>89</v>
      </c>
      <c r="D1863" s="178">
        <v>13293.6</v>
      </c>
      <c r="E1863" s="155">
        <v>44793</v>
      </c>
      <c r="F1863" s="178">
        <v>13293.6</v>
      </c>
      <c r="G1863" s="179">
        <f>Tabla19[[#This Row],[Importe]]-Tabla19[[#This Row],[Pagado]]</f>
        <v>0</v>
      </c>
      <c r="H1863" s="153" t="s">
        <v>10</v>
      </c>
    </row>
    <row r="1864" spans="1:8" x14ac:dyDescent="0.25">
      <c r="A1864" s="73">
        <v>44792</v>
      </c>
      <c r="B1864" s="74" t="s">
        <v>26587</v>
      </c>
      <c r="C1864" s="75" t="s">
        <v>918</v>
      </c>
      <c r="D1864" s="176">
        <v>1428</v>
      </c>
      <c r="E1864" s="151">
        <v>44793</v>
      </c>
      <c r="F1864" s="176">
        <v>1428</v>
      </c>
      <c r="G1864" s="177">
        <f>Tabla19[[#This Row],[Importe]]-Tabla19[[#This Row],[Pagado]]</f>
        <v>0</v>
      </c>
      <c r="H1864" s="75" t="s">
        <v>10</v>
      </c>
    </row>
    <row r="1865" spans="1:8" x14ac:dyDescent="0.25">
      <c r="A1865" s="148">
        <v>44792</v>
      </c>
      <c r="B1865" s="149" t="s">
        <v>26588</v>
      </c>
      <c r="C1865" s="153" t="s">
        <v>9</v>
      </c>
      <c r="D1865" s="178">
        <v>10443</v>
      </c>
      <c r="E1865" s="155">
        <v>44792</v>
      </c>
      <c r="F1865" s="178">
        <v>10443</v>
      </c>
      <c r="G1865" s="179">
        <f>Tabla19[[#This Row],[Importe]]-Tabla19[[#This Row],[Pagado]]</f>
        <v>0</v>
      </c>
      <c r="H1865" s="153" t="s">
        <v>10</v>
      </c>
    </row>
    <row r="1866" spans="1:8" x14ac:dyDescent="0.25">
      <c r="A1866" s="73">
        <v>44792</v>
      </c>
      <c r="B1866" s="74" t="s">
        <v>26589</v>
      </c>
      <c r="C1866" s="75" t="s">
        <v>95</v>
      </c>
      <c r="D1866" s="176">
        <v>25300</v>
      </c>
      <c r="E1866" s="151">
        <v>44792</v>
      </c>
      <c r="F1866" s="176">
        <v>25300</v>
      </c>
      <c r="G1866" s="177">
        <f>Tabla19[[#This Row],[Importe]]-Tabla19[[#This Row],[Pagado]]</f>
        <v>0</v>
      </c>
      <c r="H1866" s="75" t="s">
        <v>10</v>
      </c>
    </row>
    <row r="1867" spans="1:8" x14ac:dyDescent="0.25">
      <c r="A1867" s="148">
        <v>44792</v>
      </c>
      <c r="B1867" s="149" t="s">
        <v>26590</v>
      </c>
      <c r="C1867" s="153" t="s">
        <v>93</v>
      </c>
      <c r="D1867" s="178">
        <v>7541.2</v>
      </c>
      <c r="E1867" s="155">
        <v>44795</v>
      </c>
      <c r="F1867" s="178">
        <v>7541.2</v>
      </c>
      <c r="G1867" s="179">
        <f>Tabla19[[#This Row],[Importe]]-Tabla19[[#This Row],[Pagado]]</f>
        <v>0</v>
      </c>
      <c r="H1867" s="153" t="s">
        <v>10</v>
      </c>
    </row>
    <row r="1868" spans="1:8" x14ac:dyDescent="0.25">
      <c r="A1868" s="73">
        <v>44792</v>
      </c>
      <c r="B1868" s="74" t="s">
        <v>26591</v>
      </c>
      <c r="C1868" s="75" t="s">
        <v>140</v>
      </c>
      <c r="D1868" s="176">
        <v>1137.5999999999999</v>
      </c>
      <c r="E1868" s="151">
        <v>44792</v>
      </c>
      <c r="F1868" s="176">
        <v>1137.5999999999999</v>
      </c>
      <c r="G1868" s="177">
        <f>Tabla19[[#This Row],[Importe]]-Tabla19[[#This Row],[Pagado]]</f>
        <v>0</v>
      </c>
      <c r="H1868" s="75" t="s">
        <v>10</v>
      </c>
    </row>
    <row r="1869" spans="1:8" x14ac:dyDescent="0.25">
      <c r="A1869" s="148">
        <v>44792</v>
      </c>
      <c r="B1869" s="149" t="s">
        <v>26592</v>
      </c>
      <c r="C1869" s="153" t="s">
        <v>127</v>
      </c>
      <c r="D1869" s="178">
        <v>856.2</v>
      </c>
      <c r="E1869" s="155">
        <v>44792</v>
      </c>
      <c r="F1869" s="178">
        <v>856.2</v>
      </c>
      <c r="G1869" s="179">
        <f>Tabla19[[#This Row],[Importe]]-Tabla19[[#This Row],[Pagado]]</f>
        <v>0</v>
      </c>
      <c r="H1869" s="153" t="s">
        <v>10</v>
      </c>
    </row>
    <row r="1870" spans="1:8" x14ac:dyDescent="0.25">
      <c r="A1870" s="73">
        <v>44792</v>
      </c>
      <c r="B1870" s="74" t="s">
        <v>26593</v>
      </c>
      <c r="C1870" s="75" t="s">
        <v>339</v>
      </c>
      <c r="D1870" s="176">
        <v>944.8</v>
      </c>
      <c r="E1870" s="151">
        <v>44792</v>
      </c>
      <c r="F1870" s="176">
        <v>944.8</v>
      </c>
      <c r="G1870" s="177">
        <f>Tabla19[[#This Row],[Importe]]-Tabla19[[#This Row],[Pagado]]</f>
        <v>0</v>
      </c>
      <c r="H1870" s="75" t="s">
        <v>10</v>
      </c>
    </row>
    <row r="1871" spans="1:8" x14ac:dyDescent="0.25">
      <c r="A1871" s="148">
        <v>44792</v>
      </c>
      <c r="B1871" s="149" t="s">
        <v>26594</v>
      </c>
      <c r="C1871" s="153" t="s">
        <v>107</v>
      </c>
      <c r="D1871" s="178">
        <v>11163</v>
      </c>
      <c r="E1871" s="155">
        <v>44792</v>
      </c>
      <c r="F1871" s="178">
        <v>11163</v>
      </c>
      <c r="G1871" s="179">
        <f>Tabla19[[#This Row],[Importe]]-Tabla19[[#This Row],[Pagado]]</f>
        <v>0</v>
      </c>
      <c r="H1871" s="153" t="s">
        <v>10</v>
      </c>
    </row>
    <row r="1872" spans="1:8" x14ac:dyDescent="0.25">
      <c r="A1872" s="73">
        <v>44792</v>
      </c>
      <c r="B1872" s="74" t="s">
        <v>26595</v>
      </c>
      <c r="C1872" s="75" t="s">
        <v>25007</v>
      </c>
      <c r="D1872" s="176">
        <v>0</v>
      </c>
      <c r="E1872" s="157" t="s">
        <v>189</v>
      </c>
      <c r="F1872" s="176">
        <v>0</v>
      </c>
      <c r="G1872" s="177">
        <f>Tabla19[[#This Row],[Importe]]-Tabla19[[#This Row],[Pagado]]</f>
        <v>0</v>
      </c>
      <c r="H1872" s="161" t="s">
        <v>26596</v>
      </c>
    </row>
    <row r="1873" spans="1:8" x14ac:dyDescent="0.25">
      <c r="A1873" s="148">
        <v>44792</v>
      </c>
      <c r="B1873" s="149" t="s">
        <v>26597</v>
      </c>
      <c r="C1873" s="153" t="s">
        <v>17556</v>
      </c>
      <c r="D1873" s="178">
        <v>8679.6</v>
      </c>
      <c r="E1873" s="155">
        <v>44792</v>
      </c>
      <c r="F1873" s="178">
        <v>8679.6</v>
      </c>
      <c r="G1873" s="179">
        <f>Tabla19[[#This Row],[Importe]]-Tabla19[[#This Row],[Pagado]]</f>
        <v>0</v>
      </c>
      <c r="H1873" s="153" t="s">
        <v>10</v>
      </c>
    </row>
    <row r="1874" spans="1:8" x14ac:dyDescent="0.25">
      <c r="A1874" s="73">
        <v>44792</v>
      </c>
      <c r="B1874" s="74" t="s">
        <v>26598</v>
      </c>
      <c r="C1874" s="75" t="s">
        <v>146</v>
      </c>
      <c r="D1874" s="176">
        <v>5764.2</v>
      </c>
      <c r="E1874" s="151">
        <v>44792</v>
      </c>
      <c r="F1874" s="176">
        <v>5764.2</v>
      </c>
      <c r="G1874" s="177">
        <f>Tabla19[[#This Row],[Importe]]-Tabla19[[#This Row],[Pagado]]</f>
        <v>0</v>
      </c>
      <c r="H1874" s="75" t="s">
        <v>10</v>
      </c>
    </row>
    <row r="1875" spans="1:8" x14ac:dyDescent="0.25">
      <c r="A1875" s="148">
        <v>44792</v>
      </c>
      <c r="B1875" s="149" t="s">
        <v>26599</v>
      </c>
      <c r="C1875" s="153" t="s">
        <v>433</v>
      </c>
      <c r="D1875" s="178">
        <v>27300</v>
      </c>
      <c r="E1875" s="155">
        <v>44792</v>
      </c>
      <c r="F1875" s="178">
        <v>27300</v>
      </c>
      <c r="G1875" s="179">
        <f>Tabla19[[#This Row],[Importe]]-Tabla19[[#This Row],[Pagado]]</f>
        <v>0</v>
      </c>
      <c r="H1875" s="153" t="s">
        <v>10</v>
      </c>
    </row>
    <row r="1876" spans="1:8" x14ac:dyDescent="0.25">
      <c r="A1876" s="73">
        <v>44792</v>
      </c>
      <c r="B1876" s="74" t="s">
        <v>26600</v>
      </c>
      <c r="C1876" s="75" t="s">
        <v>22786</v>
      </c>
      <c r="D1876" s="176">
        <v>0</v>
      </c>
      <c r="E1876" s="157" t="s">
        <v>189</v>
      </c>
      <c r="F1876" s="176">
        <v>0</v>
      </c>
      <c r="G1876" s="177">
        <f>Tabla19[[#This Row],[Importe]]-Tabla19[[#This Row],[Pagado]]</f>
        <v>0</v>
      </c>
      <c r="H1876" s="75" t="s">
        <v>189</v>
      </c>
    </row>
    <row r="1877" spans="1:8" x14ac:dyDescent="0.25">
      <c r="A1877" s="148">
        <v>44792</v>
      </c>
      <c r="B1877" s="149" t="s">
        <v>26601</v>
      </c>
      <c r="C1877" s="153" t="s">
        <v>407</v>
      </c>
      <c r="D1877" s="178">
        <v>24170.3</v>
      </c>
      <c r="E1877" s="155">
        <v>44792</v>
      </c>
      <c r="F1877" s="178">
        <v>24170.3</v>
      </c>
      <c r="G1877" s="179">
        <f>Tabla19[[#This Row],[Importe]]-Tabla19[[#This Row],[Pagado]]</f>
        <v>0</v>
      </c>
      <c r="H1877" s="153" t="s">
        <v>10</v>
      </c>
    </row>
    <row r="1878" spans="1:8" x14ac:dyDescent="0.25">
      <c r="A1878" s="73">
        <v>44792</v>
      </c>
      <c r="B1878" s="74" t="s">
        <v>26602</v>
      </c>
      <c r="C1878" s="75" t="s">
        <v>133</v>
      </c>
      <c r="D1878" s="176">
        <v>27424.799999999999</v>
      </c>
      <c r="E1878" s="151">
        <v>44793</v>
      </c>
      <c r="F1878" s="176">
        <v>27424.799999999999</v>
      </c>
      <c r="G1878" s="177">
        <f>Tabla19[[#This Row],[Importe]]-Tabla19[[#This Row],[Pagado]]</f>
        <v>0</v>
      </c>
      <c r="H1878" s="75" t="s">
        <v>10</v>
      </c>
    </row>
    <row r="1879" spans="1:8" x14ac:dyDescent="0.25">
      <c r="A1879" s="148">
        <v>44792</v>
      </c>
      <c r="B1879" s="149" t="s">
        <v>26603</v>
      </c>
      <c r="C1879" s="153" t="s">
        <v>484</v>
      </c>
      <c r="D1879" s="178">
        <v>7952.1</v>
      </c>
      <c r="E1879" s="155">
        <v>44792</v>
      </c>
      <c r="F1879" s="178">
        <v>7952.1</v>
      </c>
      <c r="G1879" s="179">
        <f>Tabla19[[#This Row],[Importe]]-Tabla19[[#This Row],[Pagado]]</f>
        <v>0</v>
      </c>
      <c r="H1879" s="153" t="s">
        <v>10</v>
      </c>
    </row>
    <row r="1880" spans="1:8" x14ac:dyDescent="0.25">
      <c r="A1880" s="73">
        <v>44792</v>
      </c>
      <c r="B1880" s="74" t="s">
        <v>26604</v>
      </c>
      <c r="C1880" s="75" t="s">
        <v>45</v>
      </c>
      <c r="D1880" s="176">
        <v>13921</v>
      </c>
      <c r="E1880" s="151">
        <v>44792</v>
      </c>
      <c r="F1880" s="176">
        <v>13921</v>
      </c>
      <c r="G1880" s="177">
        <f>Tabla19[[#This Row],[Importe]]-Tabla19[[#This Row],[Pagado]]</f>
        <v>0</v>
      </c>
      <c r="H1880" s="75" t="s">
        <v>10</v>
      </c>
    </row>
    <row r="1881" spans="1:8" x14ac:dyDescent="0.25">
      <c r="A1881" s="148">
        <v>44792</v>
      </c>
      <c r="B1881" s="149" t="s">
        <v>26605</v>
      </c>
      <c r="C1881" s="153" t="s">
        <v>275</v>
      </c>
      <c r="D1881" s="178">
        <v>4537.5</v>
      </c>
      <c r="E1881" s="155">
        <v>44819</v>
      </c>
      <c r="F1881" s="178">
        <v>4537.5</v>
      </c>
      <c r="G1881" s="179">
        <f>Tabla19[[#This Row],[Importe]]-Tabla19[[#This Row],[Pagado]]</f>
        <v>0</v>
      </c>
      <c r="H1881" s="153" t="s">
        <v>10</v>
      </c>
    </row>
    <row r="1882" spans="1:8" x14ac:dyDescent="0.25">
      <c r="A1882" s="73">
        <v>44792</v>
      </c>
      <c r="B1882" s="74" t="s">
        <v>26606</v>
      </c>
      <c r="C1882" s="75" t="s">
        <v>196</v>
      </c>
      <c r="D1882" s="176">
        <v>152813.51999999999</v>
      </c>
      <c r="E1882" s="151">
        <v>44792</v>
      </c>
      <c r="F1882" s="176">
        <v>152813.51999999999</v>
      </c>
      <c r="G1882" s="177">
        <f>Tabla19[[#This Row],[Importe]]-Tabla19[[#This Row],[Pagado]]</f>
        <v>0</v>
      </c>
      <c r="H1882" s="75" t="s">
        <v>10</v>
      </c>
    </row>
    <row r="1883" spans="1:8" x14ac:dyDescent="0.25">
      <c r="A1883" s="148">
        <v>44792</v>
      </c>
      <c r="B1883" s="149" t="s">
        <v>26607</v>
      </c>
      <c r="C1883" s="153" t="s">
        <v>196</v>
      </c>
      <c r="D1883" s="178">
        <v>1251.8</v>
      </c>
      <c r="E1883" s="155">
        <v>44792</v>
      </c>
      <c r="F1883" s="178">
        <v>1251.8</v>
      </c>
      <c r="G1883" s="179">
        <f>Tabla19[[#This Row],[Importe]]-Tabla19[[#This Row],[Pagado]]</f>
        <v>0</v>
      </c>
      <c r="H1883" s="153" t="s">
        <v>10</v>
      </c>
    </row>
    <row r="1884" spans="1:8" x14ac:dyDescent="0.25">
      <c r="A1884" s="73">
        <v>44792</v>
      </c>
      <c r="B1884" s="74" t="s">
        <v>26608</v>
      </c>
      <c r="C1884" s="75" t="s">
        <v>22</v>
      </c>
      <c r="D1884" s="176">
        <v>76173.2</v>
      </c>
      <c r="E1884" s="151">
        <v>44793</v>
      </c>
      <c r="F1884" s="176">
        <f>70000+6173.2</f>
        <v>76173.2</v>
      </c>
      <c r="G1884" s="177">
        <f>Tabla19[[#This Row],[Importe]]-Tabla19[[#This Row],[Pagado]]</f>
        <v>0</v>
      </c>
      <c r="H1884" s="75" t="s">
        <v>10</v>
      </c>
    </row>
    <row r="1885" spans="1:8" x14ac:dyDescent="0.25">
      <c r="A1885" s="148">
        <v>44792</v>
      </c>
      <c r="B1885" s="149" t="s">
        <v>26609</v>
      </c>
      <c r="C1885" s="153" t="s">
        <v>11033</v>
      </c>
      <c r="D1885" s="178">
        <v>1730.1</v>
      </c>
      <c r="E1885" s="155">
        <v>44792</v>
      </c>
      <c r="F1885" s="178">
        <v>1730.1</v>
      </c>
      <c r="G1885" s="179">
        <f>Tabla19[[#This Row],[Importe]]-Tabla19[[#This Row],[Pagado]]</f>
        <v>0</v>
      </c>
      <c r="H1885" s="153" t="s">
        <v>10</v>
      </c>
    </row>
    <row r="1886" spans="1:8" x14ac:dyDescent="0.25">
      <c r="A1886" s="73">
        <v>44792</v>
      </c>
      <c r="B1886" s="74" t="s">
        <v>26610</v>
      </c>
      <c r="C1886" s="75" t="s">
        <v>592</v>
      </c>
      <c r="D1886" s="176">
        <v>41812.699999999997</v>
      </c>
      <c r="E1886" s="151">
        <v>44799</v>
      </c>
      <c r="F1886" s="176">
        <v>41812.699999999997</v>
      </c>
      <c r="G1886" s="177">
        <f>Tabla19[[#This Row],[Importe]]-Tabla19[[#This Row],[Pagado]]</f>
        <v>0</v>
      </c>
      <c r="H1886" s="75" t="s">
        <v>10</v>
      </c>
    </row>
    <row r="1887" spans="1:8" x14ac:dyDescent="0.25">
      <c r="A1887" s="148">
        <v>44792</v>
      </c>
      <c r="B1887" s="149" t="s">
        <v>26611</v>
      </c>
      <c r="C1887" s="153" t="s">
        <v>27</v>
      </c>
      <c r="D1887" s="178">
        <v>1941.8</v>
      </c>
      <c r="E1887" s="155">
        <v>44792</v>
      </c>
      <c r="F1887" s="178">
        <v>1941.8</v>
      </c>
      <c r="G1887" s="179">
        <f>Tabla19[[#This Row],[Importe]]-Tabla19[[#This Row],[Pagado]]</f>
        <v>0</v>
      </c>
      <c r="H1887" s="153" t="s">
        <v>10</v>
      </c>
    </row>
    <row r="1888" spans="1:8" x14ac:dyDescent="0.25">
      <c r="A1888" s="73">
        <v>44792</v>
      </c>
      <c r="B1888" s="74" t="s">
        <v>26612</v>
      </c>
      <c r="C1888" s="75" t="s">
        <v>173</v>
      </c>
      <c r="D1888" s="176">
        <v>55419</v>
      </c>
      <c r="E1888" s="151">
        <v>44793</v>
      </c>
      <c r="F1888" s="176">
        <v>55419</v>
      </c>
      <c r="G1888" s="177">
        <f>Tabla19[[#This Row],[Importe]]-Tabla19[[#This Row],[Pagado]]</f>
        <v>0</v>
      </c>
      <c r="H1888" s="75" t="s">
        <v>10</v>
      </c>
    </row>
    <row r="1889" spans="1:8" x14ac:dyDescent="0.25">
      <c r="A1889" s="148">
        <v>44792</v>
      </c>
      <c r="B1889" s="149" t="s">
        <v>26613</v>
      </c>
      <c r="C1889" s="153" t="s">
        <v>49</v>
      </c>
      <c r="D1889" s="178">
        <v>5360.6</v>
      </c>
      <c r="E1889" s="155">
        <v>44792</v>
      </c>
      <c r="F1889" s="178">
        <v>5360.6</v>
      </c>
      <c r="G1889" s="179">
        <f>Tabla19[[#This Row],[Importe]]-Tabla19[[#This Row],[Pagado]]</f>
        <v>0</v>
      </c>
      <c r="H1889" s="153" t="s">
        <v>10</v>
      </c>
    </row>
    <row r="1890" spans="1:8" x14ac:dyDescent="0.25">
      <c r="A1890" s="73">
        <v>44792</v>
      </c>
      <c r="B1890" s="74" t="s">
        <v>26614</v>
      </c>
      <c r="C1890" s="75" t="s">
        <v>1644</v>
      </c>
      <c r="D1890" s="176">
        <v>13650</v>
      </c>
      <c r="E1890" s="151">
        <v>44793</v>
      </c>
      <c r="F1890" s="176">
        <v>13650</v>
      </c>
      <c r="G1890" s="177">
        <f>Tabla19[[#This Row],[Importe]]-Tabla19[[#This Row],[Pagado]]</f>
        <v>0</v>
      </c>
      <c r="H1890" s="75" t="s">
        <v>10</v>
      </c>
    </row>
    <row r="1891" spans="1:8" x14ac:dyDescent="0.25">
      <c r="A1891" s="148">
        <v>44792</v>
      </c>
      <c r="B1891" s="149" t="s">
        <v>26615</v>
      </c>
      <c r="C1891" s="153" t="s">
        <v>11383</v>
      </c>
      <c r="D1891" s="178">
        <v>24381</v>
      </c>
      <c r="E1891" s="155">
        <v>44792</v>
      </c>
      <c r="F1891" s="178">
        <v>24381</v>
      </c>
      <c r="G1891" s="179">
        <f>Tabla19[[#This Row],[Importe]]-Tabla19[[#This Row],[Pagado]]</f>
        <v>0</v>
      </c>
      <c r="H1891" s="153" t="s">
        <v>10</v>
      </c>
    </row>
    <row r="1892" spans="1:8" x14ac:dyDescent="0.25">
      <c r="A1892" s="73">
        <v>44792</v>
      </c>
      <c r="B1892" s="74" t="s">
        <v>26616</v>
      </c>
      <c r="C1892" s="75" t="s">
        <v>154</v>
      </c>
      <c r="D1892" s="176">
        <v>31005.200000000001</v>
      </c>
      <c r="E1892" s="151">
        <v>44797</v>
      </c>
      <c r="F1892" s="176">
        <v>31005.200000000001</v>
      </c>
      <c r="G1892" s="177">
        <f>Tabla19[[#This Row],[Importe]]-Tabla19[[#This Row],[Pagado]]</f>
        <v>0</v>
      </c>
      <c r="H1892" s="75" t="s">
        <v>10</v>
      </c>
    </row>
    <row r="1893" spans="1:8" x14ac:dyDescent="0.25">
      <c r="A1893" s="148">
        <v>44792</v>
      </c>
      <c r="B1893" s="149" t="s">
        <v>26617</v>
      </c>
      <c r="C1893" s="153" t="s">
        <v>206</v>
      </c>
      <c r="D1893" s="178">
        <v>36494.199999999997</v>
      </c>
      <c r="E1893" s="155">
        <v>44796</v>
      </c>
      <c r="F1893" s="178">
        <v>36494.199999999997</v>
      </c>
      <c r="G1893" s="179">
        <f>Tabla19[[#This Row],[Importe]]-Tabla19[[#This Row],[Pagado]]</f>
        <v>0</v>
      </c>
      <c r="H1893" s="153" t="s">
        <v>10</v>
      </c>
    </row>
    <row r="1894" spans="1:8" x14ac:dyDescent="0.25">
      <c r="A1894" s="73">
        <v>44792</v>
      </c>
      <c r="B1894" s="74" t="s">
        <v>26618</v>
      </c>
      <c r="C1894" s="75" t="s">
        <v>218</v>
      </c>
      <c r="D1894" s="176">
        <v>31543.08</v>
      </c>
      <c r="E1894" s="151">
        <v>44796</v>
      </c>
      <c r="F1894" s="176">
        <v>31543.08</v>
      </c>
      <c r="G1894" s="177">
        <f>Tabla19[[#This Row],[Importe]]-Tabla19[[#This Row],[Pagado]]</f>
        <v>0</v>
      </c>
      <c r="H1894" s="75" t="s">
        <v>10</v>
      </c>
    </row>
    <row r="1895" spans="1:8" x14ac:dyDescent="0.25">
      <c r="A1895" s="148">
        <v>44792</v>
      </c>
      <c r="B1895" s="149" t="s">
        <v>26619</v>
      </c>
      <c r="C1895" s="153" t="s">
        <v>9827</v>
      </c>
      <c r="D1895" s="178">
        <v>5452.2</v>
      </c>
      <c r="E1895" s="155">
        <v>44792</v>
      </c>
      <c r="F1895" s="178">
        <v>5452.2</v>
      </c>
      <c r="G1895" s="179">
        <f>Tabla19[[#This Row],[Importe]]-Tabla19[[#This Row],[Pagado]]</f>
        <v>0</v>
      </c>
      <c r="H1895" s="153" t="s">
        <v>10</v>
      </c>
    </row>
    <row r="1896" spans="1:8" x14ac:dyDescent="0.25">
      <c r="A1896" s="73">
        <v>44792</v>
      </c>
      <c r="B1896" s="74" t="s">
        <v>26620</v>
      </c>
      <c r="C1896" s="75" t="s">
        <v>56</v>
      </c>
      <c r="D1896" s="176">
        <v>6353.2</v>
      </c>
      <c r="E1896" s="151">
        <v>44792</v>
      </c>
      <c r="F1896" s="176">
        <v>6353.2</v>
      </c>
      <c r="G1896" s="177">
        <f>Tabla19[[#This Row],[Importe]]-Tabla19[[#This Row],[Pagado]]</f>
        <v>0</v>
      </c>
      <c r="H1896" s="75" t="s">
        <v>10</v>
      </c>
    </row>
    <row r="1897" spans="1:8" x14ac:dyDescent="0.25">
      <c r="A1897" s="148">
        <v>44792</v>
      </c>
      <c r="B1897" s="149" t="s">
        <v>26621</v>
      </c>
      <c r="C1897" s="153" t="s">
        <v>53</v>
      </c>
      <c r="D1897" s="178">
        <v>758.4</v>
      </c>
      <c r="E1897" s="155">
        <v>44792</v>
      </c>
      <c r="F1897" s="178">
        <v>758.4</v>
      </c>
      <c r="G1897" s="179">
        <f>Tabla19[[#This Row],[Importe]]-Tabla19[[#This Row],[Pagado]]</f>
        <v>0</v>
      </c>
      <c r="H1897" s="153" t="s">
        <v>10</v>
      </c>
    </row>
    <row r="1898" spans="1:8" x14ac:dyDescent="0.25">
      <c r="A1898" s="73">
        <v>44792</v>
      </c>
      <c r="B1898" s="74" t="s">
        <v>26622</v>
      </c>
      <c r="C1898" s="75" t="s">
        <v>22783</v>
      </c>
      <c r="D1898" s="176">
        <v>2264.5</v>
      </c>
      <c r="E1898" s="151">
        <v>44792</v>
      </c>
      <c r="F1898" s="176">
        <v>2264.5</v>
      </c>
      <c r="G1898" s="177">
        <f>Tabla19[[#This Row],[Importe]]-Tabla19[[#This Row],[Pagado]]</f>
        <v>0</v>
      </c>
      <c r="H1898" s="75" t="s">
        <v>10</v>
      </c>
    </row>
    <row r="1899" spans="1:8" x14ac:dyDescent="0.25">
      <c r="A1899" s="148">
        <v>44792</v>
      </c>
      <c r="B1899" s="149" t="s">
        <v>26623</v>
      </c>
      <c r="C1899" s="153" t="s">
        <v>212</v>
      </c>
      <c r="D1899" s="178">
        <v>43337</v>
      </c>
      <c r="E1899" s="155">
        <v>44796</v>
      </c>
      <c r="F1899" s="178">
        <v>43337</v>
      </c>
      <c r="G1899" s="179">
        <f>Tabla19[[#This Row],[Importe]]-Tabla19[[#This Row],[Pagado]]</f>
        <v>0</v>
      </c>
      <c r="H1899" s="153" t="s">
        <v>10</v>
      </c>
    </row>
    <row r="1900" spans="1:8" x14ac:dyDescent="0.25">
      <c r="A1900" s="73">
        <v>44792</v>
      </c>
      <c r="B1900" s="74" t="s">
        <v>26624</v>
      </c>
      <c r="C1900" s="75" t="s">
        <v>29</v>
      </c>
      <c r="D1900" s="176">
        <v>5748.6</v>
      </c>
      <c r="E1900" s="151">
        <v>44792</v>
      </c>
      <c r="F1900" s="176">
        <v>5748.6</v>
      </c>
      <c r="G1900" s="177">
        <f>Tabla19[[#This Row],[Importe]]-Tabla19[[#This Row],[Pagado]]</f>
        <v>0</v>
      </c>
      <c r="H1900" s="75" t="s">
        <v>10</v>
      </c>
    </row>
    <row r="1901" spans="1:8" x14ac:dyDescent="0.25">
      <c r="A1901" s="148">
        <v>44792</v>
      </c>
      <c r="B1901" s="149" t="s">
        <v>26625</v>
      </c>
      <c r="C1901" s="153" t="s">
        <v>62</v>
      </c>
      <c r="D1901" s="178">
        <v>3885</v>
      </c>
      <c r="E1901" s="155">
        <v>44792</v>
      </c>
      <c r="F1901" s="178">
        <v>3885</v>
      </c>
      <c r="G1901" s="179">
        <f>Tabla19[[#This Row],[Importe]]-Tabla19[[#This Row],[Pagado]]</f>
        <v>0</v>
      </c>
      <c r="H1901" s="153" t="s">
        <v>10</v>
      </c>
    </row>
    <row r="1902" spans="1:8" x14ac:dyDescent="0.25">
      <c r="A1902" s="73">
        <v>44792</v>
      </c>
      <c r="B1902" s="74" t="s">
        <v>26626</v>
      </c>
      <c r="C1902" s="75" t="s">
        <v>849</v>
      </c>
      <c r="D1902" s="176">
        <v>5468</v>
      </c>
      <c r="E1902" s="151">
        <v>44792</v>
      </c>
      <c r="F1902" s="176">
        <v>5468</v>
      </c>
      <c r="G1902" s="177">
        <f>Tabla19[[#This Row],[Importe]]-Tabla19[[#This Row],[Pagado]]</f>
        <v>0</v>
      </c>
      <c r="H1902" s="75" t="s">
        <v>10</v>
      </c>
    </row>
    <row r="1903" spans="1:8" x14ac:dyDescent="0.25">
      <c r="A1903" s="148">
        <v>44792</v>
      </c>
      <c r="B1903" s="149" t="s">
        <v>26627</v>
      </c>
      <c r="C1903" s="153" t="s">
        <v>1265</v>
      </c>
      <c r="D1903" s="178">
        <v>639.9</v>
      </c>
      <c r="E1903" s="155">
        <v>44792</v>
      </c>
      <c r="F1903" s="178">
        <v>639.9</v>
      </c>
      <c r="G1903" s="179">
        <f>Tabla19[[#This Row],[Importe]]-Tabla19[[#This Row],[Pagado]]</f>
        <v>0</v>
      </c>
      <c r="H1903" s="153" t="s">
        <v>10</v>
      </c>
    </row>
    <row r="1904" spans="1:8" x14ac:dyDescent="0.25">
      <c r="A1904" s="73">
        <v>44792</v>
      </c>
      <c r="B1904" s="74" t="s">
        <v>26628</v>
      </c>
      <c r="C1904" s="75" t="s">
        <v>382</v>
      </c>
      <c r="D1904" s="176">
        <v>7675.2</v>
      </c>
      <c r="E1904" s="151">
        <v>44792</v>
      </c>
      <c r="F1904" s="176">
        <v>7675.2</v>
      </c>
      <c r="G1904" s="177">
        <f>Tabla19[[#This Row],[Importe]]-Tabla19[[#This Row],[Pagado]]</f>
        <v>0</v>
      </c>
      <c r="H1904" s="75" t="s">
        <v>10</v>
      </c>
    </row>
    <row r="1905" spans="1:8" x14ac:dyDescent="0.25">
      <c r="A1905" s="148">
        <v>44792</v>
      </c>
      <c r="B1905" s="149" t="s">
        <v>26629</v>
      </c>
      <c r="C1905" s="153" t="s">
        <v>31</v>
      </c>
      <c r="D1905" s="178">
        <v>748.8</v>
      </c>
      <c r="E1905" s="155">
        <v>44792</v>
      </c>
      <c r="F1905" s="178">
        <v>748.8</v>
      </c>
      <c r="G1905" s="179">
        <f>Tabla19[[#This Row],[Importe]]-Tabla19[[#This Row],[Pagado]]</f>
        <v>0</v>
      </c>
      <c r="H1905" s="153" t="s">
        <v>10</v>
      </c>
    </row>
    <row r="1906" spans="1:8" x14ac:dyDescent="0.25">
      <c r="A1906" s="73">
        <v>44792</v>
      </c>
      <c r="B1906" s="74" t="s">
        <v>26630</v>
      </c>
      <c r="C1906" s="75" t="s">
        <v>191</v>
      </c>
      <c r="D1906" s="176">
        <v>1911.8</v>
      </c>
      <c r="E1906" s="151">
        <v>44792</v>
      </c>
      <c r="F1906" s="176">
        <v>1911.8</v>
      </c>
      <c r="G1906" s="177">
        <f>Tabla19[[#This Row],[Importe]]-Tabla19[[#This Row],[Pagado]]</f>
        <v>0</v>
      </c>
      <c r="H1906" s="75" t="s">
        <v>10</v>
      </c>
    </row>
    <row r="1907" spans="1:8" x14ac:dyDescent="0.25">
      <c r="A1907" s="148">
        <v>44792</v>
      </c>
      <c r="B1907" s="149" t="s">
        <v>26631</v>
      </c>
      <c r="C1907" s="153" t="s">
        <v>31</v>
      </c>
      <c r="D1907" s="178">
        <v>639.9</v>
      </c>
      <c r="E1907" s="155">
        <v>44792</v>
      </c>
      <c r="F1907" s="178">
        <v>639.9</v>
      </c>
      <c r="G1907" s="179">
        <f>Tabla19[[#This Row],[Importe]]-Tabla19[[#This Row],[Pagado]]</f>
        <v>0</v>
      </c>
      <c r="H1907" s="153" t="s">
        <v>10</v>
      </c>
    </row>
    <row r="1908" spans="1:8" x14ac:dyDescent="0.25">
      <c r="A1908" s="73">
        <v>44792</v>
      </c>
      <c r="B1908" s="74" t="s">
        <v>26632</v>
      </c>
      <c r="C1908" s="75" t="s">
        <v>51</v>
      </c>
      <c r="D1908" s="176">
        <v>4952</v>
      </c>
      <c r="E1908" s="151">
        <v>44792</v>
      </c>
      <c r="F1908" s="176">
        <v>4952</v>
      </c>
      <c r="G1908" s="177">
        <f>Tabla19[[#This Row],[Importe]]-Tabla19[[#This Row],[Pagado]]</f>
        <v>0</v>
      </c>
      <c r="H1908" s="75" t="s">
        <v>10</v>
      </c>
    </row>
    <row r="1909" spans="1:8" x14ac:dyDescent="0.25">
      <c r="A1909" s="148">
        <v>44792</v>
      </c>
      <c r="B1909" s="149" t="s">
        <v>26633</v>
      </c>
      <c r="C1909" s="153" t="s">
        <v>67</v>
      </c>
      <c r="D1909" s="178">
        <v>13114.6</v>
      </c>
      <c r="E1909" s="155">
        <v>44792</v>
      </c>
      <c r="F1909" s="178">
        <v>13114.6</v>
      </c>
      <c r="G1909" s="179">
        <f>Tabla19[[#This Row],[Importe]]-Tabla19[[#This Row],[Pagado]]</f>
        <v>0</v>
      </c>
      <c r="H1909" s="153" t="s">
        <v>10</v>
      </c>
    </row>
    <row r="1910" spans="1:8" x14ac:dyDescent="0.25">
      <c r="A1910" s="73">
        <v>44792</v>
      </c>
      <c r="B1910" s="74" t="s">
        <v>26634</v>
      </c>
      <c r="C1910" s="75" t="s">
        <v>414</v>
      </c>
      <c r="D1910" s="176">
        <v>3000</v>
      </c>
      <c r="E1910" s="151">
        <v>44792</v>
      </c>
      <c r="F1910" s="176">
        <v>3000</v>
      </c>
      <c r="G1910" s="177">
        <f>Tabla19[[#This Row],[Importe]]-Tabla19[[#This Row],[Pagado]]</f>
        <v>0</v>
      </c>
      <c r="H1910" s="75" t="s">
        <v>10</v>
      </c>
    </row>
    <row r="1911" spans="1:8" x14ac:dyDescent="0.25">
      <c r="A1911" s="148">
        <v>44792</v>
      </c>
      <c r="B1911" s="149" t="s">
        <v>26635</v>
      </c>
      <c r="C1911" s="153" t="s">
        <v>31</v>
      </c>
      <c r="D1911" s="178">
        <v>1581.2</v>
      </c>
      <c r="E1911" s="155">
        <v>44792</v>
      </c>
      <c r="F1911" s="178">
        <v>1581.2</v>
      </c>
      <c r="G1911" s="179">
        <f>Tabla19[[#This Row],[Importe]]-Tabla19[[#This Row],[Pagado]]</f>
        <v>0</v>
      </c>
      <c r="H1911" s="153" t="s">
        <v>10</v>
      </c>
    </row>
    <row r="1912" spans="1:8" x14ac:dyDescent="0.25">
      <c r="A1912" s="73">
        <v>44792</v>
      </c>
      <c r="B1912" s="74" t="s">
        <v>26636</v>
      </c>
      <c r="C1912" s="75" t="s">
        <v>3747</v>
      </c>
      <c r="D1912" s="176">
        <v>27759.599999999999</v>
      </c>
      <c r="E1912" s="151">
        <v>44792</v>
      </c>
      <c r="F1912" s="176">
        <v>27759.599999999999</v>
      </c>
      <c r="G1912" s="177">
        <f>Tabla19[[#This Row],[Importe]]-Tabla19[[#This Row],[Pagado]]</f>
        <v>0</v>
      </c>
      <c r="H1912" s="75" t="s">
        <v>10</v>
      </c>
    </row>
    <row r="1913" spans="1:8" x14ac:dyDescent="0.25">
      <c r="A1913" s="148">
        <v>44792</v>
      </c>
      <c r="B1913" s="149" t="s">
        <v>26637</v>
      </c>
      <c r="C1913" s="153" t="s">
        <v>3747</v>
      </c>
      <c r="D1913" s="178">
        <v>3300</v>
      </c>
      <c r="E1913" s="155">
        <v>44792</v>
      </c>
      <c r="F1913" s="178">
        <v>3300</v>
      </c>
      <c r="G1913" s="179">
        <f>Tabla19[[#This Row],[Importe]]-Tabla19[[#This Row],[Pagado]]</f>
        <v>0</v>
      </c>
      <c r="H1913" s="153" t="s">
        <v>10</v>
      </c>
    </row>
    <row r="1914" spans="1:8" x14ac:dyDescent="0.25">
      <c r="A1914" s="73">
        <v>44792</v>
      </c>
      <c r="B1914" s="74" t="s">
        <v>26638</v>
      </c>
      <c r="C1914" s="75" t="s">
        <v>198</v>
      </c>
      <c r="D1914" s="176">
        <v>4679.5</v>
      </c>
      <c r="E1914" s="151">
        <v>44792</v>
      </c>
      <c r="F1914" s="176">
        <v>4679.5</v>
      </c>
      <c r="G1914" s="177">
        <f>Tabla19[[#This Row],[Importe]]-Tabla19[[#This Row],[Pagado]]</f>
        <v>0</v>
      </c>
      <c r="H1914" s="75" t="s">
        <v>10</v>
      </c>
    </row>
    <row r="1915" spans="1:8" x14ac:dyDescent="0.25">
      <c r="A1915" s="148">
        <v>44792</v>
      </c>
      <c r="B1915" s="149" t="s">
        <v>26639</v>
      </c>
      <c r="C1915" s="153" t="s">
        <v>175</v>
      </c>
      <c r="D1915" s="178">
        <v>7891.3</v>
      </c>
      <c r="E1915" s="155">
        <v>44792</v>
      </c>
      <c r="F1915" s="178">
        <v>7891.3</v>
      </c>
      <c r="G1915" s="179">
        <f>Tabla19[[#This Row],[Importe]]-Tabla19[[#This Row],[Pagado]]</f>
        <v>0</v>
      </c>
      <c r="H1915" s="153" t="s">
        <v>10</v>
      </c>
    </row>
    <row r="1916" spans="1:8" x14ac:dyDescent="0.25">
      <c r="A1916" s="73">
        <v>44792</v>
      </c>
      <c r="B1916" s="74" t="s">
        <v>26640</v>
      </c>
      <c r="C1916" s="75" t="s">
        <v>181</v>
      </c>
      <c r="D1916" s="176">
        <v>10481.4</v>
      </c>
      <c r="E1916" s="151">
        <v>44792</v>
      </c>
      <c r="F1916" s="176">
        <v>10481.4</v>
      </c>
      <c r="G1916" s="177">
        <f>Tabla19[[#This Row],[Importe]]-Tabla19[[#This Row],[Pagado]]</f>
        <v>0</v>
      </c>
      <c r="H1916" s="75" t="s">
        <v>10</v>
      </c>
    </row>
    <row r="1917" spans="1:8" x14ac:dyDescent="0.25">
      <c r="A1917" s="148">
        <v>44792</v>
      </c>
      <c r="B1917" s="149" t="s">
        <v>26641</v>
      </c>
      <c r="C1917" s="153" t="s">
        <v>142</v>
      </c>
      <c r="D1917" s="178">
        <v>22809.58</v>
      </c>
      <c r="E1917" s="155" t="s">
        <v>31544</v>
      </c>
      <c r="F1917" s="178">
        <f>16600.41+6209.17</f>
        <v>22809.58</v>
      </c>
      <c r="G1917" s="179">
        <f>Tabla19[[#This Row],[Importe]]-Tabla19[[#This Row],[Pagado]]</f>
        <v>0</v>
      </c>
      <c r="H1917" s="153" t="s">
        <v>10</v>
      </c>
    </row>
    <row r="1918" spans="1:8" x14ac:dyDescent="0.25">
      <c r="A1918" s="73">
        <v>44792</v>
      </c>
      <c r="B1918" s="74" t="s">
        <v>26642</v>
      </c>
      <c r="C1918" s="75" t="s">
        <v>426</v>
      </c>
      <c r="D1918" s="176">
        <v>9601.1</v>
      </c>
      <c r="E1918" s="151">
        <v>44792</v>
      </c>
      <c r="F1918" s="176">
        <v>9601.1</v>
      </c>
      <c r="G1918" s="177">
        <f>Tabla19[[#This Row],[Importe]]-Tabla19[[#This Row],[Pagado]]</f>
        <v>0</v>
      </c>
      <c r="H1918" s="75" t="s">
        <v>10</v>
      </c>
    </row>
    <row r="1919" spans="1:8" x14ac:dyDescent="0.25">
      <c r="A1919" s="148">
        <v>44792</v>
      </c>
      <c r="B1919" s="149" t="s">
        <v>26643</v>
      </c>
      <c r="C1919" s="153" t="s">
        <v>392</v>
      </c>
      <c r="D1919" s="178">
        <v>22458.3</v>
      </c>
      <c r="E1919" s="155">
        <v>44799</v>
      </c>
      <c r="F1919" s="178">
        <v>22458.3</v>
      </c>
      <c r="G1919" s="179">
        <f>Tabla19[[#This Row],[Importe]]-Tabla19[[#This Row],[Pagado]]</f>
        <v>0</v>
      </c>
      <c r="H1919" s="153" t="s">
        <v>10</v>
      </c>
    </row>
    <row r="1920" spans="1:8" x14ac:dyDescent="0.25">
      <c r="A1920" s="73">
        <v>44792</v>
      </c>
      <c r="B1920" s="74" t="s">
        <v>26644</v>
      </c>
      <c r="C1920" s="75" t="s">
        <v>24284</v>
      </c>
      <c r="D1920" s="176">
        <v>1482</v>
      </c>
      <c r="E1920" s="151">
        <v>44792</v>
      </c>
      <c r="F1920" s="176">
        <v>1482</v>
      </c>
      <c r="G1920" s="177">
        <f>Tabla19[[#This Row],[Importe]]-Tabla19[[#This Row],[Pagado]]</f>
        <v>0</v>
      </c>
      <c r="H1920" s="75" t="s">
        <v>10</v>
      </c>
    </row>
    <row r="1921" spans="1:8" x14ac:dyDescent="0.25">
      <c r="A1921" s="148">
        <v>44792</v>
      </c>
      <c r="B1921" s="149" t="s">
        <v>26645</v>
      </c>
      <c r="C1921" s="153" t="s">
        <v>58</v>
      </c>
      <c r="D1921" s="178">
        <v>2755</v>
      </c>
      <c r="E1921" s="155">
        <v>44792</v>
      </c>
      <c r="F1921" s="178">
        <v>2755</v>
      </c>
      <c r="G1921" s="179">
        <f>Tabla19[[#This Row],[Importe]]-Tabla19[[#This Row],[Pagado]]</f>
        <v>0</v>
      </c>
      <c r="H1921" s="153" t="s">
        <v>10</v>
      </c>
    </row>
    <row r="1922" spans="1:8" x14ac:dyDescent="0.25">
      <c r="A1922" s="73">
        <v>44792</v>
      </c>
      <c r="B1922" s="74" t="s">
        <v>26646</v>
      </c>
      <c r="C1922" s="75" t="s">
        <v>226</v>
      </c>
      <c r="D1922" s="176">
        <v>7200.2</v>
      </c>
      <c r="E1922" s="151">
        <v>44792</v>
      </c>
      <c r="F1922" s="176">
        <v>7200.2</v>
      </c>
      <c r="G1922" s="177">
        <f>Tabla19[[#This Row],[Importe]]-Tabla19[[#This Row],[Pagado]]</f>
        <v>0</v>
      </c>
      <c r="H1922" s="75" t="s">
        <v>10</v>
      </c>
    </row>
    <row r="1923" spans="1:8" x14ac:dyDescent="0.25">
      <c r="A1923" s="148">
        <v>44792</v>
      </c>
      <c r="B1923" s="149" t="s">
        <v>26647</v>
      </c>
      <c r="C1923" s="153" t="s">
        <v>226</v>
      </c>
      <c r="D1923" s="178">
        <v>238.5</v>
      </c>
      <c r="E1923" s="155">
        <v>44792</v>
      </c>
      <c r="F1923" s="178">
        <v>238.5</v>
      </c>
      <c r="G1923" s="179">
        <f>Tabla19[[#This Row],[Importe]]-Tabla19[[#This Row],[Pagado]]</f>
        <v>0</v>
      </c>
      <c r="H1923" s="153" t="s">
        <v>10</v>
      </c>
    </row>
    <row r="1924" spans="1:8" x14ac:dyDescent="0.25">
      <c r="A1924" s="73">
        <v>44792</v>
      </c>
      <c r="B1924" s="74" t="s">
        <v>26648</v>
      </c>
      <c r="C1924" s="75" t="s">
        <v>670</v>
      </c>
      <c r="D1924" s="176">
        <v>2006.2</v>
      </c>
      <c r="E1924" s="151">
        <v>44792</v>
      </c>
      <c r="F1924" s="176">
        <v>2006.2</v>
      </c>
      <c r="G1924" s="177">
        <f>Tabla19[[#This Row],[Importe]]-Tabla19[[#This Row],[Pagado]]</f>
        <v>0</v>
      </c>
      <c r="H1924" s="75" t="s">
        <v>10</v>
      </c>
    </row>
    <row r="1925" spans="1:8" x14ac:dyDescent="0.25">
      <c r="A1925" s="148">
        <v>44792</v>
      </c>
      <c r="B1925" s="149" t="s">
        <v>26649</v>
      </c>
      <c r="C1925" s="153" t="s">
        <v>79</v>
      </c>
      <c r="D1925" s="178">
        <v>10058.4</v>
      </c>
      <c r="E1925" s="155">
        <v>44792</v>
      </c>
      <c r="F1925" s="178">
        <v>10058.4</v>
      </c>
      <c r="G1925" s="179">
        <f>Tabla19[[#This Row],[Importe]]-Tabla19[[#This Row],[Pagado]]</f>
        <v>0</v>
      </c>
      <c r="H1925" s="153" t="s">
        <v>10</v>
      </c>
    </row>
    <row r="1926" spans="1:8" x14ac:dyDescent="0.25">
      <c r="A1926" s="73">
        <v>44792</v>
      </c>
      <c r="B1926" s="74" t="s">
        <v>26650</v>
      </c>
      <c r="C1926" s="75" t="s">
        <v>12</v>
      </c>
      <c r="D1926" s="176">
        <v>1117.2</v>
      </c>
      <c r="E1926" s="151">
        <v>44794</v>
      </c>
      <c r="F1926" s="176">
        <v>1117.2</v>
      </c>
      <c r="G1926" s="177">
        <f>Tabla19[[#This Row],[Importe]]-Tabla19[[#This Row],[Pagado]]</f>
        <v>0</v>
      </c>
      <c r="H1926" s="75" t="s">
        <v>10</v>
      </c>
    </row>
    <row r="1927" spans="1:8" x14ac:dyDescent="0.25">
      <c r="A1927" s="148">
        <v>44792</v>
      </c>
      <c r="B1927" s="149" t="s">
        <v>26651</v>
      </c>
      <c r="C1927" s="153" t="s">
        <v>12</v>
      </c>
      <c r="D1927" s="178">
        <v>444</v>
      </c>
      <c r="E1927" s="155">
        <v>44794</v>
      </c>
      <c r="F1927" s="178">
        <v>444</v>
      </c>
      <c r="G1927" s="179">
        <f>Tabla19[[#This Row],[Importe]]-Tabla19[[#This Row],[Pagado]]</f>
        <v>0</v>
      </c>
      <c r="H1927" s="153" t="s">
        <v>10</v>
      </c>
    </row>
    <row r="1928" spans="1:8" x14ac:dyDescent="0.25">
      <c r="A1928" s="73">
        <v>44792</v>
      </c>
      <c r="B1928" s="74" t="s">
        <v>26652</v>
      </c>
      <c r="C1928" s="75" t="s">
        <v>698</v>
      </c>
      <c r="D1928" s="176">
        <v>7491.6</v>
      </c>
      <c r="E1928" s="151">
        <v>44792</v>
      </c>
      <c r="F1928" s="176">
        <v>7491.6</v>
      </c>
      <c r="G1928" s="177">
        <f>Tabla19[[#This Row],[Importe]]-Tabla19[[#This Row],[Pagado]]</f>
        <v>0</v>
      </c>
      <c r="H1928" s="75" t="s">
        <v>10</v>
      </c>
    </row>
    <row r="1929" spans="1:8" x14ac:dyDescent="0.25">
      <c r="A1929" s="148">
        <v>44792</v>
      </c>
      <c r="B1929" s="149" t="s">
        <v>26653</v>
      </c>
      <c r="C1929" s="153" t="s">
        <v>2151</v>
      </c>
      <c r="D1929" s="178">
        <v>198</v>
      </c>
      <c r="E1929" s="155">
        <v>44792</v>
      </c>
      <c r="F1929" s="178">
        <v>198</v>
      </c>
      <c r="G1929" s="179">
        <f>Tabla19[[#This Row],[Importe]]-Tabla19[[#This Row],[Pagado]]</f>
        <v>0</v>
      </c>
      <c r="H1929" s="153" t="s">
        <v>10</v>
      </c>
    </row>
    <row r="1930" spans="1:8" x14ac:dyDescent="0.25">
      <c r="A1930" s="73">
        <v>44792</v>
      </c>
      <c r="B1930" s="74" t="s">
        <v>26654</v>
      </c>
      <c r="C1930" s="75" t="s">
        <v>214</v>
      </c>
      <c r="D1930" s="176">
        <v>1450.8</v>
      </c>
      <c r="E1930" s="151">
        <v>44792</v>
      </c>
      <c r="F1930" s="176">
        <v>1450.8</v>
      </c>
      <c r="G1930" s="177">
        <f>Tabla19[[#This Row],[Importe]]-Tabla19[[#This Row],[Pagado]]</f>
        <v>0</v>
      </c>
      <c r="H1930" s="75" t="s">
        <v>10</v>
      </c>
    </row>
    <row r="1931" spans="1:8" x14ac:dyDescent="0.25">
      <c r="A1931" s="148">
        <v>44792</v>
      </c>
      <c r="B1931" s="149" t="s">
        <v>26655</v>
      </c>
      <c r="C1931" s="153" t="s">
        <v>296</v>
      </c>
      <c r="D1931" s="178">
        <v>4609.2</v>
      </c>
      <c r="E1931" s="155">
        <v>44792</v>
      </c>
      <c r="F1931" s="178">
        <v>4609.2</v>
      </c>
      <c r="G1931" s="179">
        <f>Tabla19[[#This Row],[Importe]]-Tabla19[[#This Row],[Pagado]]</f>
        <v>0</v>
      </c>
      <c r="H1931" s="153" t="s">
        <v>10</v>
      </c>
    </row>
    <row r="1932" spans="1:8" x14ac:dyDescent="0.25">
      <c r="A1932" s="73">
        <v>44792</v>
      </c>
      <c r="B1932" s="74" t="s">
        <v>26656</v>
      </c>
      <c r="C1932" s="75" t="s">
        <v>994</v>
      </c>
      <c r="D1932" s="176">
        <v>1747.2</v>
      </c>
      <c r="E1932" s="151">
        <v>44792</v>
      </c>
      <c r="F1932" s="176">
        <v>1747.2</v>
      </c>
      <c r="G1932" s="177">
        <f>Tabla19[[#This Row],[Importe]]-Tabla19[[#This Row],[Pagado]]</f>
        <v>0</v>
      </c>
      <c r="H1932" s="75" t="s">
        <v>10</v>
      </c>
    </row>
    <row r="1933" spans="1:8" x14ac:dyDescent="0.25">
      <c r="A1933" s="148">
        <v>44792</v>
      </c>
      <c r="B1933" s="149" t="s">
        <v>26657</v>
      </c>
      <c r="C1933" s="153" t="s">
        <v>555</v>
      </c>
      <c r="D1933" s="178">
        <v>21791.200000000001</v>
      </c>
      <c r="E1933" s="155">
        <v>44795</v>
      </c>
      <c r="F1933" s="178">
        <v>21791.200000000001</v>
      </c>
      <c r="G1933" s="179">
        <f>Tabla19[[#This Row],[Importe]]-Tabla19[[#This Row],[Pagado]]</f>
        <v>0</v>
      </c>
      <c r="H1933" s="153" t="s">
        <v>10</v>
      </c>
    </row>
    <row r="1934" spans="1:8" x14ac:dyDescent="0.25">
      <c r="A1934" s="73">
        <v>44792</v>
      </c>
      <c r="B1934" s="74" t="s">
        <v>26658</v>
      </c>
      <c r="C1934" s="75" t="s">
        <v>71</v>
      </c>
      <c r="D1934" s="176">
        <v>1309.8</v>
      </c>
      <c r="E1934" s="151">
        <v>44792</v>
      </c>
      <c r="F1934" s="176">
        <v>1309.8</v>
      </c>
      <c r="G1934" s="177">
        <f>Tabla19[[#This Row],[Importe]]-Tabla19[[#This Row],[Pagado]]</f>
        <v>0</v>
      </c>
      <c r="H1934" s="75" t="s">
        <v>10</v>
      </c>
    </row>
    <row r="1935" spans="1:8" x14ac:dyDescent="0.25">
      <c r="A1935" s="148">
        <v>44792</v>
      </c>
      <c r="B1935" s="149" t="s">
        <v>26659</v>
      </c>
      <c r="C1935" s="153" t="s">
        <v>53</v>
      </c>
      <c r="D1935" s="178">
        <v>695.2</v>
      </c>
      <c r="E1935" s="155">
        <v>44792</v>
      </c>
      <c r="F1935" s="178">
        <v>695.2</v>
      </c>
      <c r="G1935" s="179">
        <f>Tabla19[[#This Row],[Importe]]-Tabla19[[#This Row],[Pagado]]</f>
        <v>0</v>
      </c>
      <c r="H1935" s="153" t="s">
        <v>10</v>
      </c>
    </row>
    <row r="1936" spans="1:8" x14ac:dyDescent="0.25">
      <c r="A1936" s="73">
        <v>44792</v>
      </c>
      <c r="B1936" s="74" t="s">
        <v>26660</v>
      </c>
      <c r="C1936" s="75" t="s">
        <v>284</v>
      </c>
      <c r="D1936" s="176">
        <v>4079.4</v>
      </c>
      <c r="E1936" s="151">
        <v>44793</v>
      </c>
      <c r="F1936" s="176">
        <v>4079.4</v>
      </c>
      <c r="G1936" s="177">
        <f>Tabla19[[#This Row],[Importe]]-Tabla19[[#This Row],[Pagado]]</f>
        <v>0</v>
      </c>
      <c r="H1936" s="75" t="s">
        <v>10</v>
      </c>
    </row>
    <row r="1937" spans="1:8" x14ac:dyDescent="0.25">
      <c r="A1937" s="148">
        <v>44792</v>
      </c>
      <c r="B1937" s="149" t="s">
        <v>26661</v>
      </c>
      <c r="C1937" s="153" t="s">
        <v>282</v>
      </c>
      <c r="D1937" s="178">
        <v>2558.4</v>
      </c>
      <c r="E1937" s="155">
        <v>44793</v>
      </c>
      <c r="F1937" s="178">
        <v>2558.4</v>
      </c>
      <c r="G1937" s="179">
        <f>Tabla19[[#This Row],[Importe]]-Tabla19[[#This Row],[Pagado]]</f>
        <v>0</v>
      </c>
      <c r="H1937" s="153" t="s">
        <v>10</v>
      </c>
    </row>
    <row r="1938" spans="1:8" x14ac:dyDescent="0.25">
      <c r="A1938" s="73">
        <v>44792</v>
      </c>
      <c r="B1938" s="74" t="s">
        <v>26662</v>
      </c>
      <c r="C1938" s="75" t="s">
        <v>5345</v>
      </c>
      <c r="D1938" s="176">
        <v>3088.8</v>
      </c>
      <c r="E1938" s="151">
        <v>44793</v>
      </c>
      <c r="F1938" s="176">
        <v>3088.8</v>
      </c>
      <c r="G1938" s="177">
        <f>Tabla19[[#This Row],[Importe]]-Tabla19[[#This Row],[Pagado]]</f>
        <v>0</v>
      </c>
      <c r="H1938" s="75" t="s">
        <v>10</v>
      </c>
    </row>
    <row r="1939" spans="1:8" x14ac:dyDescent="0.25">
      <c r="A1939" s="148">
        <v>44792</v>
      </c>
      <c r="B1939" s="149" t="s">
        <v>26663</v>
      </c>
      <c r="C1939" s="153" t="s">
        <v>280</v>
      </c>
      <c r="D1939" s="178">
        <v>1318.2</v>
      </c>
      <c r="E1939" s="155">
        <v>44793</v>
      </c>
      <c r="F1939" s="178">
        <v>1318.2</v>
      </c>
      <c r="G1939" s="179">
        <f>Tabla19[[#This Row],[Importe]]-Tabla19[[#This Row],[Pagado]]</f>
        <v>0</v>
      </c>
      <c r="H1939" s="153" t="s">
        <v>10</v>
      </c>
    </row>
    <row r="1940" spans="1:8" x14ac:dyDescent="0.25">
      <c r="A1940" s="73">
        <v>44792</v>
      </c>
      <c r="B1940" s="74" t="s">
        <v>26664</v>
      </c>
      <c r="C1940" s="75" t="s">
        <v>365</v>
      </c>
      <c r="D1940" s="176">
        <v>1251.2</v>
      </c>
      <c r="E1940" s="151">
        <v>44792</v>
      </c>
      <c r="F1940" s="176">
        <v>1251.2</v>
      </c>
      <c r="G1940" s="177">
        <f>Tabla19[[#This Row],[Importe]]-Tabla19[[#This Row],[Pagado]]</f>
        <v>0</v>
      </c>
      <c r="H1940" s="75" t="s">
        <v>10</v>
      </c>
    </row>
    <row r="1941" spans="1:8" x14ac:dyDescent="0.25">
      <c r="A1941" s="148">
        <v>44792</v>
      </c>
      <c r="B1941" s="149" t="s">
        <v>26665</v>
      </c>
      <c r="C1941" s="153" t="s">
        <v>365</v>
      </c>
      <c r="D1941" s="178">
        <v>1386.5</v>
      </c>
      <c r="E1941" s="155">
        <v>44792</v>
      </c>
      <c r="F1941" s="178">
        <v>1386.5</v>
      </c>
      <c r="G1941" s="179">
        <f>Tabla19[[#This Row],[Importe]]-Tabla19[[#This Row],[Pagado]]</f>
        <v>0</v>
      </c>
      <c r="H1941" s="153" t="s">
        <v>10</v>
      </c>
    </row>
    <row r="1942" spans="1:8" x14ac:dyDescent="0.25">
      <c r="A1942" s="73">
        <v>44792</v>
      </c>
      <c r="B1942" s="74" t="s">
        <v>26666</v>
      </c>
      <c r="C1942" s="75" t="s">
        <v>179</v>
      </c>
      <c r="D1942" s="176">
        <v>2199.6</v>
      </c>
      <c r="E1942" s="151">
        <v>44793</v>
      </c>
      <c r="F1942" s="176">
        <v>2199.6</v>
      </c>
      <c r="G1942" s="177">
        <f>Tabla19[[#This Row],[Importe]]-Tabla19[[#This Row],[Pagado]]</f>
        <v>0</v>
      </c>
      <c r="H1942" s="75" t="s">
        <v>10</v>
      </c>
    </row>
    <row r="1943" spans="1:8" x14ac:dyDescent="0.25">
      <c r="A1943" s="148">
        <v>44792</v>
      </c>
      <c r="B1943" s="149" t="s">
        <v>26667</v>
      </c>
      <c r="C1943" s="153" t="s">
        <v>10819</v>
      </c>
      <c r="D1943" s="178">
        <v>1038.4000000000001</v>
      </c>
      <c r="E1943" s="155">
        <v>44793</v>
      </c>
      <c r="F1943" s="178">
        <v>1038.4000000000001</v>
      </c>
      <c r="G1943" s="179">
        <f>Tabla19[[#This Row],[Importe]]-Tabla19[[#This Row],[Pagado]]</f>
        <v>0</v>
      </c>
      <c r="H1943" s="153" t="s">
        <v>10</v>
      </c>
    </row>
    <row r="1944" spans="1:8" x14ac:dyDescent="0.25">
      <c r="A1944" s="73">
        <v>44792</v>
      </c>
      <c r="B1944" s="74" t="s">
        <v>26668</v>
      </c>
      <c r="C1944" s="75" t="s">
        <v>1421</v>
      </c>
      <c r="D1944" s="176">
        <v>14850</v>
      </c>
      <c r="E1944" s="151">
        <v>44792</v>
      </c>
      <c r="F1944" s="176">
        <v>14850</v>
      </c>
      <c r="G1944" s="177">
        <f>Tabla19[[#This Row],[Importe]]-Tabla19[[#This Row],[Pagado]]</f>
        <v>0</v>
      </c>
      <c r="H1944" s="75" t="s">
        <v>10</v>
      </c>
    </row>
    <row r="1945" spans="1:8" x14ac:dyDescent="0.25">
      <c r="A1945" s="148">
        <v>44792</v>
      </c>
      <c r="B1945" s="149" t="s">
        <v>26669</v>
      </c>
      <c r="C1945" s="153" t="s">
        <v>612</v>
      </c>
      <c r="D1945" s="178">
        <v>450</v>
      </c>
      <c r="E1945" s="155">
        <v>44792</v>
      </c>
      <c r="F1945" s="178">
        <v>450</v>
      </c>
      <c r="G1945" s="179">
        <f>Tabla19[[#This Row],[Importe]]-Tabla19[[#This Row],[Pagado]]</f>
        <v>0</v>
      </c>
      <c r="H1945" s="153" t="s">
        <v>10</v>
      </c>
    </row>
    <row r="1946" spans="1:8" x14ac:dyDescent="0.25">
      <c r="A1946" s="73">
        <v>44792</v>
      </c>
      <c r="B1946" s="74" t="s">
        <v>26670</v>
      </c>
      <c r="C1946" s="75" t="s">
        <v>69</v>
      </c>
      <c r="D1946" s="176">
        <v>1396.2</v>
      </c>
      <c r="E1946" s="151">
        <v>44792</v>
      </c>
      <c r="F1946" s="176">
        <v>1396.2</v>
      </c>
      <c r="G1946" s="177">
        <f>Tabla19[[#This Row],[Importe]]-Tabla19[[#This Row],[Pagado]]</f>
        <v>0</v>
      </c>
      <c r="H1946" s="75" t="s">
        <v>10</v>
      </c>
    </row>
    <row r="1947" spans="1:8" x14ac:dyDescent="0.25">
      <c r="A1947" s="148">
        <v>44792</v>
      </c>
      <c r="B1947" s="149" t="s">
        <v>26671</v>
      </c>
      <c r="C1947" s="153" t="s">
        <v>421</v>
      </c>
      <c r="D1947" s="178">
        <v>2137.1999999999998</v>
      </c>
      <c r="E1947" s="155">
        <v>44792</v>
      </c>
      <c r="F1947" s="178">
        <v>2137.1999999999998</v>
      </c>
      <c r="G1947" s="179">
        <f>Tabla19[[#This Row],[Importe]]-Tabla19[[#This Row],[Pagado]]</f>
        <v>0</v>
      </c>
      <c r="H1947" s="153" t="s">
        <v>10</v>
      </c>
    </row>
    <row r="1948" spans="1:8" x14ac:dyDescent="0.25">
      <c r="A1948" s="73">
        <v>44792</v>
      </c>
      <c r="B1948" s="74" t="s">
        <v>26672</v>
      </c>
      <c r="C1948" s="75" t="s">
        <v>10678</v>
      </c>
      <c r="D1948" s="176">
        <v>3849.9</v>
      </c>
      <c r="E1948" s="151">
        <v>44792</v>
      </c>
      <c r="F1948" s="176">
        <v>3849.9</v>
      </c>
      <c r="G1948" s="177">
        <f>Tabla19[[#This Row],[Importe]]-Tabla19[[#This Row],[Pagado]]</f>
        <v>0</v>
      </c>
      <c r="H1948" s="75" t="s">
        <v>10</v>
      </c>
    </row>
    <row r="1949" spans="1:8" x14ac:dyDescent="0.25">
      <c r="A1949" s="148">
        <v>44792</v>
      </c>
      <c r="B1949" s="149" t="s">
        <v>26673</v>
      </c>
      <c r="C1949" s="153" t="s">
        <v>10678</v>
      </c>
      <c r="D1949" s="178">
        <v>1960.4</v>
      </c>
      <c r="E1949" s="155">
        <v>44792</v>
      </c>
      <c r="F1949" s="178">
        <v>1960.4</v>
      </c>
      <c r="G1949" s="179">
        <f>Tabla19[[#This Row],[Importe]]-Tabla19[[#This Row],[Pagado]]</f>
        <v>0</v>
      </c>
      <c r="H1949" s="153" t="s">
        <v>10</v>
      </c>
    </row>
    <row r="1950" spans="1:8" x14ac:dyDescent="0.25">
      <c r="A1950" s="73">
        <v>44792</v>
      </c>
      <c r="B1950" s="74" t="s">
        <v>26674</v>
      </c>
      <c r="C1950" s="75" t="s">
        <v>31</v>
      </c>
      <c r="D1950" s="176">
        <v>52</v>
      </c>
      <c r="E1950" s="151">
        <v>44793</v>
      </c>
      <c r="F1950" s="176">
        <v>52</v>
      </c>
      <c r="G1950" s="177">
        <f>Tabla19[[#This Row],[Importe]]-Tabla19[[#This Row],[Pagado]]</f>
        <v>0</v>
      </c>
      <c r="H1950" s="75" t="s">
        <v>10</v>
      </c>
    </row>
    <row r="1951" spans="1:8" x14ac:dyDescent="0.25">
      <c r="A1951" s="148">
        <v>44792</v>
      </c>
      <c r="B1951" s="149" t="s">
        <v>26675</v>
      </c>
      <c r="C1951" s="153" t="s">
        <v>857</v>
      </c>
      <c r="D1951" s="178">
        <v>828</v>
      </c>
      <c r="E1951" s="155">
        <v>44792</v>
      </c>
      <c r="F1951" s="178">
        <v>828</v>
      </c>
      <c r="G1951" s="179">
        <f>Tabla19[[#This Row],[Importe]]-Tabla19[[#This Row],[Pagado]]</f>
        <v>0</v>
      </c>
      <c r="H1951" s="153" t="s">
        <v>10</v>
      </c>
    </row>
    <row r="1952" spans="1:8" x14ac:dyDescent="0.25">
      <c r="A1952" s="73">
        <v>44792</v>
      </c>
      <c r="B1952" s="74" t="s">
        <v>26676</v>
      </c>
      <c r="C1952" s="75" t="s">
        <v>31</v>
      </c>
      <c r="D1952" s="176">
        <v>345</v>
      </c>
      <c r="E1952" s="151">
        <v>44792</v>
      </c>
      <c r="F1952" s="176">
        <v>345</v>
      </c>
      <c r="G1952" s="177">
        <f>Tabla19[[#This Row],[Importe]]-Tabla19[[#This Row],[Pagado]]</f>
        <v>0</v>
      </c>
      <c r="H1952" s="75" t="s">
        <v>10</v>
      </c>
    </row>
    <row r="1953" spans="1:8" x14ac:dyDescent="0.25">
      <c r="A1953" s="148">
        <v>44792</v>
      </c>
      <c r="B1953" s="149" t="s">
        <v>26677</v>
      </c>
      <c r="C1953" s="153" t="s">
        <v>373</v>
      </c>
      <c r="D1953" s="178">
        <v>70</v>
      </c>
      <c r="E1953" s="155">
        <v>44792</v>
      </c>
      <c r="F1953" s="178">
        <v>70</v>
      </c>
      <c r="G1953" s="179">
        <f>Tabla19[[#This Row],[Importe]]-Tabla19[[#This Row],[Pagado]]</f>
        <v>0</v>
      </c>
      <c r="H1953" s="153" t="s">
        <v>10</v>
      </c>
    </row>
    <row r="1954" spans="1:8" x14ac:dyDescent="0.25">
      <c r="A1954" s="73">
        <v>44792</v>
      </c>
      <c r="B1954" s="74" t="s">
        <v>26678</v>
      </c>
      <c r="C1954" s="75" t="s">
        <v>3747</v>
      </c>
      <c r="D1954" s="176">
        <v>18339</v>
      </c>
      <c r="E1954" s="151">
        <v>44792</v>
      </c>
      <c r="F1954" s="176">
        <v>18339</v>
      </c>
      <c r="G1954" s="177">
        <f>Tabla19[[#This Row],[Importe]]-Tabla19[[#This Row],[Pagado]]</f>
        <v>0</v>
      </c>
      <c r="H1954" s="75" t="s">
        <v>10</v>
      </c>
    </row>
    <row r="1955" spans="1:8" x14ac:dyDescent="0.25">
      <c r="A1955" s="148">
        <v>44792</v>
      </c>
      <c r="B1955" s="149" t="s">
        <v>26679</v>
      </c>
      <c r="C1955" s="153" t="s">
        <v>9827</v>
      </c>
      <c r="D1955" s="178">
        <v>4847.8</v>
      </c>
      <c r="E1955" s="155">
        <v>44792</v>
      </c>
      <c r="F1955" s="178">
        <v>4847.8</v>
      </c>
      <c r="G1955" s="179">
        <f>Tabla19[[#This Row],[Importe]]-Tabla19[[#This Row],[Pagado]]</f>
        <v>0</v>
      </c>
      <c r="H1955" s="153" t="s">
        <v>10</v>
      </c>
    </row>
    <row r="1956" spans="1:8" x14ac:dyDescent="0.25">
      <c r="A1956" s="73">
        <v>44792</v>
      </c>
      <c r="B1956" s="74" t="s">
        <v>26680</v>
      </c>
      <c r="C1956" s="75" t="s">
        <v>56</v>
      </c>
      <c r="D1956" s="176">
        <v>3525.6</v>
      </c>
      <c r="E1956" s="151">
        <v>44792</v>
      </c>
      <c r="F1956" s="176">
        <v>3525.6</v>
      </c>
      <c r="G1956" s="177">
        <f>Tabla19[[#This Row],[Importe]]-Tabla19[[#This Row],[Pagado]]</f>
        <v>0</v>
      </c>
      <c r="H1956" s="75" t="s">
        <v>10</v>
      </c>
    </row>
    <row r="1957" spans="1:8" x14ac:dyDescent="0.25">
      <c r="A1957" s="148">
        <v>44792</v>
      </c>
      <c r="B1957" s="149" t="s">
        <v>26681</v>
      </c>
      <c r="C1957" s="153" t="s">
        <v>224</v>
      </c>
      <c r="D1957" s="178">
        <v>1859.8</v>
      </c>
      <c r="E1957" s="155">
        <v>44792</v>
      </c>
      <c r="F1957" s="178">
        <v>1859.8</v>
      </c>
      <c r="G1957" s="179">
        <f>Tabla19[[#This Row],[Importe]]-Tabla19[[#This Row],[Pagado]]</f>
        <v>0</v>
      </c>
      <c r="H1957" s="153" t="s">
        <v>10</v>
      </c>
    </row>
    <row r="1958" spans="1:8" x14ac:dyDescent="0.25">
      <c r="A1958" s="73">
        <v>44792</v>
      </c>
      <c r="B1958" s="74" t="s">
        <v>26682</v>
      </c>
      <c r="C1958" s="75" t="s">
        <v>470</v>
      </c>
      <c r="D1958" s="176">
        <v>8761.2000000000007</v>
      </c>
      <c r="E1958" s="151">
        <v>44793</v>
      </c>
      <c r="F1958" s="176">
        <v>8761.2000000000007</v>
      </c>
      <c r="G1958" s="177">
        <f>Tabla19[[#This Row],[Importe]]-Tabla19[[#This Row],[Pagado]]</f>
        <v>0</v>
      </c>
      <c r="H1958" s="75" t="s">
        <v>10</v>
      </c>
    </row>
    <row r="1959" spans="1:8" x14ac:dyDescent="0.25">
      <c r="A1959" s="148">
        <v>44792</v>
      </c>
      <c r="B1959" s="149" t="s">
        <v>26683</v>
      </c>
      <c r="C1959" s="153" t="s">
        <v>275</v>
      </c>
      <c r="D1959" s="178">
        <v>210458.71</v>
      </c>
      <c r="E1959" s="155">
        <v>44819</v>
      </c>
      <c r="F1959" s="178">
        <v>210458.71</v>
      </c>
      <c r="G1959" s="179">
        <f>Tabla19[[#This Row],[Importe]]-Tabla19[[#This Row],[Pagado]]</f>
        <v>0</v>
      </c>
      <c r="H1959" s="153" t="s">
        <v>10</v>
      </c>
    </row>
    <row r="1960" spans="1:8" x14ac:dyDescent="0.25">
      <c r="A1960" s="73">
        <v>44792</v>
      </c>
      <c r="B1960" s="74" t="s">
        <v>26684</v>
      </c>
      <c r="C1960" s="75" t="s">
        <v>26685</v>
      </c>
      <c r="D1960" s="176">
        <v>0</v>
      </c>
      <c r="E1960" s="157" t="s">
        <v>189</v>
      </c>
      <c r="F1960" s="176">
        <v>0</v>
      </c>
      <c r="G1960" s="177">
        <f>Tabla19[[#This Row],[Importe]]-Tabla19[[#This Row],[Pagado]]</f>
        <v>0</v>
      </c>
      <c r="H1960" s="161" t="s">
        <v>26686</v>
      </c>
    </row>
    <row r="1961" spans="1:8" x14ac:dyDescent="0.25">
      <c r="A1961" s="148">
        <v>44792</v>
      </c>
      <c r="B1961" s="149" t="s">
        <v>26687</v>
      </c>
      <c r="C1961" s="153" t="s">
        <v>4027</v>
      </c>
      <c r="D1961" s="178">
        <v>683</v>
      </c>
      <c r="E1961" s="155">
        <v>44793</v>
      </c>
      <c r="F1961" s="178">
        <v>683</v>
      </c>
      <c r="G1961" s="179">
        <f>Tabla19[[#This Row],[Importe]]-Tabla19[[#This Row],[Pagado]]</f>
        <v>0</v>
      </c>
      <c r="H1961" s="153" t="s">
        <v>10</v>
      </c>
    </row>
    <row r="1962" spans="1:8" x14ac:dyDescent="0.25">
      <c r="A1962" s="73">
        <v>44793</v>
      </c>
      <c r="B1962" s="74" t="s">
        <v>26688</v>
      </c>
      <c r="C1962" s="75" t="s">
        <v>887</v>
      </c>
      <c r="D1962" s="176">
        <v>21801</v>
      </c>
      <c r="E1962" s="151">
        <v>44793</v>
      </c>
      <c r="F1962" s="176">
        <v>21801</v>
      </c>
      <c r="G1962" s="177">
        <f>Tabla19[[#This Row],[Importe]]-Tabla19[[#This Row],[Pagado]]</f>
        <v>0</v>
      </c>
      <c r="H1962" s="75" t="s">
        <v>10</v>
      </c>
    </row>
    <row r="1963" spans="1:8" x14ac:dyDescent="0.25">
      <c r="A1963" s="148">
        <v>44793</v>
      </c>
      <c r="B1963" s="149" t="s">
        <v>26689</v>
      </c>
      <c r="C1963" s="153" t="s">
        <v>475</v>
      </c>
      <c r="D1963" s="178">
        <v>72013.899999999994</v>
      </c>
      <c r="E1963" s="155">
        <v>44795</v>
      </c>
      <c r="F1963" s="178">
        <v>72013.899999999994</v>
      </c>
      <c r="G1963" s="179">
        <f>Tabla19[[#This Row],[Importe]]-Tabla19[[#This Row],[Pagado]]</f>
        <v>0</v>
      </c>
      <c r="H1963" s="153" t="s">
        <v>10</v>
      </c>
    </row>
    <row r="1964" spans="1:8" x14ac:dyDescent="0.25">
      <c r="A1964" s="73">
        <v>44793</v>
      </c>
      <c r="B1964" s="74" t="s">
        <v>26690</v>
      </c>
      <c r="C1964" s="75" t="s">
        <v>12</v>
      </c>
      <c r="D1964" s="176">
        <v>27333.65</v>
      </c>
      <c r="E1964" s="151">
        <v>44793</v>
      </c>
      <c r="F1964" s="176">
        <v>27333.65</v>
      </c>
      <c r="G1964" s="177">
        <f>Tabla19[[#This Row],[Importe]]-Tabla19[[#This Row],[Pagado]]</f>
        <v>0</v>
      </c>
      <c r="H1964" s="75" t="s">
        <v>10</v>
      </c>
    </row>
    <row r="1965" spans="1:8" x14ac:dyDescent="0.25">
      <c r="A1965" s="148">
        <v>44793</v>
      </c>
      <c r="B1965" s="149" t="s">
        <v>26691</v>
      </c>
      <c r="C1965" s="153" t="s">
        <v>60</v>
      </c>
      <c r="D1965" s="178">
        <v>5674.5</v>
      </c>
      <c r="E1965" s="155">
        <v>44800</v>
      </c>
      <c r="F1965" s="178">
        <v>5674.5</v>
      </c>
      <c r="G1965" s="179">
        <f>Tabla19[[#This Row],[Importe]]-Tabla19[[#This Row],[Pagado]]</f>
        <v>0</v>
      </c>
      <c r="H1965" s="153" t="s">
        <v>10</v>
      </c>
    </row>
    <row r="1966" spans="1:8" x14ac:dyDescent="0.25">
      <c r="A1966" s="73">
        <v>44793</v>
      </c>
      <c r="B1966" s="74" t="s">
        <v>26692</v>
      </c>
      <c r="C1966" s="75" t="s">
        <v>2563</v>
      </c>
      <c r="D1966" s="176">
        <v>5109</v>
      </c>
      <c r="E1966" s="151">
        <v>44795</v>
      </c>
      <c r="F1966" s="176">
        <v>5109</v>
      </c>
      <c r="G1966" s="177">
        <f>Tabla19[[#This Row],[Importe]]-Tabla19[[#This Row],[Pagado]]</f>
        <v>0</v>
      </c>
      <c r="H1966" s="75" t="s">
        <v>10</v>
      </c>
    </row>
    <row r="1967" spans="1:8" x14ac:dyDescent="0.25">
      <c r="A1967" s="148">
        <v>44793</v>
      </c>
      <c r="B1967" s="149" t="s">
        <v>26693</v>
      </c>
      <c r="C1967" s="153" t="s">
        <v>5043</v>
      </c>
      <c r="D1967" s="178">
        <v>5083</v>
      </c>
      <c r="E1967" s="155">
        <v>44797</v>
      </c>
      <c r="F1967" s="178">
        <v>5083</v>
      </c>
      <c r="G1967" s="179">
        <f>Tabla19[[#This Row],[Importe]]-Tabla19[[#This Row],[Pagado]]</f>
        <v>0</v>
      </c>
      <c r="H1967" s="153" t="s">
        <v>10</v>
      </c>
    </row>
    <row r="1968" spans="1:8" x14ac:dyDescent="0.25">
      <c r="A1968" s="73">
        <v>44793</v>
      </c>
      <c r="B1968" s="74" t="s">
        <v>26694</v>
      </c>
      <c r="C1968" s="75" t="s">
        <v>109</v>
      </c>
      <c r="D1968" s="176">
        <v>11686.5</v>
      </c>
      <c r="E1968" s="151">
        <v>44795</v>
      </c>
      <c r="F1968" s="176">
        <v>11686.5</v>
      </c>
      <c r="G1968" s="177">
        <f>Tabla19[[#This Row],[Importe]]-Tabla19[[#This Row],[Pagado]]</f>
        <v>0</v>
      </c>
      <c r="H1968" s="75" t="s">
        <v>10</v>
      </c>
    </row>
    <row r="1969" spans="1:8" x14ac:dyDescent="0.25">
      <c r="A1969" s="148">
        <v>44793</v>
      </c>
      <c r="B1969" s="149" t="s">
        <v>26695</v>
      </c>
      <c r="C1969" s="153" t="s">
        <v>64</v>
      </c>
      <c r="D1969" s="178">
        <v>10900.5</v>
      </c>
      <c r="E1969" s="155">
        <v>44795</v>
      </c>
      <c r="F1969" s="178">
        <v>10900.5</v>
      </c>
      <c r="G1969" s="179">
        <f>Tabla19[[#This Row],[Importe]]-Tabla19[[#This Row],[Pagado]]</f>
        <v>0</v>
      </c>
      <c r="H1969" s="153" t="s">
        <v>10</v>
      </c>
    </row>
    <row r="1970" spans="1:8" x14ac:dyDescent="0.25">
      <c r="A1970" s="73">
        <v>44793</v>
      </c>
      <c r="B1970" s="74" t="s">
        <v>26696</v>
      </c>
      <c r="C1970" s="75" t="s">
        <v>93</v>
      </c>
      <c r="D1970" s="176">
        <v>18104.3</v>
      </c>
      <c r="E1970" s="151">
        <v>44796</v>
      </c>
      <c r="F1970" s="176">
        <v>18104.3</v>
      </c>
      <c r="G1970" s="177">
        <f>Tabla19[[#This Row],[Importe]]-Tabla19[[#This Row],[Pagado]]</f>
        <v>0</v>
      </c>
      <c r="H1970" s="75" t="s">
        <v>10</v>
      </c>
    </row>
    <row r="1971" spans="1:8" x14ac:dyDescent="0.25">
      <c r="A1971" s="148">
        <v>44793</v>
      </c>
      <c r="B1971" s="149" t="s">
        <v>26697</v>
      </c>
      <c r="C1971" s="153" t="s">
        <v>89</v>
      </c>
      <c r="D1971" s="178">
        <v>16866.400000000001</v>
      </c>
      <c r="E1971" s="155">
        <v>44795</v>
      </c>
      <c r="F1971" s="178">
        <v>16866.400000000001</v>
      </c>
      <c r="G1971" s="179">
        <f>Tabla19[[#This Row],[Importe]]-Tabla19[[#This Row],[Pagado]]</f>
        <v>0</v>
      </c>
      <c r="H1971" s="153" t="s">
        <v>10</v>
      </c>
    </row>
    <row r="1972" spans="1:8" x14ac:dyDescent="0.25">
      <c r="A1972" s="73">
        <v>44793</v>
      </c>
      <c r="B1972" s="74" t="s">
        <v>26698</v>
      </c>
      <c r="C1972" s="75" t="s">
        <v>326</v>
      </c>
      <c r="D1972" s="176">
        <v>15788.5</v>
      </c>
      <c r="E1972" s="151">
        <v>44795</v>
      </c>
      <c r="F1972" s="176">
        <v>15788.5</v>
      </c>
      <c r="G1972" s="177">
        <f>Tabla19[[#This Row],[Importe]]-Tabla19[[#This Row],[Pagado]]</f>
        <v>0</v>
      </c>
      <c r="H1972" s="75" t="s">
        <v>10</v>
      </c>
    </row>
    <row r="1973" spans="1:8" x14ac:dyDescent="0.25">
      <c r="A1973" s="148">
        <v>44793</v>
      </c>
      <c r="B1973" s="149" t="s">
        <v>26699</v>
      </c>
      <c r="C1973" s="153" t="s">
        <v>9</v>
      </c>
      <c r="D1973" s="178">
        <v>10510.8</v>
      </c>
      <c r="E1973" s="155">
        <v>44793</v>
      </c>
      <c r="F1973" s="178">
        <v>10510.8</v>
      </c>
      <c r="G1973" s="179">
        <f>Tabla19[[#This Row],[Importe]]-Tabla19[[#This Row],[Pagado]]</f>
        <v>0</v>
      </c>
      <c r="H1973" s="153" t="s">
        <v>10</v>
      </c>
    </row>
    <row r="1974" spans="1:8" x14ac:dyDescent="0.25">
      <c r="A1974" s="73">
        <v>44793</v>
      </c>
      <c r="B1974" s="74" t="s">
        <v>26700</v>
      </c>
      <c r="C1974" s="75" t="s">
        <v>345</v>
      </c>
      <c r="D1974" s="176">
        <v>1317</v>
      </c>
      <c r="E1974" s="151">
        <v>44793</v>
      </c>
      <c r="F1974" s="176">
        <v>1317</v>
      </c>
      <c r="G1974" s="177">
        <f>Tabla19[[#This Row],[Importe]]-Tabla19[[#This Row],[Pagado]]</f>
        <v>0</v>
      </c>
      <c r="H1974" s="75" t="s">
        <v>10</v>
      </c>
    </row>
    <row r="1975" spans="1:8" x14ac:dyDescent="0.25">
      <c r="A1975" s="148">
        <v>44793</v>
      </c>
      <c r="B1975" s="149" t="s">
        <v>26701</v>
      </c>
      <c r="C1975" s="153" t="s">
        <v>2151</v>
      </c>
      <c r="D1975" s="178">
        <v>45232.800000000003</v>
      </c>
      <c r="E1975" s="155">
        <v>44793</v>
      </c>
      <c r="F1975" s="178">
        <v>45232.800000000003</v>
      </c>
      <c r="G1975" s="179">
        <f>Tabla19[[#This Row],[Importe]]-Tabla19[[#This Row],[Pagado]]</f>
        <v>0</v>
      </c>
      <c r="H1975" s="153" t="s">
        <v>10</v>
      </c>
    </row>
    <row r="1976" spans="1:8" x14ac:dyDescent="0.25">
      <c r="A1976" s="73">
        <v>44793</v>
      </c>
      <c r="B1976" s="74" t="s">
        <v>26702</v>
      </c>
      <c r="C1976" s="75" t="s">
        <v>22</v>
      </c>
      <c r="D1976" s="176">
        <v>46060.3</v>
      </c>
      <c r="E1976" s="151">
        <v>44794</v>
      </c>
      <c r="F1976" s="176">
        <v>46060.3</v>
      </c>
      <c r="G1976" s="177">
        <f>Tabla19[[#This Row],[Importe]]-Tabla19[[#This Row],[Pagado]]</f>
        <v>0</v>
      </c>
      <c r="H1976" s="75" t="s">
        <v>10</v>
      </c>
    </row>
    <row r="1977" spans="1:8" x14ac:dyDescent="0.25">
      <c r="A1977" s="148">
        <v>44793</v>
      </c>
      <c r="B1977" s="149" t="s">
        <v>26703</v>
      </c>
      <c r="C1977" s="153" t="s">
        <v>1187</v>
      </c>
      <c r="D1977" s="178">
        <v>1097.0999999999999</v>
      </c>
      <c r="E1977" s="155">
        <v>44793</v>
      </c>
      <c r="F1977" s="178">
        <v>1097.0999999999999</v>
      </c>
      <c r="G1977" s="179">
        <f>Tabla19[[#This Row],[Importe]]-Tabla19[[#This Row],[Pagado]]</f>
        <v>0</v>
      </c>
      <c r="H1977" s="153" t="s">
        <v>10</v>
      </c>
    </row>
    <row r="1978" spans="1:8" x14ac:dyDescent="0.25">
      <c r="A1978" s="73">
        <v>44793</v>
      </c>
      <c r="B1978" s="74" t="s">
        <v>26704</v>
      </c>
      <c r="C1978" s="75" t="s">
        <v>114</v>
      </c>
      <c r="D1978" s="176">
        <v>19153.3</v>
      </c>
      <c r="E1978" s="151">
        <v>44795</v>
      </c>
      <c r="F1978" s="176">
        <v>19153.3</v>
      </c>
      <c r="G1978" s="177">
        <f>Tabla19[[#This Row],[Importe]]-Tabla19[[#This Row],[Pagado]]</f>
        <v>0</v>
      </c>
      <c r="H1978" s="75" t="s">
        <v>10</v>
      </c>
    </row>
    <row r="1979" spans="1:8" x14ac:dyDescent="0.25">
      <c r="A1979" s="148">
        <v>44793</v>
      </c>
      <c r="B1979" s="149" t="s">
        <v>26705</v>
      </c>
      <c r="C1979" s="153" t="s">
        <v>105</v>
      </c>
      <c r="D1979" s="178">
        <v>14035</v>
      </c>
      <c r="E1979" s="155">
        <v>44795</v>
      </c>
      <c r="F1979" s="178">
        <v>14035</v>
      </c>
      <c r="G1979" s="179">
        <f>Tabla19[[#This Row],[Importe]]-Tabla19[[#This Row],[Pagado]]</f>
        <v>0</v>
      </c>
      <c r="H1979" s="153" t="s">
        <v>10</v>
      </c>
    </row>
    <row r="1980" spans="1:8" x14ac:dyDescent="0.25">
      <c r="A1980" s="73">
        <v>44793</v>
      </c>
      <c r="B1980" s="74" t="s">
        <v>26706</v>
      </c>
      <c r="C1980" s="75" t="s">
        <v>111</v>
      </c>
      <c r="D1980" s="176">
        <v>11960.4</v>
      </c>
      <c r="E1980" s="151">
        <v>44795</v>
      </c>
      <c r="F1980" s="176">
        <v>11960.4</v>
      </c>
      <c r="G1980" s="177">
        <f>Tabla19[[#This Row],[Importe]]-Tabla19[[#This Row],[Pagado]]</f>
        <v>0</v>
      </c>
      <c r="H1980" s="75" t="s">
        <v>10</v>
      </c>
    </row>
    <row r="1981" spans="1:8" x14ac:dyDescent="0.25">
      <c r="A1981" s="148">
        <v>44793</v>
      </c>
      <c r="B1981" s="149" t="s">
        <v>26707</v>
      </c>
      <c r="C1981" s="153" t="s">
        <v>97</v>
      </c>
      <c r="D1981" s="178">
        <v>18690.5</v>
      </c>
      <c r="E1981" s="155">
        <v>44795</v>
      </c>
      <c r="F1981" s="178">
        <v>18690.5</v>
      </c>
      <c r="G1981" s="179">
        <f>Tabla19[[#This Row],[Importe]]-Tabla19[[#This Row],[Pagado]]</f>
        <v>0</v>
      </c>
      <c r="H1981" s="153" t="s">
        <v>10</v>
      </c>
    </row>
    <row r="1982" spans="1:8" x14ac:dyDescent="0.25">
      <c r="A1982" s="73">
        <v>44793</v>
      </c>
      <c r="B1982" s="74" t="s">
        <v>26708</v>
      </c>
      <c r="C1982" s="75" t="s">
        <v>348</v>
      </c>
      <c r="D1982" s="176">
        <v>14755.2</v>
      </c>
      <c r="E1982" s="151">
        <v>44793</v>
      </c>
      <c r="F1982" s="176">
        <v>14755.2</v>
      </c>
      <c r="G1982" s="177">
        <f>Tabla19[[#This Row],[Importe]]-Tabla19[[#This Row],[Pagado]]</f>
        <v>0</v>
      </c>
      <c r="H1982" s="75" t="s">
        <v>10</v>
      </c>
    </row>
    <row r="1983" spans="1:8" x14ac:dyDescent="0.25">
      <c r="A1983" s="148">
        <v>44793</v>
      </c>
      <c r="B1983" s="149" t="s">
        <v>26709</v>
      </c>
      <c r="C1983" s="153" t="s">
        <v>26710</v>
      </c>
      <c r="D1983" s="178">
        <v>0</v>
      </c>
      <c r="E1983" s="158" t="s">
        <v>189</v>
      </c>
      <c r="F1983" s="178">
        <v>0</v>
      </c>
      <c r="G1983" s="179">
        <f>Tabla19[[#This Row],[Importe]]-Tabla19[[#This Row],[Pagado]]</f>
        <v>0</v>
      </c>
      <c r="H1983" s="159" t="s">
        <v>26711</v>
      </c>
    </row>
    <row r="1984" spans="1:8" ht="31.5" x14ac:dyDescent="0.25">
      <c r="A1984" s="73">
        <v>44793</v>
      </c>
      <c r="B1984" s="74" t="s">
        <v>26712</v>
      </c>
      <c r="C1984" s="75" t="s">
        <v>99</v>
      </c>
      <c r="D1984" s="176">
        <v>17301.900000000001</v>
      </c>
      <c r="E1984" s="147" t="s">
        <v>26713</v>
      </c>
      <c r="F1984" s="176">
        <f>12000+5301.9</f>
        <v>17301.900000000001</v>
      </c>
      <c r="G1984" s="177">
        <f>Tabla19[[#This Row],[Importe]]-Tabla19[[#This Row],[Pagado]]</f>
        <v>0</v>
      </c>
      <c r="H1984" s="75" t="s">
        <v>10</v>
      </c>
    </row>
    <row r="1985" spans="1:8" x14ac:dyDescent="0.25">
      <c r="A1985" s="148">
        <v>44793</v>
      </c>
      <c r="B1985" s="149" t="s">
        <v>26714</v>
      </c>
      <c r="C1985" s="153" t="s">
        <v>924</v>
      </c>
      <c r="D1985" s="178">
        <v>17383.3</v>
      </c>
      <c r="E1985" s="155">
        <v>44793</v>
      </c>
      <c r="F1985" s="178">
        <v>17383.3</v>
      </c>
      <c r="G1985" s="179">
        <f>Tabla19[[#This Row],[Importe]]-Tabla19[[#This Row],[Pagado]]</f>
        <v>0</v>
      </c>
      <c r="H1985" s="153" t="s">
        <v>10</v>
      </c>
    </row>
    <row r="1986" spans="1:8" x14ac:dyDescent="0.25">
      <c r="A1986" s="73">
        <v>44793</v>
      </c>
      <c r="B1986" s="74" t="s">
        <v>26715</v>
      </c>
      <c r="C1986" s="75" t="s">
        <v>127</v>
      </c>
      <c r="D1986" s="176">
        <v>6696</v>
      </c>
      <c r="E1986" s="151">
        <v>44793</v>
      </c>
      <c r="F1986" s="176">
        <v>6696</v>
      </c>
      <c r="G1986" s="177">
        <f>Tabla19[[#This Row],[Importe]]-Tabla19[[#This Row],[Pagado]]</f>
        <v>0</v>
      </c>
      <c r="H1986" s="75" t="s">
        <v>10</v>
      </c>
    </row>
    <row r="1987" spans="1:8" x14ac:dyDescent="0.25">
      <c r="A1987" s="148">
        <v>44793</v>
      </c>
      <c r="B1987" s="149" t="s">
        <v>26716</v>
      </c>
      <c r="C1987" s="153" t="s">
        <v>129</v>
      </c>
      <c r="D1987" s="178">
        <v>6210.4</v>
      </c>
      <c r="E1987" s="155">
        <v>44793</v>
      </c>
      <c r="F1987" s="178">
        <v>6210.4</v>
      </c>
      <c r="G1987" s="179">
        <f>Tabla19[[#This Row],[Importe]]-Tabla19[[#This Row],[Pagado]]</f>
        <v>0</v>
      </c>
      <c r="H1987" s="153" t="s">
        <v>10</v>
      </c>
    </row>
    <row r="1988" spans="1:8" x14ac:dyDescent="0.25">
      <c r="A1988" s="73">
        <v>44793</v>
      </c>
      <c r="B1988" s="74" t="s">
        <v>26717</v>
      </c>
      <c r="C1988" s="75" t="s">
        <v>140</v>
      </c>
      <c r="D1988" s="176">
        <v>1177.0999999999999</v>
      </c>
      <c r="E1988" s="151">
        <v>44793</v>
      </c>
      <c r="F1988" s="176">
        <v>1177.0999999999999</v>
      </c>
      <c r="G1988" s="177">
        <f>Tabla19[[#This Row],[Importe]]-Tabla19[[#This Row],[Pagado]]</f>
        <v>0</v>
      </c>
      <c r="H1988" s="75" t="s">
        <v>10</v>
      </c>
    </row>
    <row r="1989" spans="1:8" x14ac:dyDescent="0.25">
      <c r="A1989" s="148">
        <v>44793</v>
      </c>
      <c r="B1989" s="149" t="s">
        <v>26718</v>
      </c>
      <c r="C1989" s="153" t="s">
        <v>17556</v>
      </c>
      <c r="D1989" s="178">
        <v>7899.1</v>
      </c>
      <c r="E1989" s="155">
        <v>44793</v>
      </c>
      <c r="F1989" s="178">
        <v>7899.1</v>
      </c>
      <c r="G1989" s="179">
        <f>Tabla19[[#This Row],[Importe]]-Tabla19[[#This Row],[Pagado]]</f>
        <v>0</v>
      </c>
      <c r="H1989" s="153" t="s">
        <v>10</v>
      </c>
    </row>
    <row r="1990" spans="1:8" x14ac:dyDescent="0.25">
      <c r="A1990" s="73">
        <v>44793</v>
      </c>
      <c r="B1990" s="74" t="s">
        <v>26719</v>
      </c>
      <c r="C1990" s="75" t="s">
        <v>18</v>
      </c>
      <c r="D1990" s="176">
        <v>584.6</v>
      </c>
      <c r="E1990" s="151">
        <v>44793</v>
      </c>
      <c r="F1990" s="176">
        <v>584.6</v>
      </c>
      <c r="G1990" s="177">
        <f>Tabla19[[#This Row],[Importe]]-Tabla19[[#This Row],[Pagado]]</f>
        <v>0</v>
      </c>
      <c r="H1990" s="75" t="s">
        <v>10</v>
      </c>
    </row>
    <row r="1991" spans="1:8" x14ac:dyDescent="0.25">
      <c r="A1991" s="148">
        <v>44793</v>
      </c>
      <c r="B1991" s="149" t="s">
        <v>26720</v>
      </c>
      <c r="C1991" s="153" t="s">
        <v>127</v>
      </c>
      <c r="D1991" s="178">
        <v>529.29999999999995</v>
      </c>
      <c r="E1991" s="155">
        <v>44793</v>
      </c>
      <c r="F1991" s="178">
        <v>529.29999999999995</v>
      </c>
      <c r="G1991" s="179">
        <f>Tabla19[[#This Row],[Importe]]-Tabla19[[#This Row],[Pagado]]</f>
        <v>0</v>
      </c>
      <c r="H1991" s="153" t="s">
        <v>10</v>
      </c>
    </row>
    <row r="1992" spans="1:8" x14ac:dyDescent="0.25">
      <c r="A1992" s="73">
        <v>44793</v>
      </c>
      <c r="B1992" s="74" t="s">
        <v>26721</v>
      </c>
      <c r="C1992" s="75" t="s">
        <v>79</v>
      </c>
      <c r="D1992" s="176">
        <v>25461.599999999999</v>
      </c>
      <c r="E1992" s="151">
        <v>44793</v>
      </c>
      <c r="F1992" s="176">
        <v>25461.599999999999</v>
      </c>
      <c r="G1992" s="177">
        <f>Tabla19[[#This Row],[Importe]]-Tabla19[[#This Row],[Pagado]]</f>
        <v>0</v>
      </c>
      <c r="H1992" s="75" t="s">
        <v>10</v>
      </c>
    </row>
    <row r="1993" spans="1:8" x14ac:dyDescent="0.25">
      <c r="A1993" s="148">
        <v>44793</v>
      </c>
      <c r="B1993" s="149" t="s">
        <v>26722</v>
      </c>
      <c r="C1993" s="153" t="s">
        <v>87</v>
      </c>
      <c r="D1993" s="178">
        <v>3340.2</v>
      </c>
      <c r="E1993" s="155">
        <v>44793</v>
      </c>
      <c r="F1993" s="178">
        <v>3340.2</v>
      </c>
      <c r="G1993" s="179">
        <f>Tabla19[[#This Row],[Importe]]-Tabla19[[#This Row],[Pagado]]</f>
        <v>0</v>
      </c>
      <c r="H1993" s="153" t="s">
        <v>10</v>
      </c>
    </row>
    <row r="1994" spans="1:8" x14ac:dyDescent="0.25">
      <c r="A1994" s="73">
        <v>44793</v>
      </c>
      <c r="B1994" s="74" t="s">
        <v>26723</v>
      </c>
      <c r="C1994" s="75" t="s">
        <v>79</v>
      </c>
      <c r="D1994" s="176">
        <v>880</v>
      </c>
      <c r="E1994" s="151">
        <v>44793</v>
      </c>
      <c r="F1994" s="176">
        <v>880</v>
      </c>
      <c r="G1994" s="177">
        <f>Tabla19[[#This Row],[Importe]]-Tabla19[[#This Row],[Pagado]]</f>
        <v>0</v>
      </c>
      <c r="H1994" s="75" t="s">
        <v>10</v>
      </c>
    </row>
    <row r="1995" spans="1:8" x14ac:dyDescent="0.25">
      <c r="A1995" s="148">
        <v>44793</v>
      </c>
      <c r="B1995" s="149" t="s">
        <v>26724</v>
      </c>
      <c r="C1995" s="153" t="s">
        <v>146</v>
      </c>
      <c r="D1995" s="178">
        <v>13275.6</v>
      </c>
      <c r="E1995" s="155">
        <v>44793</v>
      </c>
      <c r="F1995" s="178">
        <v>13275.6</v>
      </c>
      <c r="G1995" s="179">
        <f>Tabla19[[#This Row],[Importe]]-Tabla19[[#This Row],[Pagado]]</f>
        <v>0</v>
      </c>
      <c r="H1995" s="153" t="s">
        <v>10</v>
      </c>
    </row>
    <row r="1996" spans="1:8" x14ac:dyDescent="0.25">
      <c r="A1996" s="73">
        <v>44793</v>
      </c>
      <c r="B1996" s="74" t="s">
        <v>26725</v>
      </c>
      <c r="C1996" s="75" t="s">
        <v>161</v>
      </c>
      <c r="D1996" s="176">
        <v>4491.8</v>
      </c>
      <c r="E1996" s="151">
        <v>44793</v>
      </c>
      <c r="F1996" s="176">
        <v>4491.8</v>
      </c>
      <c r="G1996" s="177">
        <f>Tabla19[[#This Row],[Importe]]-Tabla19[[#This Row],[Pagado]]</f>
        <v>0</v>
      </c>
      <c r="H1996" s="75" t="s">
        <v>10</v>
      </c>
    </row>
    <row r="1997" spans="1:8" x14ac:dyDescent="0.25">
      <c r="A1997" s="148">
        <v>44793</v>
      </c>
      <c r="B1997" s="149" t="s">
        <v>26726</v>
      </c>
      <c r="C1997" s="153" t="s">
        <v>314</v>
      </c>
      <c r="D1997" s="178">
        <v>4758</v>
      </c>
      <c r="E1997" s="155">
        <v>44793</v>
      </c>
      <c r="F1997" s="178">
        <v>4758</v>
      </c>
      <c r="G1997" s="179">
        <f>Tabla19[[#This Row],[Importe]]-Tabla19[[#This Row],[Pagado]]</f>
        <v>0</v>
      </c>
      <c r="H1997" s="153" t="s">
        <v>10</v>
      </c>
    </row>
    <row r="1998" spans="1:8" x14ac:dyDescent="0.25">
      <c r="A1998" s="73">
        <v>44793</v>
      </c>
      <c r="B1998" s="74" t="s">
        <v>26727</v>
      </c>
      <c r="C1998" s="75" t="s">
        <v>11033</v>
      </c>
      <c r="D1998" s="176">
        <v>1785.4</v>
      </c>
      <c r="E1998" s="151">
        <v>44793</v>
      </c>
      <c r="F1998" s="176">
        <v>1785.4</v>
      </c>
      <c r="G1998" s="177">
        <f>Tabla19[[#This Row],[Importe]]-Tabla19[[#This Row],[Pagado]]</f>
        <v>0</v>
      </c>
      <c r="H1998" s="75" t="s">
        <v>10</v>
      </c>
    </row>
    <row r="1999" spans="1:8" x14ac:dyDescent="0.25">
      <c r="A1999" s="148">
        <v>44793</v>
      </c>
      <c r="B1999" s="149" t="s">
        <v>26728</v>
      </c>
      <c r="C1999" s="153" t="s">
        <v>75</v>
      </c>
      <c r="D1999" s="178">
        <v>11193</v>
      </c>
      <c r="E1999" s="155">
        <v>44793</v>
      </c>
      <c r="F1999" s="178">
        <v>11193</v>
      </c>
      <c r="G1999" s="179">
        <f>Tabla19[[#This Row],[Importe]]-Tabla19[[#This Row],[Pagado]]</f>
        <v>0</v>
      </c>
      <c r="H1999" s="153" t="s">
        <v>10</v>
      </c>
    </row>
    <row r="2000" spans="1:8" x14ac:dyDescent="0.25">
      <c r="A2000" s="73">
        <v>44793</v>
      </c>
      <c r="B2000" s="74" t="s">
        <v>26729</v>
      </c>
      <c r="C2000" s="75" t="s">
        <v>473</v>
      </c>
      <c r="D2000" s="176">
        <v>8254</v>
      </c>
      <c r="E2000" s="151">
        <v>44793</v>
      </c>
      <c r="F2000" s="176">
        <v>8254</v>
      </c>
      <c r="G2000" s="177">
        <f>Tabla19[[#This Row],[Importe]]-Tabla19[[#This Row],[Pagado]]</f>
        <v>0</v>
      </c>
      <c r="H2000" s="75" t="s">
        <v>10</v>
      </c>
    </row>
    <row r="2001" spans="1:8" x14ac:dyDescent="0.25">
      <c r="A2001" s="148">
        <v>44793</v>
      </c>
      <c r="B2001" s="149" t="s">
        <v>26730</v>
      </c>
      <c r="C2001" s="153" t="s">
        <v>16</v>
      </c>
      <c r="D2001" s="178">
        <v>6489</v>
      </c>
      <c r="E2001" s="155">
        <v>44793</v>
      </c>
      <c r="F2001" s="178">
        <v>6489</v>
      </c>
      <c r="G2001" s="179">
        <f>Tabla19[[#This Row],[Importe]]-Tabla19[[#This Row],[Pagado]]</f>
        <v>0</v>
      </c>
      <c r="H2001" s="153" t="s">
        <v>10</v>
      </c>
    </row>
    <row r="2002" spans="1:8" x14ac:dyDescent="0.25">
      <c r="A2002" s="73">
        <v>44793</v>
      </c>
      <c r="B2002" s="74" t="s">
        <v>26731</v>
      </c>
      <c r="C2002" s="75" t="s">
        <v>56</v>
      </c>
      <c r="D2002" s="176">
        <v>6451.9</v>
      </c>
      <c r="E2002" s="151">
        <v>44793</v>
      </c>
      <c r="F2002" s="176">
        <v>6451.9</v>
      </c>
      <c r="G2002" s="177">
        <f>Tabla19[[#This Row],[Importe]]-Tabla19[[#This Row],[Pagado]]</f>
        <v>0</v>
      </c>
      <c r="H2002" s="75" t="s">
        <v>10</v>
      </c>
    </row>
    <row r="2003" spans="1:8" x14ac:dyDescent="0.25">
      <c r="A2003" s="148">
        <v>44793</v>
      </c>
      <c r="B2003" s="149" t="s">
        <v>26732</v>
      </c>
      <c r="C2003" s="153" t="s">
        <v>29</v>
      </c>
      <c r="D2003" s="178">
        <v>7878</v>
      </c>
      <c r="E2003" s="155">
        <v>44793</v>
      </c>
      <c r="F2003" s="178">
        <v>7878</v>
      </c>
      <c r="G2003" s="179">
        <f>Tabla19[[#This Row],[Importe]]-Tabla19[[#This Row],[Pagado]]</f>
        <v>0</v>
      </c>
      <c r="H2003" s="153" t="s">
        <v>10</v>
      </c>
    </row>
    <row r="2004" spans="1:8" x14ac:dyDescent="0.25">
      <c r="A2004" s="73">
        <v>44793</v>
      </c>
      <c r="B2004" s="74" t="s">
        <v>26733</v>
      </c>
      <c r="C2004" s="75" t="s">
        <v>518</v>
      </c>
      <c r="D2004" s="176">
        <v>3040.7</v>
      </c>
      <c r="E2004" s="151">
        <v>44793</v>
      </c>
      <c r="F2004" s="176">
        <v>3040.7</v>
      </c>
      <c r="G2004" s="177">
        <f>Tabla19[[#This Row],[Importe]]-Tabla19[[#This Row],[Pagado]]</f>
        <v>0</v>
      </c>
      <c r="H2004" s="75" t="s">
        <v>10</v>
      </c>
    </row>
    <row r="2005" spans="1:8" x14ac:dyDescent="0.25">
      <c r="A2005" s="148">
        <v>44793</v>
      </c>
      <c r="B2005" s="149" t="s">
        <v>26734</v>
      </c>
      <c r="C2005" s="153" t="s">
        <v>142</v>
      </c>
      <c r="D2005" s="178">
        <v>95140.96</v>
      </c>
      <c r="E2005" s="155">
        <v>44842</v>
      </c>
      <c r="F2005" s="178">
        <v>95140.96</v>
      </c>
      <c r="G2005" s="179">
        <f>Tabla19[[#This Row],[Importe]]-Tabla19[[#This Row],[Pagado]]</f>
        <v>0</v>
      </c>
      <c r="H2005" s="153" t="s">
        <v>10</v>
      </c>
    </row>
    <row r="2006" spans="1:8" x14ac:dyDescent="0.25">
      <c r="A2006" s="73">
        <v>44793</v>
      </c>
      <c r="B2006" s="74" t="s">
        <v>26735</v>
      </c>
      <c r="C2006" s="75" t="s">
        <v>31</v>
      </c>
      <c r="D2006" s="176">
        <v>1169.2</v>
      </c>
      <c r="E2006" s="151">
        <v>44793</v>
      </c>
      <c r="F2006" s="176">
        <v>1169.2</v>
      </c>
      <c r="G2006" s="177">
        <f>Tabla19[[#This Row],[Importe]]-Tabla19[[#This Row],[Pagado]]</f>
        <v>0</v>
      </c>
      <c r="H2006" s="75" t="s">
        <v>10</v>
      </c>
    </row>
    <row r="2007" spans="1:8" x14ac:dyDescent="0.25">
      <c r="A2007" s="148">
        <v>44793</v>
      </c>
      <c r="B2007" s="149" t="s">
        <v>26736</v>
      </c>
      <c r="C2007" s="153" t="s">
        <v>31</v>
      </c>
      <c r="D2007" s="178">
        <v>780</v>
      </c>
      <c r="E2007" s="155">
        <v>44793</v>
      </c>
      <c r="F2007" s="178">
        <v>780</v>
      </c>
      <c r="G2007" s="179">
        <f>Tabla19[[#This Row],[Importe]]-Tabla19[[#This Row],[Pagado]]</f>
        <v>0</v>
      </c>
      <c r="H2007" s="153" t="s">
        <v>10</v>
      </c>
    </row>
    <row r="2008" spans="1:8" x14ac:dyDescent="0.25">
      <c r="A2008" s="73">
        <v>44793</v>
      </c>
      <c r="B2008" s="74" t="s">
        <v>26737</v>
      </c>
      <c r="C2008" s="75" t="s">
        <v>31</v>
      </c>
      <c r="D2008" s="176">
        <v>3096.8</v>
      </c>
      <c r="E2008" s="151">
        <v>44793</v>
      </c>
      <c r="F2008" s="176">
        <v>3096.8</v>
      </c>
      <c r="G2008" s="177">
        <f>Tabla19[[#This Row],[Importe]]-Tabla19[[#This Row],[Pagado]]</f>
        <v>0</v>
      </c>
      <c r="H2008" s="75" t="s">
        <v>10</v>
      </c>
    </row>
    <row r="2009" spans="1:8" x14ac:dyDescent="0.25">
      <c r="A2009" s="148">
        <v>44793</v>
      </c>
      <c r="B2009" s="149" t="s">
        <v>26738</v>
      </c>
      <c r="C2009" s="153" t="s">
        <v>1362</v>
      </c>
      <c r="D2009" s="178">
        <v>12870</v>
      </c>
      <c r="E2009" s="155">
        <v>44793</v>
      </c>
      <c r="F2009" s="178">
        <v>12870</v>
      </c>
      <c r="G2009" s="179">
        <f>Tabla19[[#This Row],[Importe]]-Tabla19[[#This Row],[Pagado]]</f>
        <v>0</v>
      </c>
      <c r="H2009" s="153" t="s">
        <v>10</v>
      </c>
    </row>
    <row r="2010" spans="1:8" x14ac:dyDescent="0.25">
      <c r="A2010" s="73">
        <v>44793</v>
      </c>
      <c r="B2010" s="74" t="s">
        <v>26739</v>
      </c>
      <c r="C2010" s="75" t="s">
        <v>24284</v>
      </c>
      <c r="D2010" s="176">
        <v>1801.8</v>
      </c>
      <c r="E2010" s="151">
        <v>44793</v>
      </c>
      <c r="F2010" s="176">
        <v>1801.8</v>
      </c>
      <c r="G2010" s="177">
        <f>Tabla19[[#This Row],[Importe]]-Tabla19[[#This Row],[Pagado]]</f>
        <v>0</v>
      </c>
      <c r="H2010" s="75" t="s">
        <v>10</v>
      </c>
    </row>
    <row r="2011" spans="1:8" x14ac:dyDescent="0.25">
      <c r="A2011" s="148">
        <v>44793</v>
      </c>
      <c r="B2011" s="149" t="s">
        <v>26740</v>
      </c>
      <c r="C2011" s="153" t="s">
        <v>319</v>
      </c>
      <c r="D2011" s="178">
        <v>8919.18</v>
      </c>
      <c r="E2011" s="155">
        <v>44793</v>
      </c>
      <c r="F2011" s="178">
        <v>8919.18</v>
      </c>
      <c r="G2011" s="179">
        <f>Tabla19[[#This Row],[Importe]]-Tabla19[[#This Row],[Pagado]]</f>
        <v>0</v>
      </c>
      <c r="H2011" s="153" t="s">
        <v>10</v>
      </c>
    </row>
    <row r="2012" spans="1:8" x14ac:dyDescent="0.25">
      <c r="A2012" s="73">
        <v>44793</v>
      </c>
      <c r="B2012" s="74" t="s">
        <v>26741</v>
      </c>
      <c r="C2012" s="75" t="s">
        <v>518</v>
      </c>
      <c r="D2012" s="176">
        <v>1938</v>
      </c>
      <c r="E2012" s="151">
        <v>44793</v>
      </c>
      <c r="F2012" s="176">
        <v>1938</v>
      </c>
      <c r="G2012" s="177">
        <f>Tabla19[[#This Row],[Importe]]-Tabla19[[#This Row],[Pagado]]</f>
        <v>0</v>
      </c>
      <c r="H2012" s="75" t="s">
        <v>10</v>
      </c>
    </row>
    <row r="2013" spans="1:8" x14ac:dyDescent="0.25">
      <c r="A2013" s="148">
        <v>44793</v>
      </c>
      <c r="B2013" s="149" t="s">
        <v>26742</v>
      </c>
      <c r="C2013" s="153" t="s">
        <v>1003</v>
      </c>
      <c r="D2013" s="178">
        <v>6329.6</v>
      </c>
      <c r="E2013" s="155">
        <v>44794</v>
      </c>
      <c r="F2013" s="178">
        <v>6329.6</v>
      </c>
      <c r="G2013" s="179">
        <f>Tabla19[[#This Row],[Importe]]-Tabla19[[#This Row],[Pagado]]</f>
        <v>0</v>
      </c>
      <c r="H2013" s="153" t="s">
        <v>10</v>
      </c>
    </row>
    <row r="2014" spans="1:8" x14ac:dyDescent="0.25">
      <c r="A2014" s="73">
        <v>44793</v>
      </c>
      <c r="B2014" s="74" t="s">
        <v>26743</v>
      </c>
      <c r="C2014" s="75" t="s">
        <v>159</v>
      </c>
      <c r="D2014" s="176">
        <v>3211.2</v>
      </c>
      <c r="E2014" s="151">
        <v>44793</v>
      </c>
      <c r="F2014" s="176">
        <v>3211.2</v>
      </c>
      <c r="G2014" s="177">
        <f>Tabla19[[#This Row],[Importe]]-Tabla19[[#This Row],[Pagado]]</f>
        <v>0</v>
      </c>
      <c r="H2014" s="75" t="s">
        <v>10</v>
      </c>
    </row>
    <row r="2015" spans="1:8" x14ac:dyDescent="0.25">
      <c r="A2015" s="148">
        <v>44793</v>
      </c>
      <c r="B2015" s="149" t="s">
        <v>26744</v>
      </c>
      <c r="C2015" s="153" t="s">
        <v>275</v>
      </c>
      <c r="D2015" s="178">
        <v>31806.400000000001</v>
      </c>
      <c r="E2015" s="155">
        <v>44819</v>
      </c>
      <c r="F2015" s="178">
        <v>31806.400000000001</v>
      </c>
      <c r="G2015" s="179">
        <f>Tabla19[[#This Row],[Importe]]-Tabla19[[#This Row],[Pagado]]</f>
        <v>0</v>
      </c>
      <c r="H2015" s="153" t="s">
        <v>10</v>
      </c>
    </row>
    <row r="2016" spans="1:8" x14ac:dyDescent="0.25">
      <c r="A2016" s="73">
        <v>44793</v>
      </c>
      <c r="B2016" s="74" t="s">
        <v>26745</v>
      </c>
      <c r="C2016" s="75" t="s">
        <v>520</v>
      </c>
      <c r="D2016" s="176">
        <v>1930.5</v>
      </c>
      <c r="E2016" s="151">
        <v>44793</v>
      </c>
      <c r="F2016" s="176">
        <v>1930.5</v>
      </c>
      <c r="G2016" s="177">
        <f>Tabla19[[#This Row],[Importe]]-Tabla19[[#This Row],[Pagado]]</f>
        <v>0</v>
      </c>
      <c r="H2016" s="75" t="s">
        <v>10</v>
      </c>
    </row>
    <row r="2017" spans="1:8" x14ac:dyDescent="0.25">
      <c r="A2017" s="148">
        <v>44793</v>
      </c>
      <c r="B2017" s="149" t="s">
        <v>26746</v>
      </c>
      <c r="C2017" s="153" t="s">
        <v>525</v>
      </c>
      <c r="D2017" s="178">
        <v>2767.1</v>
      </c>
      <c r="E2017" s="155">
        <v>44793</v>
      </c>
      <c r="F2017" s="178">
        <v>2767.1</v>
      </c>
      <c r="G2017" s="179">
        <f>Tabla19[[#This Row],[Importe]]-Tabla19[[#This Row],[Pagado]]</f>
        <v>0</v>
      </c>
      <c r="H2017" s="153" t="s">
        <v>10</v>
      </c>
    </row>
    <row r="2018" spans="1:8" x14ac:dyDescent="0.25">
      <c r="A2018" s="73">
        <v>44793</v>
      </c>
      <c r="B2018" s="74" t="s">
        <v>26747</v>
      </c>
      <c r="C2018" s="75" t="s">
        <v>1239</v>
      </c>
      <c r="D2018" s="176">
        <v>13173.6</v>
      </c>
      <c r="E2018" s="151">
        <v>44793</v>
      </c>
      <c r="F2018" s="176">
        <v>13173.6</v>
      </c>
      <c r="G2018" s="177">
        <f>Tabla19[[#This Row],[Importe]]-Tabla19[[#This Row],[Pagado]]</f>
        <v>0</v>
      </c>
      <c r="H2018" s="75" t="s">
        <v>10</v>
      </c>
    </row>
    <row r="2019" spans="1:8" x14ac:dyDescent="0.25">
      <c r="A2019" s="148">
        <v>44793</v>
      </c>
      <c r="B2019" s="149" t="s">
        <v>26748</v>
      </c>
      <c r="C2019" s="153" t="s">
        <v>157</v>
      </c>
      <c r="D2019" s="178">
        <v>5941.6</v>
      </c>
      <c r="E2019" s="155">
        <v>44793</v>
      </c>
      <c r="F2019" s="178">
        <v>5941.6</v>
      </c>
      <c r="G2019" s="179">
        <f>Tabla19[[#This Row],[Importe]]-Tabla19[[#This Row],[Pagado]]</f>
        <v>0</v>
      </c>
      <c r="H2019" s="153" t="s">
        <v>10</v>
      </c>
    </row>
    <row r="2020" spans="1:8" x14ac:dyDescent="0.25">
      <c r="A2020" s="73">
        <v>44793</v>
      </c>
      <c r="B2020" s="74" t="s">
        <v>26749</v>
      </c>
      <c r="C2020" s="75" t="s">
        <v>45</v>
      </c>
      <c r="D2020" s="176">
        <v>13614.1</v>
      </c>
      <c r="E2020" s="151">
        <v>44793</v>
      </c>
      <c r="F2020" s="176">
        <v>13614.1</v>
      </c>
      <c r="G2020" s="177">
        <f>Tabla19[[#This Row],[Importe]]-Tabla19[[#This Row],[Pagado]]</f>
        <v>0</v>
      </c>
      <c r="H2020" s="75" t="s">
        <v>10</v>
      </c>
    </row>
    <row r="2021" spans="1:8" x14ac:dyDescent="0.25">
      <c r="A2021" s="148">
        <v>44793</v>
      </c>
      <c r="B2021" s="149" t="s">
        <v>26750</v>
      </c>
      <c r="C2021" s="153" t="s">
        <v>49</v>
      </c>
      <c r="D2021" s="178">
        <v>7980</v>
      </c>
      <c r="E2021" s="155">
        <v>44793</v>
      </c>
      <c r="F2021" s="178">
        <v>7980</v>
      </c>
      <c r="G2021" s="179">
        <f>Tabla19[[#This Row],[Importe]]-Tabla19[[#This Row],[Pagado]]</f>
        <v>0</v>
      </c>
      <c r="H2021" s="153" t="s">
        <v>10</v>
      </c>
    </row>
    <row r="2022" spans="1:8" x14ac:dyDescent="0.25">
      <c r="A2022" s="73">
        <v>44793</v>
      </c>
      <c r="B2022" s="74" t="s">
        <v>26751</v>
      </c>
      <c r="C2022" s="75" t="s">
        <v>966</v>
      </c>
      <c r="D2022" s="176">
        <v>3265.4</v>
      </c>
      <c r="E2022" s="151">
        <v>44793</v>
      </c>
      <c r="F2022" s="176">
        <v>3265.4</v>
      </c>
      <c r="G2022" s="177">
        <f>Tabla19[[#This Row],[Importe]]-Tabla19[[#This Row],[Pagado]]</f>
        <v>0</v>
      </c>
      <c r="H2022" s="75" t="s">
        <v>10</v>
      </c>
    </row>
    <row r="2023" spans="1:8" x14ac:dyDescent="0.25">
      <c r="A2023" s="148">
        <v>44793</v>
      </c>
      <c r="B2023" s="149" t="s">
        <v>26752</v>
      </c>
      <c r="C2023" s="153" t="s">
        <v>24</v>
      </c>
      <c r="D2023" s="178">
        <v>1043.8</v>
      </c>
      <c r="E2023" s="155">
        <v>44793</v>
      </c>
      <c r="F2023" s="178">
        <v>1043.8</v>
      </c>
      <c r="G2023" s="179">
        <f>Tabla19[[#This Row],[Importe]]-Tabla19[[#This Row],[Pagado]]</f>
        <v>0</v>
      </c>
      <c r="H2023" s="153" t="s">
        <v>10</v>
      </c>
    </row>
    <row r="2024" spans="1:8" x14ac:dyDescent="0.25">
      <c r="A2024" s="73">
        <v>44793</v>
      </c>
      <c r="B2024" s="74" t="s">
        <v>26753</v>
      </c>
      <c r="C2024" s="75" t="s">
        <v>26754</v>
      </c>
      <c r="D2024" s="176">
        <v>0</v>
      </c>
      <c r="E2024" s="157" t="s">
        <v>189</v>
      </c>
      <c r="F2024" s="176">
        <v>0</v>
      </c>
      <c r="G2024" s="177">
        <f>Tabla19[[#This Row],[Importe]]-Tabla19[[#This Row],[Pagado]]</f>
        <v>0</v>
      </c>
      <c r="H2024" s="161" t="s">
        <v>26755</v>
      </c>
    </row>
    <row r="2025" spans="1:8" x14ac:dyDescent="0.25">
      <c r="A2025" s="148">
        <v>44793</v>
      </c>
      <c r="B2025" s="149" t="s">
        <v>26756</v>
      </c>
      <c r="C2025" s="153" t="s">
        <v>520</v>
      </c>
      <c r="D2025" s="178">
        <v>4964.8</v>
      </c>
      <c r="E2025" s="155">
        <v>44793</v>
      </c>
      <c r="F2025" s="178">
        <v>4964.8</v>
      </c>
      <c r="G2025" s="179">
        <f>Tabla19[[#This Row],[Importe]]-Tabla19[[#This Row],[Pagado]]</f>
        <v>0</v>
      </c>
      <c r="H2025" s="153" t="s">
        <v>10</v>
      </c>
    </row>
    <row r="2026" spans="1:8" x14ac:dyDescent="0.25">
      <c r="A2026" s="73">
        <v>44793</v>
      </c>
      <c r="B2026" s="74" t="s">
        <v>26757</v>
      </c>
      <c r="C2026" s="75" t="s">
        <v>289</v>
      </c>
      <c r="D2026" s="176">
        <v>16057.9</v>
      </c>
      <c r="E2026" s="151">
        <v>44793</v>
      </c>
      <c r="F2026" s="176">
        <v>16057.9</v>
      </c>
      <c r="G2026" s="177">
        <f>Tabla19[[#This Row],[Importe]]-Tabla19[[#This Row],[Pagado]]</f>
        <v>0</v>
      </c>
      <c r="H2026" s="75" t="s">
        <v>10</v>
      </c>
    </row>
    <row r="2027" spans="1:8" x14ac:dyDescent="0.25">
      <c r="A2027" s="148">
        <v>44793</v>
      </c>
      <c r="B2027" s="149" t="s">
        <v>26758</v>
      </c>
      <c r="C2027" s="153" t="s">
        <v>31</v>
      </c>
      <c r="D2027" s="178">
        <v>2795</v>
      </c>
      <c r="E2027" s="155">
        <v>44793</v>
      </c>
      <c r="F2027" s="178">
        <v>2795</v>
      </c>
      <c r="G2027" s="179">
        <f>Tabla19[[#This Row],[Importe]]-Tabla19[[#This Row],[Pagado]]</f>
        <v>0</v>
      </c>
      <c r="H2027" s="153" t="s">
        <v>10</v>
      </c>
    </row>
    <row r="2028" spans="1:8" x14ac:dyDescent="0.25">
      <c r="A2028" s="73">
        <v>44793</v>
      </c>
      <c r="B2028" s="74" t="s">
        <v>26759</v>
      </c>
      <c r="C2028" s="75" t="s">
        <v>414</v>
      </c>
      <c r="D2028" s="176">
        <v>31200.400000000001</v>
      </c>
      <c r="E2028" s="151">
        <v>44809</v>
      </c>
      <c r="F2028" s="176">
        <v>31200.400000000001</v>
      </c>
      <c r="G2028" s="177">
        <f>Tabla19[[#This Row],[Importe]]-Tabla19[[#This Row],[Pagado]]</f>
        <v>0</v>
      </c>
      <c r="H2028" s="75" t="s">
        <v>10</v>
      </c>
    </row>
    <row r="2029" spans="1:8" x14ac:dyDescent="0.25">
      <c r="A2029" s="148">
        <v>44793</v>
      </c>
      <c r="B2029" s="149" t="s">
        <v>26760</v>
      </c>
      <c r="C2029" s="153" t="s">
        <v>9827</v>
      </c>
      <c r="D2029" s="178">
        <v>6092.4</v>
      </c>
      <c r="E2029" s="155">
        <v>44793</v>
      </c>
      <c r="F2029" s="178">
        <v>6092.4</v>
      </c>
      <c r="G2029" s="179">
        <f>Tabla19[[#This Row],[Importe]]-Tabla19[[#This Row],[Pagado]]</f>
        <v>0</v>
      </c>
      <c r="H2029" s="153" t="s">
        <v>10</v>
      </c>
    </row>
    <row r="2030" spans="1:8" x14ac:dyDescent="0.25">
      <c r="A2030" s="73">
        <v>44793</v>
      </c>
      <c r="B2030" s="74" t="s">
        <v>26761</v>
      </c>
      <c r="C2030" s="75" t="s">
        <v>191</v>
      </c>
      <c r="D2030" s="176">
        <v>2117.1999999999998</v>
      </c>
      <c r="E2030" s="151">
        <v>44793</v>
      </c>
      <c r="F2030" s="176">
        <v>2117.1999999999998</v>
      </c>
      <c r="G2030" s="177">
        <f>Tabla19[[#This Row],[Importe]]-Tabla19[[#This Row],[Pagado]]</f>
        <v>0</v>
      </c>
      <c r="H2030" s="75" t="s">
        <v>10</v>
      </c>
    </row>
    <row r="2031" spans="1:8" x14ac:dyDescent="0.25">
      <c r="A2031" s="148">
        <v>44793</v>
      </c>
      <c r="B2031" s="149" t="s">
        <v>26762</v>
      </c>
      <c r="C2031" s="153" t="s">
        <v>4136</v>
      </c>
      <c r="D2031" s="178">
        <v>2447.8000000000002</v>
      </c>
      <c r="E2031" s="155">
        <v>44793</v>
      </c>
      <c r="F2031" s="178">
        <v>2447.8000000000002</v>
      </c>
      <c r="G2031" s="179">
        <f>Tabla19[[#This Row],[Importe]]-Tabla19[[#This Row],[Pagado]]</f>
        <v>0</v>
      </c>
      <c r="H2031" s="153" t="s">
        <v>10</v>
      </c>
    </row>
    <row r="2032" spans="1:8" x14ac:dyDescent="0.25">
      <c r="A2032" s="73">
        <v>44793</v>
      </c>
      <c r="B2032" s="74" t="s">
        <v>26763</v>
      </c>
      <c r="C2032" s="75" t="s">
        <v>698</v>
      </c>
      <c r="D2032" s="176">
        <v>7560.6</v>
      </c>
      <c r="E2032" s="151">
        <v>44793</v>
      </c>
      <c r="F2032" s="176">
        <v>7560.6</v>
      </c>
      <c r="G2032" s="177">
        <f>Tabla19[[#This Row],[Importe]]-Tabla19[[#This Row],[Pagado]]</f>
        <v>0</v>
      </c>
      <c r="H2032" s="75" t="s">
        <v>10</v>
      </c>
    </row>
    <row r="2033" spans="1:8" x14ac:dyDescent="0.25">
      <c r="A2033" s="148">
        <v>44793</v>
      </c>
      <c r="B2033" s="149" t="s">
        <v>26764</v>
      </c>
      <c r="C2033" s="153" t="s">
        <v>233</v>
      </c>
      <c r="D2033" s="178">
        <v>4719</v>
      </c>
      <c r="E2033" s="155">
        <v>44793</v>
      </c>
      <c r="F2033" s="178">
        <v>4719</v>
      </c>
      <c r="G2033" s="179">
        <f>Tabla19[[#This Row],[Importe]]-Tabla19[[#This Row],[Pagado]]</f>
        <v>0</v>
      </c>
      <c r="H2033" s="153" t="s">
        <v>10</v>
      </c>
    </row>
    <row r="2034" spans="1:8" x14ac:dyDescent="0.25">
      <c r="A2034" s="73">
        <v>44793</v>
      </c>
      <c r="B2034" s="74" t="s">
        <v>26765</v>
      </c>
      <c r="C2034" s="75" t="s">
        <v>179</v>
      </c>
      <c r="D2034" s="176">
        <v>1700.4</v>
      </c>
      <c r="E2034" s="151">
        <v>44793</v>
      </c>
      <c r="F2034" s="176">
        <v>1700.4</v>
      </c>
      <c r="G2034" s="177">
        <f>Tabla19[[#This Row],[Importe]]-Tabla19[[#This Row],[Pagado]]</f>
        <v>0</v>
      </c>
      <c r="H2034" s="75" t="s">
        <v>10</v>
      </c>
    </row>
    <row r="2035" spans="1:8" x14ac:dyDescent="0.25">
      <c r="A2035" s="148">
        <v>44793</v>
      </c>
      <c r="B2035" s="149" t="s">
        <v>26766</v>
      </c>
      <c r="C2035" s="153" t="s">
        <v>5694</v>
      </c>
      <c r="D2035" s="178">
        <v>3681.6</v>
      </c>
      <c r="E2035" s="155">
        <v>44793</v>
      </c>
      <c r="F2035" s="178">
        <v>3681.6</v>
      </c>
      <c r="G2035" s="179">
        <f>Tabla19[[#This Row],[Importe]]-Tabla19[[#This Row],[Pagado]]</f>
        <v>0</v>
      </c>
      <c r="H2035" s="153" t="s">
        <v>10</v>
      </c>
    </row>
    <row r="2036" spans="1:8" x14ac:dyDescent="0.25">
      <c r="A2036" s="73">
        <v>44793</v>
      </c>
      <c r="B2036" s="74" t="s">
        <v>26767</v>
      </c>
      <c r="C2036" s="75" t="s">
        <v>1174</v>
      </c>
      <c r="D2036" s="176">
        <v>19235.599999999999</v>
      </c>
      <c r="E2036" s="151">
        <v>44793</v>
      </c>
      <c r="F2036" s="176">
        <v>19235.599999999999</v>
      </c>
      <c r="G2036" s="177">
        <f>Tabla19[[#This Row],[Importe]]-Tabla19[[#This Row],[Pagado]]</f>
        <v>0</v>
      </c>
      <c r="H2036" s="75" t="s">
        <v>10</v>
      </c>
    </row>
    <row r="2037" spans="1:8" x14ac:dyDescent="0.25">
      <c r="A2037" s="148">
        <v>44793</v>
      </c>
      <c r="B2037" s="149" t="s">
        <v>26768</v>
      </c>
      <c r="C2037" s="153" t="s">
        <v>275</v>
      </c>
      <c r="D2037" s="178">
        <v>975</v>
      </c>
      <c r="E2037" s="155">
        <v>44819</v>
      </c>
      <c r="F2037" s="178">
        <v>975</v>
      </c>
      <c r="G2037" s="179">
        <f>Tabla19[[#This Row],[Importe]]-Tabla19[[#This Row],[Pagado]]</f>
        <v>0</v>
      </c>
      <c r="H2037" s="153" t="s">
        <v>10</v>
      </c>
    </row>
    <row r="2038" spans="1:8" x14ac:dyDescent="0.25">
      <c r="A2038" s="73">
        <v>44793</v>
      </c>
      <c r="B2038" s="74" t="s">
        <v>26769</v>
      </c>
      <c r="C2038" s="75" t="s">
        <v>419</v>
      </c>
      <c r="D2038" s="176">
        <v>9952.7999999999993</v>
      </c>
      <c r="E2038" s="151">
        <v>44793</v>
      </c>
      <c r="F2038" s="176">
        <v>9952.7999999999993</v>
      </c>
      <c r="G2038" s="177">
        <f>Tabla19[[#This Row],[Importe]]-Tabla19[[#This Row],[Pagado]]</f>
        <v>0</v>
      </c>
      <c r="H2038" s="75" t="s">
        <v>10</v>
      </c>
    </row>
    <row r="2039" spans="1:8" x14ac:dyDescent="0.25">
      <c r="A2039" s="148">
        <v>44793</v>
      </c>
      <c r="B2039" s="149" t="s">
        <v>26770</v>
      </c>
      <c r="C2039" s="153" t="s">
        <v>409</v>
      </c>
      <c r="D2039" s="178">
        <v>9354</v>
      </c>
      <c r="E2039" s="155">
        <v>44796</v>
      </c>
      <c r="F2039" s="178">
        <v>9354</v>
      </c>
      <c r="G2039" s="179">
        <f>Tabla19[[#This Row],[Importe]]-Tabla19[[#This Row],[Pagado]]</f>
        <v>0</v>
      </c>
      <c r="H2039" s="153" t="s">
        <v>10</v>
      </c>
    </row>
    <row r="2040" spans="1:8" x14ac:dyDescent="0.25">
      <c r="A2040" s="73">
        <v>44793</v>
      </c>
      <c r="B2040" s="74" t="s">
        <v>26771</v>
      </c>
      <c r="C2040" s="75" t="s">
        <v>226</v>
      </c>
      <c r="D2040" s="176">
        <v>19254.8</v>
      </c>
      <c r="E2040" s="151">
        <v>44793</v>
      </c>
      <c r="F2040" s="176">
        <v>19254.8</v>
      </c>
      <c r="G2040" s="177">
        <f>Tabla19[[#This Row],[Importe]]-Tabla19[[#This Row],[Pagado]]</f>
        <v>0</v>
      </c>
      <c r="H2040" s="75" t="s">
        <v>10</v>
      </c>
    </row>
    <row r="2041" spans="1:8" x14ac:dyDescent="0.25">
      <c r="A2041" s="148">
        <v>44793</v>
      </c>
      <c r="B2041" s="149" t="s">
        <v>26772</v>
      </c>
      <c r="C2041" s="153" t="s">
        <v>26773</v>
      </c>
      <c r="D2041" s="178">
        <v>0</v>
      </c>
      <c r="E2041" s="158" t="s">
        <v>189</v>
      </c>
      <c r="F2041" s="178">
        <v>0</v>
      </c>
      <c r="G2041" s="179">
        <f>Tabla19[[#This Row],[Importe]]-Tabla19[[#This Row],[Pagado]]</f>
        <v>0</v>
      </c>
      <c r="H2041" s="159" t="s">
        <v>26774</v>
      </c>
    </row>
    <row r="2042" spans="1:8" x14ac:dyDescent="0.25">
      <c r="A2042" s="73">
        <v>44793</v>
      </c>
      <c r="B2042" s="74" t="s">
        <v>26775</v>
      </c>
      <c r="C2042" s="75" t="s">
        <v>97</v>
      </c>
      <c r="D2042" s="176">
        <v>3914.8</v>
      </c>
      <c r="E2042" s="151">
        <v>44793</v>
      </c>
      <c r="F2042" s="176">
        <v>3914.8</v>
      </c>
      <c r="G2042" s="177">
        <f>Tabla19[[#This Row],[Importe]]-Tabla19[[#This Row],[Pagado]]</f>
        <v>0</v>
      </c>
      <c r="H2042" s="75" t="s">
        <v>10</v>
      </c>
    </row>
    <row r="2043" spans="1:8" x14ac:dyDescent="0.25">
      <c r="A2043" s="148">
        <v>44793</v>
      </c>
      <c r="B2043" s="149" t="s">
        <v>26776</v>
      </c>
      <c r="C2043" s="153" t="s">
        <v>16</v>
      </c>
      <c r="D2043" s="178">
        <v>708</v>
      </c>
      <c r="E2043" s="155">
        <v>44793</v>
      </c>
      <c r="F2043" s="178">
        <v>708</v>
      </c>
      <c r="G2043" s="179">
        <f>Tabla19[[#This Row],[Importe]]-Tabla19[[#This Row],[Pagado]]</f>
        <v>0</v>
      </c>
      <c r="H2043" s="153" t="s">
        <v>10</v>
      </c>
    </row>
    <row r="2044" spans="1:8" x14ac:dyDescent="0.25">
      <c r="A2044" s="73">
        <v>44793</v>
      </c>
      <c r="B2044" s="74" t="s">
        <v>26777</v>
      </c>
      <c r="C2044" s="75" t="s">
        <v>407</v>
      </c>
      <c r="D2044" s="176">
        <v>23269.4</v>
      </c>
      <c r="E2044" s="151">
        <v>44806</v>
      </c>
      <c r="F2044" s="176">
        <v>23269.4</v>
      </c>
      <c r="G2044" s="177">
        <f>Tabla19[[#This Row],[Importe]]-Tabla19[[#This Row],[Pagado]]</f>
        <v>0</v>
      </c>
      <c r="H2044" s="75" t="s">
        <v>10</v>
      </c>
    </row>
    <row r="2045" spans="1:8" x14ac:dyDescent="0.25">
      <c r="A2045" s="148">
        <v>44793</v>
      </c>
      <c r="B2045" s="149" t="s">
        <v>26778</v>
      </c>
      <c r="C2045" s="153" t="s">
        <v>670</v>
      </c>
      <c r="D2045" s="178">
        <v>4395.6000000000004</v>
      </c>
      <c r="E2045" s="155">
        <v>44793</v>
      </c>
      <c r="F2045" s="178">
        <v>4395.6000000000004</v>
      </c>
      <c r="G2045" s="179">
        <f>Tabla19[[#This Row],[Importe]]-Tabla19[[#This Row],[Pagado]]</f>
        <v>0</v>
      </c>
      <c r="H2045" s="153" t="s">
        <v>10</v>
      </c>
    </row>
    <row r="2046" spans="1:8" x14ac:dyDescent="0.25">
      <c r="A2046" s="73">
        <v>44793</v>
      </c>
      <c r="B2046" s="74" t="s">
        <v>26779</v>
      </c>
      <c r="C2046" s="75" t="s">
        <v>244</v>
      </c>
      <c r="D2046" s="176">
        <v>1154.4000000000001</v>
      </c>
      <c r="E2046" s="151">
        <v>44793</v>
      </c>
      <c r="F2046" s="176">
        <v>1154.4000000000001</v>
      </c>
      <c r="G2046" s="177">
        <f>Tabla19[[#This Row],[Importe]]-Tabla19[[#This Row],[Pagado]]</f>
        <v>0</v>
      </c>
      <c r="H2046" s="75" t="s">
        <v>10</v>
      </c>
    </row>
    <row r="2047" spans="1:8" x14ac:dyDescent="0.25">
      <c r="A2047" s="148">
        <v>44793</v>
      </c>
      <c r="B2047" s="149" t="s">
        <v>26780</v>
      </c>
      <c r="C2047" s="153" t="s">
        <v>107</v>
      </c>
      <c r="D2047" s="178">
        <v>35139.300000000003</v>
      </c>
      <c r="E2047" s="155">
        <v>44794</v>
      </c>
      <c r="F2047" s="178">
        <v>35139.300000000003</v>
      </c>
      <c r="G2047" s="179">
        <f>Tabla19[[#This Row],[Importe]]-Tabla19[[#This Row],[Pagado]]</f>
        <v>0</v>
      </c>
      <c r="H2047" s="153" t="s">
        <v>10</v>
      </c>
    </row>
    <row r="2048" spans="1:8" x14ac:dyDescent="0.25">
      <c r="A2048" s="73">
        <v>44793</v>
      </c>
      <c r="B2048" s="74" t="s">
        <v>26781</v>
      </c>
      <c r="C2048" s="75" t="s">
        <v>31</v>
      </c>
      <c r="D2048" s="176">
        <v>3379.2</v>
      </c>
      <c r="E2048" s="151">
        <v>44794</v>
      </c>
      <c r="F2048" s="176">
        <v>3379.2</v>
      </c>
      <c r="G2048" s="177">
        <f>Tabla19[[#This Row],[Importe]]-Tabla19[[#This Row],[Pagado]]</f>
        <v>0</v>
      </c>
      <c r="H2048" s="75" t="s">
        <v>10</v>
      </c>
    </row>
    <row r="2049" spans="1:8" x14ac:dyDescent="0.25">
      <c r="A2049" s="148">
        <v>44793</v>
      </c>
      <c r="B2049" s="149" t="s">
        <v>26782</v>
      </c>
      <c r="C2049" s="153" t="s">
        <v>67</v>
      </c>
      <c r="D2049" s="178">
        <v>2653.4</v>
      </c>
      <c r="E2049" s="155">
        <v>44793</v>
      </c>
      <c r="F2049" s="178">
        <v>2653.4</v>
      </c>
      <c r="G2049" s="179">
        <f>Tabla19[[#This Row],[Importe]]-Tabla19[[#This Row],[Pagado]]</f>
        <v>0</v>
      </c>
      <c r="H2049" s="153" t="s">
        <v>10</v>
      </c>
    </row>
    <row r="2050" spans="1:8" x14ac:dyDescent="0.25">
      <c r="A2050" s="73">
        <v>44793</v>
      </c>
      <c r="B2050" s="74" t="s">
        <v>26783</v>
      </c>
      <c r="C2050" s="75" t="s">
        <v>67</v>
      </c>
      <c r="D2050" s="176">
        <v>247.5</v>
      </c>
      <c r="E2050" s="151">
        <v>44793</v>
      </c>
      <c r="F2050" s="176">
        <v>247.5</v>
      </c>
      <c r="G2050" s="177">
        <f>Tabla19[[#This Row],[Importe]]-Tabla19[[#This Row],[Pagado]]</f>
        <v>0</v>
      </c>
      <c r="H2050" s="75" t="s">
        <v>10</v>
      </c>
    </row>
    <row r="2051" spans="1:8" x14ac:dyDescent="0.25">
      <c r="A2051" s="148">
        <v>44793</v>
      </c>
      <c r="B2051" s="149" t="s">
        <v>26784</v>
      </c>
      <c r="C2051" s="153" t="s">
        <v>31</v>
      </c>
      <c r="D2051" s="178">
        <v>1240</v>
      </c>
      <c r="E2051" s="155">
        <v>44793</v>
      </c>
      <c r="F2051" s="178">
        <v>1240</v>
      </c>
      <c r="G2051" s="179">
        <f>Tabla19[[#This Row],[Importe]]-Tabla19[[#This Row],[Pagado]]</f>
        <v>0</v>
      </c>
      <c r="H2051" s="153" t="s">
        <v>10</v>
      </c>
    </row>
    <row r="2052" spans="1:8" x14ac:dyDescent="0.25">
      <c r="A2052" s="73">
        <v>44793</v>
      </c>
      <c r="B2052" s="74" t="s">
        <v>26785</v>
      </c>
      <c r="C2052" s="75" t="s">
        <v>214</v>
      </c>
      <c r="D2052" s="176">
        <v>1310.4000000000001</v>
      </c>
      <c r="E2052" s="151">
        <v>44793</v>
      </c>
      <c r="F2052" s="176">
        <v>1310.4000000000001</v>
      </c>
      <c r="G2052" s="177">
        <f>Tabla19[[#This Row],[Importe]]-Tabla19[[#This Row],[Pagado]]</f>
        <v>0</v>
      </c>
      <c r="H2052" s="75" t="s">
        <v>10</v>
      </c>
    </row>
    <row r="2053" spans="1:8" x14ac:dyDescent="0.25">
      <c r="A2053" s="148">
        <v>44793</v>
      </c>
      <c r="B2053" s="149" t="s">
        <v>26786</v>
      </c>
      <c r="C2053" s="153" t="s">
        <v>994</v>
      </c>
      <c r="D2053" s="178">
        <v>1239.7</v>
      </c>
      <c r="E2053" s="155">
        <v>44793</v>
      </c>
      <c r="F2053" s="178">
        <v>1239.7</v>
      </c>
      <c r="G2053" s="179">
        <f>Tabla19[[#This Row],[Importe]]-Tabla19[[#This Row],[Pagado]]</f>
        <v>0</v>
      </c>
      <c r="H2053" s="153" t="s">
        <v>10</v>
      </c>
    </row>
    <row r="2054" spans="1:8" x14ac:dyDescent="0.25">
      <c r="A2054" s="73">
        <v>44793</v>
      </c>
      <c r="B2054" s="74" t="s">
        <v>26787</v>
      </c>
      <c r="C2054" s="75" t="s">
        <v>69</v>
      </c>
      <c r="D2054" s="176">
        <v>1560</v>
      </c>
      <c r="E2054" s="151">
        <v>44793</v>
      </c>
      <c r="F2054" s="176">
        <v>1560</v>
      </c>
      <c r="G2054" s="177">
        <f>Tabla19[[#This Row],[Importe]]-Tabla19[[#This Row],[Pagado]]</f>
        <v>0</v>
      </c>
      <c r="H2054" s="75" t="s">
        <v>10</v>
      </c>
    </row>
    <row r="2055" spans="1:8" x14ac:dyDescent="0.25">
      <c r="A2055" s="148">
        <v>44793</v>
      </c>
      <c r="B2055" s="149" t="s">
        <v>26788</v>
      </c>
      <c r="C2055" s="153" t="s">
        <v>69</v>
      </c>
      <c r="D2055" s="178">
        <v>780</v>
      </c>
      <c r="E2055" s="155">
        <v>44793</v>
      </c>
      <c r="F2055" s="178">
        <v>780</v>
      </c>
      <c r="G2055" s="179">
        <f>Tabla19[[#This Row],[Importe]]-Tabla19[[#This Row],[Pagado]]</f>
        <v>0</v>
      </c>
      <c r="H2055" s="153" t="s">
        <v>10</v>
      </c>
    </row>
    <row r="2056" spans="1:8" x14ac:dyDescent="0.25">
      <c r="A2056" s="73">
        <v>44793</v>
      </c>
      <c r="B2056" s="74" t="s">
        <v>26789</v>
      </c>
      <c r="C2056" s="75" t="s">
        <v>9</v>
      </c>
      <c r="D2056" s="176">
        <v>1017.3</v>
      </c>
      <c r="E2056" s="151">
        <v>44793</v>
      </c>
      <c r="F2056" s="176">
        <v>1017.3</v>
      </c>
      <c r="G2056" s="177">
        <f>Tabla19[[#This Row],[Importe]]-Tabla19[[#This Row],[Pagado]]</f>
        <v>0</v>
      </c>
      <c r="H2056" s="75" t="s">
        <v>10</v>
      </c>
    </row>
    <row r="2057" spans="1:8" x14ac:dyDescent="0.25">
      <c r="A2057" s="148">
        <v>44793</v>
      </c>
      <c r="B2057" s="149" t="s">
        <v>26790</v>
      </c>
      <c r="C2057" s="153" t="s">
        <v>284</v>
      </c>
      <c r="D2057" s="178">
        <v>14492.4</v>
      </c>
      <c r="E2057" s="155">
        <v>44795</v>
      </c>
      <c r="F2057" s="178">
        <v>14492.4</v>
      </c>
      <c r="G2057" s="179">
        <f>Tabla19[[#This Row],[Importe]]-Tabla19[[#This Row],[Pagado]]</f>
        <v>0</v>
      </c>
      <c r="H2057" s="153" t="s">
        <v>10</v>
      </c>
    </row>
    <row r="2058" spans="1:8" x14ac:dyDescent="0.25">
      <c r="A2058" s="73">
        <v>44793</v>
      </c>
      <c r="B2058" s="74" t="s">
        <v>26791</v>
      </c>
      <c r="C2058" s="75" t="s">
        <v>26792</v>
      </c>
      <c r="D2058" s="176">
        <v>0</v>
      </c>
      <c r="E2058" s="157" t="s">
        <v>189</v>
      </c>
      <c r="F2058" s="176">
        <v>0</v>
      </c>
      <c r="G2058" s="177">
        <f>Tabla19[[#This Row],[Importe]]-Tabla19[[#This Row],[Pagado]]</f>
        <v>0</v>
      </c>
      <c r="H2058" s="161" t="s">
        <v>26793</v>
      </c>
    </row>
    <row r="2059" spans="1:8" x14ac:dyDescent="0.25">
      <c r="A2059" s="148">
        <v>44793</v>
      </c>
      <c r="B2059" s="149" t="s">
        <v>26794</v>
      </c>
      <c r="C2059" s="153" t="s">
        <v>53</v>
      </c>
      <c r="D2059" s="178">
        <v>600.4</v>
      </c>
      <c r="E2059" s="155">
        <v>44793</v>
      </c>
      <c r="F2059" s="178">
        <v>600.4</v>
      </c>
      <c r="G2059" s="179">
        <f>Tabla19[[#This Row],[Importe]]-Tabla19[[#This Row],[Pagado]]</f>
        <v>0</v>
      </c>
      <c r="H2059" s="153" t="s">
        <v>10</v>
      </c>
    </row>
    <row r="2060" spans="1:8" x14ac:dyDescent="0.25">
      <c r="A2060" s="73">
        <v>44793</v>
      </c>
      <c r="B2060" s="74" t="s">
        <v>26795</v>
      </c>
      <c r="C2060" s="75" t="s">
        <v>10819</v>
      </c>
      <c r="D2060" s="176">
        <v>1170</v>
      </c>
      <c r="E2060" s="151">
        <v>44795</v>
      </c>
      <c r="F2060" s="176">
        <v>1170</v>
      </c>
      <c r="G2060" s="177">
        <f>Tabla19[[#This Row],[Importe]]-Tabla19[[#This Row],[Pagado]]</f>
        <v>0</v>
      </c>
      <c r="H2060" s="75" t="s">
        <v>10</v>
      </c>
    </row>
    <row r="2061" spans="1:8" x14ac:dyDescent="0.25">
      <c r="A2061" s="148">
        <v>44793</v>
      </c>
      <c r="B2061" s="149" t="s">
        <v>26796</v>
      </c>
      <c r="C2061" s="153" t="s">
        <v>282</v>
      </c>
      <c r="D2061" s="178">
        <v>3127.8</v>
      </c>
      <c r="E2061" s="155">
        <v>44795</v>
      </c>
      <c r="F2061" s="178">
        <v>3127.8</v>
      </c>
      <c r="G2061" s="179">
        <f>Tabla19[[#This Row],[Importe]]-Tabla19[[#This Row],[Pagado]]</f>
        <v>0</v>
      </c>
      <c r="H2061" s="153" t="s">
        <v>10</v>
      </c>
    </row>
    <row r="2062" spans="1:8" x14ac:dyDescent="0.25">
      <c r="A2062" s="73">
        <v>44793</v>
      </c>
      <c r="B2062" s="74" t="s">
        <v>26797</v>
      </c>
      <c r="C2062" s="75" t="s">
        <v>31</v>
      </c>
      <c r="D2062" s="176">
        <v>19984</v>
      </c>
      <c r="E2062" s="151">
        <v>44793</v>
      </c>
      <c r="F2062" s="176">
        <v>19984</v>
      </c>
      <c r="G2062" s="177">
        <f>Tabla19[[#This Row],[Importe]]-Tabla19[[#This Row],[Pagado]]</f>
        <v>0</v>
      </c>
      <c r="H2062" s="75" t="s">
        <v>10</v>
      </c>
    </row>
    <row r="2063" spans="1:8" x14ac:dyDescent="0.25">
      <c r="A2063" s="148">
        <v>44793</v>
      </c>
      <c r="B2063" s="149" t="s">
        <v>26798</v>
      </c>
      <c r="C2063" s="153" t="s">
        <v>857</v>
      </c>
      <c r="D2063" s="178">
        <v>1706.1</v>
      </c>
      <c r="E2063" s="155">
        <v>44793</v>
      </c>
      <c r="F2063" s="178">
        <v>1706.1</v>
      </c>
      <c r="G2063" s="179">
        <f>Tabla19[[#This Row],[Importe]]-Tabla19[[#This Row],[Pagado]]</f>
        <v>0</v>
      </c>
      <c r="H2063" s="153" t="s">
        <v>10</v>
      </c>
    </row>
    <row r="2064" spans="1:8" x14ac:dyDescent="0.25">
      <c r="A2064" s="73">
        <v>44793</v>
      </c>
      <c r="B2064" s="74" t="s">
        <v>26799</v>
      </c>
      <c r="C2064" s="75" t="s">
        <v>426</v>
      </c>
      <c r="D2064" s="176">
        <v>2938.2</v>
      </c>
      <c r="E2064" s="151">
        <v>44795</v>
      </c>
      <c r="F2064" s="176">
        <v>2938.2</v>
      </c>
      <c r="G2064" s="177">
        <f>Tabla19[[#This Row],[Importe]]-Tabla19[[#This Row],[Pagado]]</f>
        <v>0</v>
      </c>
      <c r="H2064" s="75" t="s">
        <v>10</v>
      </c>
    </row>
    <row r="2065" spans="1:8" x14ac:dyDescent="0.25">
      <c r="A2065" s="148">
        <v>44793</v>
      </c>
      <c r="B2065" s="149" t="s">
        <v>26800</v>
      </c>
      <c r="C2065" s="153" t="s">
        <v>280</v>
      </c>
      <c r="D2065" s="178">
        <v>2106</v>
      </c>
      <c r="E2065" s="155">
        <v>44795</v>
      </c>
      <c r="F2065" s="178">
        <v>2106</v>
      </c>
      <c r="G2065" s="179">
        <f>Tabla19[[#This Row],[Importe]]-Tabla19[[#This Row],[Pagado]]</f>
        <v>0</v>
      </c>
      <c r="H2065" s="153" t="s">
        <v>10</v>
      </c>
    </row>
    <row r="2066" spans="1:8" x14ac:dyDescent="0.25">
      <c r="A2066" s="73">
        <v>44793</v>
      </c>
      <c r="B2066" s="74" t="s">
        <v>26801</v>
      </c>
      <c r="C2066" s="75" t="s">
        <v>31</v>
      </c>
      <c r="D2066" s="176">
        <v>7960</v>
      </c>
      <c r="E2066" s="151">
        <v>44793</v>
      </c>
      <c r="F2066" s="176">
        <v>7960</v>
      </c>
      <c r="G2066" s="177">
        <f>Tabla19[[#This Row],[Importe]]-Tabla19[[#This Row],[Pagado]]</f>
        <v>0</v>
      </c>
      <c r="H2066" s="75" t="s">
        <v>10</v>
      </c>
    </row>
    <row r="2067" spans="1:8" x14ac:dyDescent="0.25">
      <c r="A2067" s="148">
        <v>44793</v>
      </c>
      <c r="B2067" s="149" t="s">
        <v>26802</v>
      </c>
      <c r="C2067" s="153" t="s">
        <v>181</v>
      </c>
      <c r="D2067" s="178">
        <v>16808.400000000001</v>
      </c>
      <c r="E2067" s="155">
        <v>44795</v>
      </c>
      <c r="F2067" s="178">
        <v>16808.400000000001</v>
      </c>
      <c r="G2067" s="179">
        <f>Tabla19[[#This Row],[Importe]]-Tabla19[[#This Row],[Pagado]]</f>
        <v>0</v>
      </c>
      <c r="H2067" s="153" t="s">
        <v>10</v>
      </c>
    </row>
    <row r="2068" spans="1:8" x14ac:dyDescent="0.25">
      <c r="A2068" s="73">
        <v>44793</v>
      </c>
      <c r="B2068" s="74" t="s">
        <v>26803</v>
      </c>
      <c r="C2068" s="75" t="s">
        <v>142</v>
      </c>
      <c r="D2068" s="176">
        <v>1861.5</v>
      </c>
      <c r="E2068" s="151">
        <v>44842</v>
      </c>
      <c r="F2068" s="176">
        <v>1861.5</v>
      </c>
      <c r="G2068" s="177">
        <f>Tabla19[[#This Row],[Importe]]-Tabla19[[#This Row],[Pagado]]</f>
        <v>0</v>
      </c>
      <c r="H2068" s="75" t="s">
        <v>10</v>
      </c>
    </row>
    <row r="2069" spans="1:8" x14ac:dyDescent="0.25">
      <c r="A2069" s="148">
        <v>44793</v>
      </c>
      <c r="B2069" s="149" t="s">
        <v>26804</v>
      </c>
      <c r="C2069" s="153" t="s">
        <v>448</v>
      </c>
      <c r="D2069" s="178">
        <v>19727.400000000001</v>
      </c>
      <c r="E2069" s="155">
        <v>44795</v>
      </c>
      <c r="F2069" s="178">
        <v>19727.400000000001</v>
      </c>
      <c r="G2069" s="179">
        <f>Tabla19[[#This Row],[Importe]]-Tabla19[[#This Row],[Pagado]]</f>
        <v>0</v>
      </c>
      <c r="H2069" s="153" t="s">
        <v>10</v>
      </c>
    </row>
    <row r="2070" spans="1:8" x14ac:dyDescent="0.25">
      <c r="A2070" s="73">
        <v>44793</v>
      </c>
      <c r="B2070" s="74" t="s">
        <v>26805</v>
      </c>
      <c r="C2070" s="75" t="s">
        <v>296</v>
      </c>
      <c r="D2070" s="176">
        <v>3046.2</v>
      </c>
      <c r="E2070" s="151">
        <v>44793</v>
      </c>
      <c r="F2070" s="176">
        <v>3046.2</v>
      </c>
      <c r="G2070" s="177">
        <f>Tabla19[[#This Row],[Importe]]-Tabla19[[#This Row],[Pagado]]</f>
        <v>0</v>
      </c>
      <c r="H2070" s="75" t="s">
        <v>10</v>
      </c>
    </row>
    <row r="2071" spans="1:8" x14ac:dyDescent="0.25">
      <c r="A2071" s="148">
        <v>44793</v>
      </c>
      <c r="B2071" s="149" t="s">
        <v>26806</v>
      </c>
      <c r="C2071" s="153" t="s">
        <v>555</v>
      </c>
      <c r="D2071" s="178">
        <v>19600</v>
      </c>
      <c r="E2071" s="155">
        <v>44795</v>
      </c>
      <c r="F2071" s="178">
        <v>19600</v>
      </c>
      <c r="G2071" s="179">
        <f>Tabla19[[#This Row],[Importe]]-Tabla19[[#This Row],[Pagado]]</f>
        <v>0</v>
      </c>
      <c r="H2071" s="153" t="s">
        <v>10</v>
      </c>
    </row>
    <row r="2072" spans="1:8" x14ac:dyDescent="0.25">
      <c r="A2072" s="73">
        <v>44793</v>
      </c>
      <c r="B2072" s="74" t="s">
        <v>26807</v>
      </c>
      <c r="C2072" s="75" t="s">
        <v>16</v>
      </c>
      <c r="D2072" s="176">
        <v>1439.6</v>
      </c>
      <c r="E2072" s="151">
        <v>44793</v>
      </c>
      <c r="F2072" s="176">
        <v>1439.6</v>
      </c>
      <c r="G2072" s="177">
        <f>Tabla19[[#This Row],[Importe]]-Tabla19[[#This Row],[Pagado]]</f>
        <v>0</v>
      </c>
      <c r="H2072" s="75" t="s">
        <v>10</v>
      </c>
    </row>
    <row r="2073" spans="1:8" x14ac:dyDescent="0.25">
      <c r="A2073" s="148">
        <v>44793</v>
      </c>
      <c r="B2073" s="149" t="s">
        <v>26808</v>
      </c>
      <c r="C2073" s="153" t="s">
        <v>191</v>
      </c>
      <c r="D2073" s="178">
        <v>1548.4</v>
      </c>
      <c r="E2073" s="155">
        <v>44793</v>
      </c>
      <c r="F2073" s="178">
        <v>1548.4</v>
      </c>
      <c r="G2073" s="179">
        <f>Tabla19[[#This Row],[Importe]]-Tabla19[[#This Row],[Pagado]]</f>
        <v>0</v>
      </c>
      <c r="H2073" s="153" t="s">
        <v>10</v>
      </c>
    </row>
    <row r="2074" spans="1:8" x14ac:dyDescent="0.25">
      <c r="A2074" s="73">
        <v>44793</v>
      </c>
      <c r="B2074" s="74" t="s">
        <v>26809</v>
      </c>
      <c r="C2074" s="75" t="s">
        <v>22</v>
      </c>
      <c r="D2074" s="176">
        <v>14192.9</v>
      </c>
      <c r="E2074" s="151">
        <v>44794</v>
      </c>
      <c r="F2074" s="176">
        <v>14192.9</v>
      </c>
      <c r="G2074" s="177">
        <f>Tabla19[[#This Row],[Importe]]-Tabla19[[#This Row],[Pagado]]</f>
        <v>0</v>
      </c>
      <c r="H2074" s="75" t="s">
        <v>10</v>
      </c>
    </row>
    <row r="2075" spans="1:8" x14ac:dyDescent="0.25">
      <c r="A2075" s="148">
        <v>44793</v>
      </c>
      <c r="B2075" s="149" t="s">
        <v>26810</v>
      </c>
      <c r="C2075" s="153" t="s">
        <v>51</v>
      </c>
      <c r="D2075" s="178">
        <v>5228</v>
      </c>
      <c r="E2075" s="155">
        <v>44793</v>
      </c>
      <c r="F2075" s="178">
        <v>5228</v>
      </c>
      <c r="G2075" s="179">
        <f>Tabla19[[#This Row],[Importe]]-Tabla19[[#This Row],[Pagado]]</f>
        <v>0</v>
      </c>
      <c r="H2075" s="153" t="s">
        <v>10</v>
      </c>
    </row>
    <row r="2076" spans="1:8" x14ac:dyDescent="0.25">
      <c r="A2076" s="73">
        <v>44793</v>
      </c>
      <c r="B2076" s="74" t="s">
        <v>26811</v>
      </c>
      <c r="C2076" s="75" t="s">
        <v>24768</v>
      </c>
      <c r="D2076" s="176">
        <v>5062.2</v>
      </c>
      <c r="E2076" s="151">
        <v>44793</v>
      </c>
      <c r="F2076" s="176">
        <v>5062.2</v>
      </c>
      <c r="G2076" s="177">
        <f>Tabla19[[#This Row],[Importe]]-Tabla19[[#This Row],[Pagado]]</f>
        <v>0</v>
      </c>
      <c r="H2076" s="75" t="s">
        <v>10</v>
      </c>
    </row>
    <row r="2077" spans="1:8" x14ac:dyDescent="0.25">
      <c r="A2077" s="148">
        <v>44793</v>
      </c>
      <c r="B2077" s="149" t="s">
        <v>26812</v>
      </c>
      <c r="C2077" s="153" t="s">
        <v>10840</v>
      </c>
      <c r="D2077" s="178">
        <v>379.2</v>
      </c>
      <c r="E2077" s="155">
        <v>44793</v>
      </c>
      <c r="F2077" s="178">
        <v>379.2</v>
      </c>
      <c r="G2077" s="179">
        <f>Tabla19[[#This Row],[Importe]]-Tabla19[[#This Row],[Pagado]]</f>
        <v>0</v>
      </c>
      <c r="H2077" s="153" t="s">
        <v>10</v>
      </c>
    </row>
    <row r="2078" spans="1:8" x14ac:dyDescent="0.25">
      <c r="A2078" s="73">
        <v>44793</v>
      </c>
      <c r="B2078" s="74" t="s">
        <v>26813</v>
      </c>
      <c r="C2078" s="75" t="s">
        <v>35</v>
      </c>
      <c r="D2078" s="176">
        <v>2920.8</v>
      </c>
      <c r="E2078" s="151">
        <v>44793</v>
      </c>
      <c r="F2078" s="176">
        <v>2920.8</v>
      </c>
      <c r="G2078" s="177">
        <f>Tabla19[[#This Row],[Importe]]-Tabla19[[#This Row],[Pagado]]</f>
        <v>0</v>
      </c>
      <c r="H2078" s="75" t="s">
        <v>10</v>
      </c>
    </row>
    <row r="2079" spans="1:8" x14ac:dyDescent="0.25">
      <c r="A2079" s="148">
        <v>44793</v>
      </c>
      <c r="B2079" s="149" t="s">
        <v>26814</v>
      </c>
      <c r="C2079" s="153" t="s">
        <v>224</v>
      </c>
      <c r="D2079" s="178">
        <v>2244</v>
      </c>
      <c r="E2079" s="155">
        <v>44793</v>
      </c>
      <c r="F2079" s="178">
        <v>2244</v>
      </c>
      <c r="G2079" s="179">
        <f>Tabla19[[#This Row],[Importe]]-Tabla19[[#This Row],[Pagado]]</f>
        <v>0</v>
      </c>
      <c r="H2079" s="153" t="s">
        <v>10</v>
      </c>
    </row>
    <row r="2080" spans="1:8" x14ac:dyDescent="0.25">
      <c r="A2080" s="73">
        <v>44793</v>
      </c>
      <c r="B2080" s="74" t="s">
        <v>26815</v>
      </c>
      <c r="C2080" s="75" t="s">
        <v>31</v>
      </c>
      <c r="D2080" s="176">
        <v>205.4</v>
      </c>
      <c r="E2080" s="151">
        <v>44793</v>
      </c>
      <c r="F2080" s="176">
        <v>205.4</v>
      </c>
      <c r="G2080" s="177">
        <f>Tabla19[[#This Row],[Importe]]-Tabla19[[#This Row],[Pagado]]</f>
        <v>0</v>
      </c>
      <c r="H2080" s="75" t="s">
        <v>10</v>
      </c>
    </row>
    <row r="2081" spans="1:8" x14ac:dyDescent="0.25">
      <c r="A2081" s="148">
        <v>44793</v>
      </c>
      <c r="B2081" s="149" t="s">
        <v>26816</v>
      </c>
      <c r="C2081" s="153" t="s">
        <v>296</v>
      </c>
      <c r="D2081" s="178">
        <v>75.5</v>
      </c>
      <c r="E2081" s="155">
        <v>44793</v>
      </c>
      <c r="F2081" s="178">
        <v>75.5</v>
      </c>
      <c r="G2081" s="179">
        <f>Tabla19[[#This Row],[Importe]]-Tabla19[[#This Row],[Pagado]]</f>
        <v>0</v>
      </c>
      <c r="H2081" s="153" t="s">
        <v>10</v>
      </c>
    </row>
    <row r="2082" spans="1:8" x14ac:dyDescent="0.25">
      <c r="A2082" s="73">
        <v>44793</v>
      </c>
      <c r="B2082" s="74" t="s">
        <v>26817</v>
      </c>
      <c r="C2082" s="75" t="s">
        <v>407</v>
      </c>
      <c r="D2082" s="176">
        <v>10800</v>
      </c>
      <c r="E2082" s="151">
        <v>44809</v>
      </c>
      <c r="F2082" s="176">
        <v>10800</v>
      </c>
      <c r="G2082" s="177">
        <f>Tabla19[[#This Row],[Importe]]-Tabla19[[#This Row],[Pagado]]</f>
        <v>0</v>
      </c>
      <c r="H2082" s="75" t="s">
        <v>10</v>
      </c>
    </row>
    <row r="2083" spans="1:8" x14ac:dyDescent="0.25">
      <c r="A2083" s="148">
        <v>44793</v>
      </c>
      <c r="B2083" s="149" t="s">
        <v>26818</v>
      </c>
      <c r="C2083" s="153" t="s">
        <v>10190</v>
      </c>
      <c r="D2083" s="178">
        <v>31233</v>
      </c>
      <c r="E2083" s="155">
        <v>44794</v>
      </c>
      <c r="F2083" s="178">
        <v>31233</v>
      </c>
      <c r="G2083" s="179">
        <f>Tabla19[[#This Row],[Importe]]-Tabla19[[#This Row],[Pagado]]</f>
        <v>0</v>
      </c>
      <c r="H2083" s="153" t="s">
        <v>10</v>
      </c>
    </row>
    <row r="2084" spans="1:8" x14ac:dyDescent="0.25">
      <c r="A2084" s="73">
        <v>44793</v>
      </c>
      <c r="B2084" s="74" t="s">
        <v>26819</v>
      </c>
      <c r="C2084" s="75" t="s">
        <v>14</v>
      </c>
      <c r="D2084" s="176">
        <v>35650.6</v>
      </c>
      <c r="E2084" s="151">
        <v>44793</v>
      </c>
      <c r="F2084" s="176">
        <v>35650.6</v>
      </c>
      <c r="G2084" s="177">
        <f>Tabla19[[#This Row],[Importe]]-Tabla19[[#This Row],[Pagado]]</f>
        <v>0</v>
      </c>
      <c r="H2084" s="75" t="s">
        <v>10</v>
      </c>
    </row>
    <row r="2085" spans="1:8" x14ac:dyDescent="0.25">
      <c r="A2085" s="148">
        <v>44793</v>
      </c>
      <c r="B2085" s="149" t="s">
        <v>26820</v>
      </c>
      <c r="C2085" s="153" t="s">
        <v>31</v>
      </c>
      <c r="D2085" s="178">
        <v>2316</v>
      </c>
      <c r="E2085" s="155">
        <v>44793</v>
      </c>
      <c r="F2085" s="178">
        <v>2316</v>
      </c>
      <c r="G2085" s="179">
        <f>Tabla19[[#This Row],[Importe]]-Tabla19[[#This Row],[Pagado]]</f>
        <v>0</v>
      </c>
      <c r="H2085" s="153" t="s">
        <v>10</v>
      </c>
    </row>
    <row r="2086" spans="1:8" x14ac:dyDescent="0.25">
      <c r="A2086" s="73">
        <v>44793</v>
      </c>
      <c r="B2086" s="74" t="s">
        <v>26821</v>
      </c>
      <c r="C2086" s="75" t="s">
        <v>31</v>
      </c>
      <c r="D2086" s="176">
        <v>211.2</v>
      </c>
      <c r="E2086" s="151">
        <v>44793</v>
      </c>
      <c r="F2086" s="176">
        <v>211.2</v>
      </c>
      <c r="G2086" s="177">
        <f>Tabla19[[#This Row],[Importe]]-Tabla19[[#This Row],[Pagado]]</f>
        <v>0</v>
      </c>
      <c r="H2086" s="75" t="s">
        <v>10</v>
      </c>
    </row>
    <row r="2087" spans="1:8" x14ac:dyDescent="0.25">
      <c r="A2087" s="148">
        <v>44793</v>
      </c>
      <c r="B2087" s="149" t="s">
        <v>26822</v>
      </c>
      <c r="C2087" s="153" t="s">
        <v>9993</v>
      </c>
      <c r="D2087" s="178">
        <v>58995</v>
      </c>
      <c r="E2087" s="155">
        <v>44793</v>
      </c>
      <c r="F2087" s="178">
        <v>58995</v>
      </c>
      <c r="G2087" s="179">
        <f>Tabla19[[#This Row],[Importe]]-Tabla19[[#This Row],[Pagado]]</f>
        <v>0</v>
      </c>
      <c r="H2087" s="153" t="s">
        <v>10</v>
      </c>
    </row>
    <row r="2088" spans="1:8" x14ac:dyDescent="0.25">
      <c r="A2088" s="73">
        <v>44793</v>
      </c>
      <c r="B2088" s="74" t="s">
        <v>26823</v>
      </c>
      <c r="C2088" s="75" t="s">
        <v>8190</v>
      </c>
      <c r="D2088" s="176">
        <v>3272</v>
      </c>
      <c r="E2088" s="151">
        <v>44793</v>
      </c>
      <c r="F2088" s="176">
        <v>3272</v>
      </c>
      <c r="G2088" s="177">
        <f>Tabla19[[#This Row],[Importe]]-Tabla19[[#This Row],[Pagado]]</f>
        <v>0</v>
      </c>
      <c r="H2088" s="75" t="s">
        <v>10</v>
      </c>
    </row>
    <row r="2089" spans="1:8" x14ac:dyDescent="0.25">
      <c r="A2089" s="148">
        <v>44793</v>
      </c>
      <c r="B2089" s="149" t="s">
        <v>26824</v>
      </c>
      <c r="C2089" s="153" t="s">
        <v>452</v>
      </c>
      <c r="D2089" s="178">
        <v>4800</v>
      </c>
      <c r="E2089" s="155">
        <v>44793</v>
      </c>
      <c r="F2089" s="178">
        <v>4800</v>
      </c>
      <c r="G2089" s="179">
        <f>Tabla19[[#This Row],[Importe]]-Tabla19[[#This Row],[Pagado]]</f>
        <v>0</v>
      </c>
      <c r="H2089" s="153" t="s">
        <v>10</v>
      </c>
    </row>
    <row r="2090" spans="1:8" x14ac:dyDescent="0.25">
      <c r="A2090" s="73">
        <v>44793</v>
      </c>
      <c r="B2090" s="74" t="s">
        <v>26825</v>
      </c>
      <c r="C2090" s="75" t="s">
        <v>31</v>
      </c>
      <c r="D2090" s="176">
        <v>315</v>
      </c>
      <c r="E2090" s="151">
        <v>44793</v>
      </c>
      <c r="F2090" s="176">
        <v>315</v>
      </c>
      <c r="G2090" s="177">
        <f>Tabla19[[#This Row],[Importe]]-Tabla19[[#This Row],[Pagado]]</f>
        <v>0</v>
      </c>
      <c r="H2090" s="75" t="s">
        <v>10</v>
      </c>
    </row>
    <row r="2091" spans="1:8" x14ac:dyDescent="0.25">
      <c r="A2091" s="148">
        <v>44793</v>
      </c>
      <c r="B2091" s="149" t="s">
        <v>26826</v>
      </c>
      <c r="C2091" s="153" t="s">
        <v>196</v>
      </c>
      <c r="D2091" s="178">
        <v>135851.88</v>
      </c>
      <c r="E2091" s="155">
        <v>44799</v>
      </c>
      <c r="F2091" s="178">
        <v>135851.88</v>
      </c>
      <c r="G2091" s="179">
        <f>Tabla19[[#This Row],[Importe]]-Tabla19[[#This Row],[Pagado]]</f>
        <v>0</v>
      </c>
      <c r="H2091" s="153" t="s">
        <v>10</v>
      </c>
    </row>
    <row r="2092" spans="1:8" x14ac:dyDescent="0.25">
      <c r="A2092" s="73">
        <v>44793</v>
      </c>
      <c r="B2092" s="74" t="s">
        <v>26827</v>
      </c>
      <c r="C2092" s="75" t="s">
        <v>31</v>
      </c>
      <c r="D2092" s="176">
        <v>40200</v>
      </c>
      <c r="E2092" s="151">
        <v>44794</v>
      </c>
      <c r="F2092" s="176">
        <v>40200</v>
      </c>
      <c r="G2092" s="177">
        <f>Tabla19[[#This Row],[Importe]]-Tabla19[[#This Row],[Pagado]]</f>
        <v>0</v>
      </c>
      <c r="H2092" s="75" t="s">
        <v>10</v>
      </c>
    </row>
    <row r="2093" spans="1:8" x14ac:dyDescent="0.25">
      <c r="A2093" s="148">
        <v>44794</v>
      </c>
      <c r="B2093" s="149" t="s">
        <v>26828</v>
      </c>
      <c r="C2093" s="153" t="s">
        <v>20</v>
      </c>
      <c r="D2093" s="178">
        <v>11784</v>
      </c>
      <c r="E2093" s="155">
        <v>44794</v>
      </c>
      <c r="F2093" s="178">
        <v>11784</v>
      </c>
      <c r="G2093" s="179">
        <f>Tabla19[[#This Row],[Importe]]-Tabla19[[#This Row],[Pagado]]</f>
        <v>0</v>
      </c>
      <c r="H2093" s="153" t="s">
        <v>10</v>
      </c>
    </row>
    <row r="2094" spans="1:8" x14ac:dyDescent="0.25">
      <c r="A2094" s="73">
        <v>44794</v>
      </c>
      <c r="B2094" s="74" t="s">
        <v>26829</v>
      </c>
      <c r="C2094" s="75" t="s">
        <v>365</v>
      </c>
      <c r="D2094" s="176">
        <v>1508.2</v>
      </c>
      <c r="E2094" s="151">
        <v>44794</v>
      </c>
      <c r="F2094" s="176">
        <v>1508.2</v>
      </c>
      <c r="G2094" s="177">
        <f>Tabla19[[#This Row],[Importe]]-Tabla19[[#This Row],[Pagado]]</f>
        <v>0</v>
      </c>
      <c r="H2094" s="75" t="s">
        <v>10</v>
      </c>
    </row>
    <row r="2095" spans="1:8" x14ac:dyDescent="0.25">
      <c r="A2095" s="148">
        <v>44794</v>
      </c>
      <c r="B2095" s="149" t="s">
        <v>26830</v>
      </c>
      <c r="C2095" s="153" t="s">
        <v>12</v>
      </c>
      <c r="D2095" s="178">
        <v>13758.25</v>
      </c>
      <c r="E2095" s="155">
        <v>44794</v>
      </c>
      <c r="F2095" s="178">
        <v>13758.25</v>
      </c>
      <c r="G2095" s="179">
        <f>Tabla19[[#This Row],[Importe]]-Tabla19[[#This Row],[Pagado]]</f>
        <v>0</v>
      </c>
      <c r="H2095" s="153" t="s">
        <v>10</v>
      </c>
    </row>
    <row r="2096" spans="1:8" x14ac:dyDescent="0.25">
      <c r="A2096" s="73">
        <v>44794</v>
      </c>
      <c r="B2096" s="74" t="s">
        <v>26831</v>
      </c>
      <c r="C2096" s="75" t="s">
        <v>17556</v>
      </c>
      <c r="D2096" s="176">
        <v>3049.4</v>
      </c>
      <c r="E2096" s="151">
        <v>44794</v>
      </c>
      <c r="F2096" s="176">
        <v>3049.4</v>
      </c>
      <c r="G2096" s="177">
        <f>Tabla19[[#This Row],[Importe]]-Tabla19[[#This Row],[Pagado]]</f>
        <v>0</v>
      </c>
      <c r="H2096" s="75" t="s">
        <v>10</v>
      </c>
    </row>
    <row r="2097" spans="1:8" x14ac:dyDescent="0.25">
      <c r="A2097" s="148">
        <v>44794</v>
      </c>
      <c r="B2097" s="149" t="s">
        <v>26832</v>
      </c>
      <c r="C2097" s="153" t="s">
        <v>1187</v>
      </c>
      <c r="D2097" s="178">
        <v>2391.9</v>
      </c>
      <c r="E2097" s="155">
        <v>44794</v>
      </c>
      <c r="F2097" s="178">
        <v>2391.9</v>
      </c>
      <c r="G2097" s="179">
        <f>Tabla19[[#This Row],[Importe]]-Tabla19[[#This Row],[Pagado]]</f>
        <v>0</v>
      </c>
      <c r="H2097" s="153" t="s">
        <v>10</v>
      </c>
    </row>
    <row r="2098" spans="1:8" x14ac:dyDescent="0.25">
      <c r="A2098" s="73">
        <v>44794</v>
      </c>
      <c r="B2098" s="74" t="s">
        <v>26833</v>
      </c>
      <c r="C2098" s="75" t="s">
        <v>9</v>
      </c>
      <c r="D2098" s="176">
        <v>8821.6</v>
      </c>
      <c r="E2098" s="151">
        <v>44794</v>
      </c>
      <c r="F2098" s="176">
        <v>8821.6</v>
      </c>
      <c r="G2098" s="177">
        <f>Tabla19[[#This Row],[Importe]]-Tabla19[[#This Row],[Pagado]]</f>
        <v>0</v>
      </c>
      <c r="H2098" s="75" t="s">
        <v>10</v>
      </c>
    </row>
    <row r="2099" spans="1:8" x14ac:dyDescent="0.25">
      <c r="A2099" s="148">
        <v>44794</v>
      </c>
      <c r="B2099" s="149" t="s">
        <v>26834</v>
      </c>
      <c r="C2099" s="153" t="s">
        <v>22</v>
      </c>
      <c r="D2099" s="178">
        <v>73899.5</v>
      </c>
      <c r="E2099" s="155">
        <v>44795</v>
      </c>
      <c r="F2099" s="178">
        <v>73899.5</v>
      </c>
      <c r="G2099" s="179">
        <f>Tabla19[[#This Row],[Importe]]-Tabla19[[#This Row],[Pagado]]</f>
        <v>0</v>
      </c>
      <c r="H2099" s="153" t="s">
        <v>10</v>
      </c>
    </row>
    <row r="2100" spans="1:8" x14ac:dyDescent="0.25">
      <c r="A2100" s="73">
        <v>44794</v>
      </c>
      <c r="B2100" s="74" t="s">
        <v>26835</v>
      </c>
      <c r="C2100" s="75" t="s">
        <v>450</v>
      </c>
      <c r="D2100" s="176">
        <v>395.6</v>
      </c>
      <c r="E2100" s="151">
        <v>44794</v>
      </c>
      <c r="F2100" s="176">
        <v>395.6</v>
      </c>
      <c r="G2100" s="177">
        <f>Tabla19[[#This Row],[Importe]]-Tabla19[[#This Row],[Pagado]]</f>
        <v>0</v>
      </c>
      <c r="H2100" s="75" t="s">
        <v>10</v>
      </c>
    </row>
    <row r="2101" spans="1:8" x14ac:dyDescent="0.25">
      <c r="A2101" s="148">
        <v>44794</v>
      </c>
      <c r="B2101" s="149" t="s">
        <v>26836</v>
      </c>
      <c r="C2101" s="153" t="s">
        <v>16</v>
      </c>
      <c r="D2101" s="178">
        <v>11668.7</v>
      </c>
      <c r="E2101" s="155">
        <v>44794</v>
      </c>
      <c r="F2101" s="178">
        <v>11668.7</v>
      </c>
      <c r="G2101" s="179">
        <f>Tabla19[[#This Row],[Importe]]-Tabla19[[#This Row],[Pagado]]</f>
        <v>0</v>
      </c>
      <c r="H2101" s="153" t="s">
        <v>10</v>
      </c>
    </row>
    <row r="2102" spans="1:8" x14ac:dyDescent="0.25">
      <c r="A2102" s="73">
        <v>44794</v>
      </c>
      <c r="B2102" s="74" t="s">
        <v>26837</v>
      </c>
      <c r="C2102" s="75" t="s">
        <v>56</v>
      </c>
      <c r="D2102" s="176">
        <v>9648.9</v>
      </c>
      <c r="E2102" s="151">
        <v>44794</v>
      </c>
      <c r="F2102" s="176">
        <v>9648.9</v>
      </c>
      <c r="G2102" s="177">
        <f>Tabla19[[#This Row],[Importe]]-Tabla19[[#This Row],[Pagado]]</f>
        <v>0</v>
      </c>
      <c r="H2102" s="75" t="s">
        <v>10</v>
      </c>
    </row>
    <row r="2103" spans="1:8" x14ac:dyDescent="0.25">
      <c r="A2103" s="148">
        <v>44794</v>
      </c>
      <c r="B2103" s="149" t="s">
        <v>26838</v>
      </c>
      <c r="C2103" s="153" t="s">
        <v>37</v>
      </c>
      <c r="D2103" s="178">
        <v>3334.8</v>
      </c>
      <c r="E2103" s="155">
        <v>44794</v>
      </c>
      <c r="F2103" s="178">
        <v>3334.8</v>
      </c>
      <c r="G2103" s="179">
        <f>Tabla19[[#This Row],[Importe]]-Tabla19[[#This Row],[Pagado]]</f>
        <v>0</v>
      </c>
      <c r="H2103" s="153" t="s">
        <v>10</v>
      </c>
    </row>
    <row r="2104" spans="1:8" x14ac:dyDescent="0.25">
      <c r="A2104" s="73">
        <v>44794</v>
      </c>
      <c r="B2104" s="74" t="s">
        <v>26839</v>
      </c>
      <c r="C2104" s="75" t="s">
        <v>29</v>
      </c>
      <c r="D2104" s="176">
        <v>12012</v>
      </c>
      <c r="E2104" s="151">
        <v>44794</v>
      </c>
      <c r="F2104" s="176">
        <v>12012</v>
      </c>
      <c r="G2104" s="177">
        <f>Tabla19[[#This Row],[Importe]]-Tabla19[[#This Row],[Pagado]]</f>
        <v>0</v>
      </c>
      <c r="H2104" s="75" t="s">
        <v>10</v>
      </c>
    </row>
    <row r="2105" spans="1:8" x14ac:dyDescent="0.25">
      <c r="A2105" s="148">
        <v>44794</v>
      </c>
      <c r="B2105" s="149" t="s">
        <v>26840</v>
      </c>
      <c r="C2105" s="153" t="s">
        <v>1003</v>
      </c>
      <c r="D2105" s="178">
        <v>6265.6</v>
      </c>
      <c r="E2105" s="155">
        <v>44796</v>
      </c>
      <c r="F2105" s="178">
        <v>6265.6</v>
      </c>
      <c r="G2105" s="179">
        <f>Tabla19[[#This Row],[Importe]]-Tabla19[[#This Row],[Pagado]]</f>
        <v>0</v>
      </c>
      <c r="H2105" s="153" t="s">
        <v>10</v>
      </c>
    </row>
    <row r="2106" spans="1:8" x14ac:dyDescent="0.25">
      <c r="A2106" s="73">
        <v>44794</v>
      </c>
      <c r="B2106" s="74" t="s">
        <v>26841</v>
      </c>
      <c r="C2106" s="75" t="s">
        <v>49</v>
      </c>
      <c r="D2106" s="176">
        <v>5156.6000000000004</v>
      </c>
      <c r="E2106" s="151">
        <v>44794</v>
      </c>
      <c r="F2106" s="176">
        <v>5156.6000000000004</v>
      </c>
      <c r="G2106" s="177">
        <f>Tabla19[[#This Row],[Importe]]-Tabla19[[#This Row],[Pagado]]</f>
        <v>0</v>
      </c>
      <c r="H2106" s="75" t="s">
        <v>10</v>
      </c>
    </row>
    <row r="2107" spans="1:8" x14ac:dyDescent="0.25">
      <c r="A2107" s="148">
        <v>44794</v>
      </c>
      <c r="B2107" s="149" t="s">
        <v>26842</v>
      </c>
      <c r="C2107" s="153" t="s">
        <v>45</v>
      </c>
      <c r="D2107" s="178">
        <v>7961.6</v>
      </c>
      <c r="E2107" s="155">
        <v>44794</v>
      </c>
      <c r="F2107" s="178">
        <v>7961.6</v>
      </c>
      <c r="G2107" s="179">
        <f>Tabla19[[#This Row],[Importe]]-Tabla19[[#This Row],[Pagado]]</f>
        <v>0</v>
      </c>
      <c r="H2107" s="153" t="s">
        <v>10</v>
      </c>
    </row>
    <row r="2108" spans="1:8" x14ac:dyDescent="0.25">
      <c r="A2108" s="73">
        <v>44794</v>
      </c>
      <c r="B2108" s="74" t="s">
        <v>26843</v>
      </c>
      <c r="C2108" s="75" t="s">
        <v>31</v>
      </c>
      <c r="D2108" s="176">
        <v>2747</v>
      </c>
      <c r="E2108" s="151">
        <v>44794</v>
      </c>
      <c r="F2108" s="176">
        <v>2747</v>
      </c>
      <c r="G2108" s="177">
        <f>Tabla19[[#This Row],[Importe]]-Tabla19[[#This Row],[Pagado]]</f>
        <v>0</v>
      </c>
      <c r="H2108" s="75" t="s">
        <v>10</v>
      </c>
    </row>
    <row r="2109" spans="1:8" x14ac:dyDescent="0.25">
      <c r="A2109" s="148">
        <v>44794</v>
      </c>
      <c r="B2109" s="149" t="s">
        <v>26844</v>
      </c>
      <c r="C2109" s="153" t="s">
        <v>31</v>
      </c>
      <c r="D2109" s="178">
        <v>546</v>
      </c>
      <c r="E2109" s="155">
        <v>44794</v>
      </c>
      <c r="F2109" s="178">
        <v>546</v>
      </c>
      <c r="G2109" s="179">
        <f>Tabla19[[#This Row],[Importe]]-Tabla19[[#This Row],[Pagado]]</f>
        <v>0</v>
      </c>
      <c r="H2109" s="153" t="s">
        <v>10</v>
      </c>
    </row>
    <row r="2110" spans="1:8" x14ac:dyDescent="0.25">
      <c r="A2110" s="73">
        <v>44794</v>
      </c>
      <c r="B2110" s="74" t="s">
        <v>26845</v>
      </c>
      <c r="C2110" s="75" t="s">
        <v>224</v>
      </c>
      <c r="D2110" s="176">
        <v>4102</v>
      </c>
      <c r="E2110" s="151">
        <v>44794</v>
      </c>
      <c r="F2110" s="176">
        <v>4102</v>
      </c>
      <c r="G2110" s="177">
        <f>Tabla19[[#This Row],[Importe]]-Tabla19[[#This Row],[Pagado]]</f>
        <v>0</v>
      </c>
      <c r="H2110" s="75" t="s">
        <v>10</v>
      </c>
    </row>
    <row r="2111" spans="1:8" x14ac:dyDescent="0.25">
      <c r="A2111" s="148">
        <v>44794</v>
      </c>
      <c r="B2111" s="149" t="s">
        <v>26846</v>
      </c>
      <c r="C2111" s="153" t="s">
        <v>35</v>
      </c>
      <c r="D2111" s="178">
        <v>700</v>
      </c>
      <c r="E2111" s="155">
        <v>44794</v>
      </c>
      <c r="F2111" s="178">
        <v>700</v>
      </c>
      <c r="G2111" s="179">
        <f>Tabla19[[#This Row],[Importe]]-Tabla19[[#This Row],[Pagado]]</f>
        <v>0</v>
      </c>
      <c r="H2111" s="153" t="s">
        <v>10</v>
      </c>
    </row>
    <row r="2112" spans="1:8" x14ac:dyDescent="0.25">
      <c r="A2112" s="73">
        <v>44794</v>
      </c>
      <c r="B2112" s="74" t="s">
        <v>26847</v>
      </c>
      <c r="C2112" s="75" t="s">
        <v>216</v>
      </c>
      <c r="D2112" s="176">
        <v>3166.8</v>
      </c>
      <c r="E2112" s="151">
        <v>44794</v>
      </c>
      <c r="F2112" s="176">
        <v>3166.8</v>
      </c>
      <c r="G2112" s="177">
        <f>Tabla19[[#This Row],[Importe]]-Tabla19[[#This Row],[Pagado]]</f>
        <v>0</v>
      </c>
      <c r="H2112" s="75" t="s">
        <v>10</v>
      </c>
    </row>
    <row r="2113" spans="1:8" x14ac:dyDescent="0.25">
      <c r="A2113" s="148">
        <v>44794</v>
      </c>
      <c r="B2113" s="149" t="s">
        <v>26848</v>
      </c>
      <c r="C2113" s="153" t="s">
        <v>501</v>
      </c>
      <c r="D2113" s="178">
        <v>10057.200000000001</v>
      </c>
      <c r="E2113" s="155">
        <v>44794</v>
      </c>
      <c r="F2113" s="178">
        <v>10057.200000000001</v>
      </c>
      <c r="G2113" s="179">
        <f>Tabla19[[#This Row],[Importe]]-Tabla19[[#This Row],[Pagado]]</f>
        <v>0</v>
      </c>
      <c r="H2113" s="153" t="s">
        <v>10</v>
      </c>
    </row>
    <row r="2114" spans="1:8" x14ac:dyDescent="0.25">
      <c r="A2114" s="73">
        <v>44794</v>
      </c>
      <c r="B2114" s="74" t="s">
        <v>26849</v>
      </c>
      <c r="C2114" s="75" t="s">
        <v>62</v>
      </c>
      <c r="D2114" s="176">
        <v>4125</v>
      </c>
      <c r="E2114" s="151">
        <v>44794</v>
      </c>
      <c r="F2114" s="176">
        <v>4125</v>
      </c>
      <c r="G2114" s="177">
        <f>Tabla19[[#This Row],[Importe]]-Tabla19[[#This Row],[Pagado]]</f>
        <v>0</v>
      </c>
      <c r="H2114" s="75" t="s">
        <v>10</v>
      </c>
    </row>
    <row r="2115" spans="1:8" x14ac:dyDescent="0.25">
      <c r="A2115" s="148">
        <v>44794</v>
      </c>
      <c r="B2115" s="149" t="s">
        <v>26850</v>
      </c>
      <c r="C2115" s="153" t="s">
        <v>296</v>
      </c>
      <c r="D2115" s="178">
        <v>7542.8</v>
      </c>
      <c r="E2115" s="155">
        <v>44794</v>
      </c>
      <c r="F2115" s="178">
        <v>7542.8</v>
      </c>
      <c r="G2115" s="179">
        <f>Tabla19[[#This Row],[Importe]]-Tabla19[[#This Row],[Pagado]]</f>
        <v>0</v>
      </c>
      <c r="H2115" s="153" t="s">
        <v>10</v>
      </c>
    </row>
    <row r="2116" spans="1:8" x14ac:dyDescent="0.25">
      <c r="A2116" s="73">
        <v>44794</v>
      </c>
      <c r="B2116" s="74" t="s">
        <v>26851</v>
      </c>
      <c r="C2116" s="75" t="s">
        <v>58</v>
      </c>
      <c r="D2116" s="176">
        <v>2992.8</v>
      </c>
      <c r="E2116" s="151">
        <v>44794</v>
      </c>
      <c r="F2116" s="176">
        <v>2992.8</v>
      </c>
      <c r="G2116" s="177">
        <f>Tabla19[[#This Row],[Importe]]-Tabla19[[#This Row],[Pagado]]</f>
        <v>0</v>
      </c>
      <c r="H2116" s="75" t="s">
        <v>10</v>
      </c>
    </row>
    <row r="2117" spans="1:8" x14ac:dyDescent="0.25">
      <c r="A2117" s="148">
        <v>44794</v>
      </c>
      <c r="B2117" s="149" t="s">
        <v>26852</v>
      </c>
      <c r="C2117" s="153" t="s">
        <v>9827</v>
      </c>
      <c r="D2117" s="178">
        <v>4313.3999999999996</v>
      </c>
      <c r="E2117" s="155">
        <v>44794</v>
      </c>
      <c r="F2117" s="178">
        <v>4313.3999999999996</v>
      </c>
      <c r="G2117" s="179">
        <f>Tabla19[[#This Row],[Importe]]-Tabla19[[#This Row],[Pagado]]</f>
        <v>0</v>
      </c>
      <c r="H2117" s="153" t="s">
        <v>10</v>
      </c>
    </row>
    <row r="2118" spans="1:8" x14ac:dyDescent="0.25">
      <c r="A2118" s="73">
        <v>44794</v>
      </c>
      <c r="B2118" s="74" t="s">
        <v>26853</v>
      </c>
      <c r="C2118" s="75" t="s">
        <v>24284</v>
      </c>
      <c r="D2118" s="176">
        <v>1279.2</v>
      </c>
      <c r="E2118" s="151">
        <v>44794</v>
      </c>
      <c r="F2118" s="176">
        <v>1279.2</v>
      </c>
      <c r="G2118" s="177">
        <f>Tabla19[[#This Row],[Importe]]-Tabla19[[#This Row],[Pagado]]</f>
        <v>0</v>
      </c>
      <c r="H2118" s="75" t="s">
        <v>10</v>
      </c>
    </row>
    <row r="2119" spans="1:8" x14ac:dyDescent="0.25">
      <c r="A2119" s="148">
        <v>44794</v>
      </c>
      <c r="B2119" s="149" t="s">
        <v>26854</v>
      </c>
      <c r="C2119" s="153" t="s">
        <v>22</v>
      </c>
      <c r="D2119" s="178">
        <v>9217</v>
      </c>
      <c r="E2119" s="155">
        <v>44796</v>
      </c>
      <c r="F2119" s="178">
        <v>9217</v>
      </c>
      <c r="G2119" s="179">
        <f>Tabla19[[#This Row],[Importe]]-Tabla19[[#This Row],[Pagado]]</f>
        <v>0</v>
      </c>
      <c r="H2119" s="153" t="s">
        <v>10</v>
      </c>
    </row>
    <row r="2120" spans="1:8" x14ac:dyDescent="0.25">
      <c r="A2120" s="73">
        <v>44794</v>
      </c>
      <c r="B2120" s="74" t="s">
        <v>26855</v>
      </c>
      <c r="C2120" s="75" t="s">
        <v>857</v>
      </c>
      <c r="D2120" s="176">
        <v>516</v>
      </c>
      <c r="E2120" s="151">
        <v>44794</v>
      </c>
      <c r="F2120" s="176">
        <v>516</v>
      </c>
      <c r="G2120" s="177">
        <f>Tabla19[[#This Row],[Importe]]-Tabla19[[#This Row],[Pagado]]</f>
        <v>0</v>
      </c>
      <c r="H2120" s="75" t="s">
        <v>10</v>
      </c>
    </row>
    <row r="2121" spans="1:8" x14ac:dyDescent="0.25">
      <c r="A2121" s="148">
        <v>44794</v>
      </c>
      <c r="B2121" s="149" t="s">
        <v>26856</v>
      </c>
      <c r="C2121" s="153" t="s">
        <v>67</v>
      </c>
      <c r="D2121" s="178">
        <v>2138.6</v>
      </c>
      <c r="E2121" s="155">
        <v>44794</v>
      </c>
      <c r="F2121" s="178">
        <v>2138.6</v>
      </c>
      <c r="G2121" s="179">
        <f>Tabla19[[#This Row],[Importe]]-Tabla19[[#This Row],[Pagado]]</f>
        <v>0</v>
      </c>
      <c r="H2121" s="153" t="s">
        <v>10</v>
      </c>
    </row>
    <row r="2122" spans="1:8" x14ac:dyDescent="0.25">
      <c r="A2122" s="73">
        <v>44794</v>
      </c>
      <c r="B2122" s="74" t="s">
        <v>26857</v>
      </c>
      <c r="C2122" s="75" t="s">
        <v>2139</v>
      </c>
      <c r="D2122" s="176">
        <v>4852.5</v>
      </c>
      <c r="E2122" s="151">
        <v>44794</v>
      </c>
      <c r="F2122" s="176">
        <v>4852.5</v>
      </c>
      <c r="G2122" s="177">
        <f>Tabla19[[#This Row],[Importe]]-Tabla19[[#This Row],[Pagado]]</f>
        <v>0</v>
      </c>
      <c r="H2122" s="75" t="s">
        <v>10</v>
      </c>
    </row>
    <row r="2123" spans="1:8" x14ac:dyDescent="0.25">
      <c r="A2123" s="148">
        <v>44794</v>
      </c>
      <c r="B2123" s="149" t="s">
        <v>26858</v>
      </c>
      <c r="C2123" s="153" t="s">
        <v>214</v>
      </c>
      <c r="D2123" s="178">
        <v>1786.2</v>
      </c>
      <c r="E2123" s="155">
        <v>44794</v>
      </c>
      <c r="F2123" s="178">
        <v>1786.2</v>
      </c>
      <c r="G2123" s="179">
        <f>Tabla19[[#This Row],[Importe]]-Tabla19[[#This Row],[Pagado]]</f>
        <v>0</v>
      </c>
      <c r="H2123" s="153" t="s">
        <v>10</v>
      </c>
    </row>
    <row r="2124" spans="1:8" x14ac:dyDescent="0.25">
      <c r="A2124" s="73">
        <v>44794</v>
      </c>
      <c r="B2124" s="74" t="s">
        <v>26859</v>
      </c>
      <c r="C2124" s="75" t="s">
        <v>31</v>
      </c>
      <c r="D2124" s="176">
        <v>484</v>
      </c>
      <c r="E2124" s="151">
        <v>44794</v>
      </c>
      <c r="F2124" s="176">
        <v>484</v>
      </c>
      <c r="G2124" s="177">
        <f>Tabla19[[#This Row],[Importe]]-Tabla19[[#This Row],[Pagado]]</f>
        <v>0</v>
      </c>
      <c r="H2124" s="75" t="s">
        <v>10</v>
      </c>
    </row>
    <row r="2125" spans="1:8" x14ac:dyDescent="0.25">
      <c r="A2125" s="148">
        <v>44794</v>
      </c>
      <c r="B2125" s="149" t="s">
        <v>26860</v>
      </c>
      <c r="C2125" s="153" t="s">
        <v>670</v>
      </c>
      <c r="D2125" s="178">
        <v>1314.2</v>
      </c>
      <c r="E2125" s="155">
        <v>44794</v>
      </c>
      <c r="F2125" s="178">
        <v>1314.2</v>
      </c>
      <c r="G2125" s="179">
        <f>Tabla19[[#This Row],[Importe]]-Tabla19[[#This Row],[Pagado]]</f>
        <v>0</v>
      </c>
      <c r="H2125" s="153" t="s">
        <v>10</v>
      </c>
    </row>
    <row r="2126" spans="1:8" x14ac:dyDescent="0.25">
      <c r="A2126" s="73">
        <v>44794</v>
      </c>
      <c r="B2126" s="74" t="s">
        <v>26861</v>
      </c>
      <c r="C2126" s="75" t="s">
        <v>53</v>
      </c>
      <c r="D2126" s="176">
        <v>616.20000000000005</v>
      </c>
      <c r="E2126" s="151">
        <v>44794</v>
      </c>
      <c r="F2126" s="176">
        <v>616.20000000000005</v>
      </c>
      <c r="G2126" s="177">
        <f>Tabla19[[#This Row],[Importe]]-Tabla19[[#This Row],[Pagado]]</f>
        <v>0</v>
      </c>
      <c r="H2126" s="75" t="s">
        <v>10</v>
      </c>
    </row>
    <row r="2127" spans="1:8" x14ac:dyDescent="0.25">
      <c r="A2127" s="148">
        <v>44794</v>
      </c>
      <c r="B2127" s="149" t="s">
        <v>26862</v>
      </c>
      <c r="C2127" s="153" t="s">
        <v>53</v>
      </c>
      <c r="D2127" s="178">
        <v>71.099999999999994</v>
      </c>
      <c r="E2127" s="155">
        <v>44794</v>
      </c>
      <c r="F2127" s="178">
        <v>71.099999999999994</v>
      </c>
      <c r="G2127" s="179">
        <f>Tabla19[[#This Row],[Importe]]-Tabla19[[#This Row],[Pagado]]</f>
        <v>0</v>
      </c>
      <c r="H2127" s="153" t="s">
        <v>10</v>
      </c>
    </row>
    <row r="2128" spans="1:8" x14ac:dyDescent="0.25">
      <c r="A2128" s="73">
        <v>44794</v>
      </c>
      <c r="B2128" s="74" t="s">
        <v>26863</v>
      </c>
      <c r="C2128" s="75" t="s">
        <v>16</v>
      </c>
      <c r="D2128" s="176">
        <v>1982.4</v>
      </c>
      <c r="E2128" s="151">
        <v>44794</v>
      </c>
      <c r="F2128" s="176">
        <v>1982.4</v>
      </c>
      <c r="G2128" s="177">
        <f>Tabla19[[#This Row],[Importe]]-Tabla19[[#This Row],[Pagado]]</f>
        <v>0</v>
      </c>
      <c r="H2128" s="75" t="s">
        <v>10</v>
      </c>
    </row>
    <row r="2129" spans="1:8" x14ac:dyDescent="0.25">
      <c r="A2129" s="148">
        <v>44794</v>
      </c>
      <c r="B2129" s="149" t="s">
        <v>26864</v>
      </c>
      <c r="C2129" s="153" t="s">
        <v>69</v>
      </c>
      <c r="D2129" s="178">
        <v>1287</v>
      </c>
      <c r="E2129" s="155">
        <v>44794</v>
      </c>
      <c r="F2129" s="178">
        <v>1287</v>
      </c>
      <c r="G2129" s="179">
        <f>Tabla19[[#This Row],[Importe]]-Tabla19[[#This Row],[Pagado]]</f>
        <v>0</v>
      </c>
      <c r="H2129" s="153" t="s">
        <v>10</v>
      </c>
    </row>
    <row r="2130" spans="1:8" x14ac:dyDescent="0.25">
      <c r="A2130" s="73">
        <v>44794</v>
      </c>
      <c r="B2130" s="74" t="s">
        <v>26865</v>
      </c>
      <c r="C2130" s="75" t="s">
        <v>75</v>
      </c>
      <c r="D2130" s="176">
        <v>12870</v>
      </c>
      <c r="E2130" s="151">
        <v>44794</v>
      </c>
      <c r="F2130" s="176">
        <v>12870</v>
      </c>
      <c r="G2130" s="177">
        <f>Tabla19[[#This Row],[Importe]]-Tabla19[[#This Row],[Pagado]]</f>
        <v>0</v>
      </c>
      <c r="H2130" s="75" t="s">
        <v>10</v>
      </c>
    </row>
    <row r="2131" spans="1:8" x14ac:dyDescent="0.25">
      <c r="A2131" s="148">
        <v>44794</v>
      </c>
      <c r="B2131" s="149" t="s">
        <v>26866</v>
      </c>
      <c r="C2131" s="153" t="s">
        <v>31</v>
      </c>
      <c r="D2131" s="178">
        <v>608.29999999999995</v>
      </c>
      <c r="E2131" s="155">
        <v>44794</v>
      </c>
      <c r="F2131" s="178">
        <v>608.29999999999995</v>
      </c>
      <c r="G2131" s="179">
        <f>Tabla19[[#This Row],[Importe]]-Tabla19[[#This Row],[Pagado]]</f>
        <v>0</v>
      </c>
      <c r="H2131" s="153" t="s">
        <v>10</v>
      </c>
    </row>
    <row r="2132" spans="1:8" x14ac:dyDescent="0.25">
      <c r="A2132" s="73">
        <v>44794</v>
      </c>
      <c r="B2132" s="74" t="s">
        <v>26867</v>
      </c>
      <c r="C2132" s="75" t="s">
        <v>31</v>
      </c>
      <c r="D2132" s="176">
        <v>1528.1</v>
      </c>
      <c r="E2132" s="151">
        <v>44794</v>
      </c>
      <c r="F2132" s="176">
        <v>1528.1</v>
      </c>
      <c r="G2132" s="177">
        <f>Tabla19[[#This Row],[Importe]]-Tabla19[[#This Row],[Pagado]]</f>
        <v>0</v>
      </c>
      <c r="H2132" s="75" t="s">
        <v>10</v>
      </c>
    </row>
    <row r="2133" spans="1:8" x14ac:dyDescent="0.25">
      <c r="A2133" s="148">
        <v>44794</v>
      </c>
      <c r="B2133" s="149" t="s">
        <v>26868</v>
      </c>
      <c r="C2133" s="153" t="s">
        <v>16</v>
      </c>
      <c r="D2133" s="178">
        <v>595.9</v>
      </c>
      <c r="E2133" s="155">
        <v>44794</v>
      </c>
      <c r="F2133" s="178">
        <v>595.9</v>
      </c>
      <c r="G2133" s="179">
        <f>Tabla19[[#This Row],[Importe]]-Tabla19[[#This Row],[Pagado]]</f>
        <v>0</v>
      </c>
      <c r="H2133" s="153" t="s">
        <v>10</v>
      </c>
    </row>
    <row r="2134" spans="1:8" x14ac:dyDescent="0.25">
      <c r="A2134" s="73">
        <v>44794</v>
      </c>
      <c r="B2134" s="74" t="s">
        <v>26869</v>
      </c>
      <c r="C2134" s="75" t="s">
        <v>67</v>
      </c>
      <c r="D2134" s="176">
        <v>1184</v>
      </c>
      <c r="E2134" s="151">
        <v>44794</v>
      </c>
      <c r="F2134" s="176">
        <v>1184</v>
      </c>
      <c r="G2134" s="177">
        <f>Tabla19[[#This Row],[Importe]]-Tabla19[[#This Row],[Pagado]]</f>
        <v>0</v>
      </c>
      <c r="H2134" s="75" t="s">
        <v>10</v>
      </c>
    </row>
    <row r="2135" spans="1:8" x14ac:dyDescent="0.25">
      <c r="A2135" s="148">
        <v>44795</v>
      </c>
      <c r="B2135" s="149" t="s">
        <v>26870</v>
      </c>
      <c r="C2135" s="153" t="s">
        <v>75</v>
      </c>
      <c r="D2135" s="178">
        <v>9289.7999999999993</v>
      </c>
      <c r="E2135" s="155">
        <v>44795</v>
      </c>
      <c r="F2135" s="178">
        <v>9289.7999999999993</v>
      </c>
      <c r="G2135" s="179">
        <f>Tabla19[[#This Row],[Importe]]-Tabla19[[#This Row],[Pagado]]</f>
        <v>0</v>
      </c>
      <c r="H2135" s="153" t="s">
        <v>10</v>
      </c>
    </row>
    <row r="2136" spans="1:8" x14ac:dyDescent="0.25">
      <c r="A2136" s="73">
        <v>44795</v>
      </c>
      <c r="B2136" s="74" t="s">
        <v>26871</v>
      </c>
      <c r="C2136" s="75" t="s">
        <v>49</v>
      </c>
      <c r="D2136" s="176">
        <v>3669.8</v>
      </c>
      <c r="E2136" s="151">
        <v>44795</v>
      </c>
      <c r="F2136" s="176">
        <v>3669.8</v>
      </c>
      <c r="G2136" s="177">
        <f>Tabla19[[#This Row],[Importe]]-Tabla19[[#This Row],[Pagado]]</f>
        <v>0</v>
      </c>
      <c r="H2136" s="75" t="s">
        <v>10</v>
      </c>
    </row>
    <row r="2137" spans="1:8" x14ac:dyDescent="0.25">
      <c r="A2137" s="148">
        <v>44795</v>
      </c>
      <c r="B2137" s="149" t="s">
        <v>26872</v>
      </c>
      <c r="C2137" s="153" t="s">
        <v>60</v>
      </c>
      <c r="D2137" s="178">
        <v>4784</v>
      </c>
      <c r="E2137" s="155">
        <v>44797</v>
      </c>
      <c r="F2137" s="178">
        <v>4784</v>
      </c>
      <c r="G2137" s="179">
        <f>Tabla19[[#This Row],[Importe]]-Tabla19[[#This Row],[Pagado]]</f>
        <v>0</v>
      </c>
      <c r="H2137" s="153" t="s">
        <v>10</v>
      </c>
    </row>
    <row r="2138" spans="1:8" x14ac:dyDescent="0.25">
      <c r="A2138" s="73">
        <v>44795</v>
      </c>
      <c r="B2138" s="74" t="s">
        <v>26873</v>
      </c>
      <c r="C2138" s="75" t="s">
        <v>2563</v>
      </c>
      <c r="D2138" s="176">
        <v>5635.5</v>
      </c>
      <c r="E2138" s="151">
        <v>44796</v>
      </c>
      <c r="F2138" s="176">
        <v>5635.5</v>
      </c>
      <c r="G2138" s="177">
        <f>Tabla19[[#This Row],[Importe]]-Tabla19[[#This Row],[Pagado]]</f>
        <v>0</v>
      </c>
      <c r="H2138" s="75" t="s">
        <v>10</v>
      </c>
    </row>
    <row r="2139" spans="1:8" x14ac:dyDescent="0.25">
      <c r="A2139" s="148">
        <v>44795</v>
      </c>
      <c r="B2139" s="149" t="s">
        <v>26874</v>
      </c>
      <c r="C2139" s="153" t="s">
        <v>64</v>
      </c>
      <c r="D2139" s="178">
        <v>5726.5</v>
      </c>
      <c r="E2139" s="155">
        <v>44796</v>
      </c>
      <c r="F2139" s="178">
        <v>5726.5</v>
      </c>
      <c r="G2139" s="179">
        <f>Tabla19[[#This Row],[Importe]]-Tabla19[[#This Row],[Pagado]]</f>
        <v>0</v>
      </c>
      <c r="H2139" s="153" t="s">
        <v>10</v>
      </c>
    </row>
    <row r="2140" spans="1:8" x14ac:dyDescent="0.25">
      <c r="A2140" s="73">
        <v>44795</v>
      </c>
      <c r="B2140" s="74" t="s">
        <v>26875</v>
      </c>
      <c r="C2140" s="75" t="s">
        <v>111</v>
      </c>
      <c r="D2140" s="176">
        <v>6501.6</v>
      </c>
      <c r="E2140" s="151">
        <v>44796</v>
      </c>
      <c r="F2140" s="176">
        <v>6501.6</v>
      </c>
      <c r="G2140" s="177">
        <f>Tabla19[[#This Row],[Importe]]-Tabla19[[#This Row],[Pagado]]</f>
        <v>0</v>
      </c>
      <c r="H2140" s="75" t="s">
        <v>10</v>
      </c>
    </row>
    <row r="2141" spans="1:8" x14ac:dyDescent="0.25">
      <c r="A2141" s="148">
        <v>44795</v>
      </c>
      <c r="B2141" s="149" t="s">
        <v>26876</v>
      </c>
      <c r="C2141" s="153" t="s">
        <v>348</v>
      </c>
      <c r="D2141" s="178">
        <v>4094.2</v>
      </c>
      <c r="E2141" s="155">
        <v>44795</v>
      </c>
      <c r="F2141" s="178">
        <v>4094.2</v>
      </c>
      <c r="G2141" s="179">
        <f>Tabla19[[#This Row],[Importe]]-Tabla19[[#This Row],[Pagado]]</f>
        <v>0</v>
      </c>
      <c r="H2141" s="153" t="s">
        <v>10</v>
      </c>
    </row>
    <row r="2142" spans="1:8" x14ac:dyDescent="0.25">
      <c r="A2142" s="73">
        <v>44795</v>
      </c>
      <c r="B2142" s="74" t="s">
        <v>26877</v>
      </c>
      <c r="C2142" s="75" t="s">
        <v>16819</v>
      </c>
      <c r="D2142" s="176">
        <v>5265</v>
      </c>
      <c r="E2142" s="151">
        <v>44795</v>
      </c>
      <c r="F2142" s="176">
        <v>5265</v>
      </c>
      <c r="G2142" s="177">
        <f>Tabla19[[#This Row],[Importe]]-Tabla19[[#This Row],[Pagado]]</f>
        <v>0</v>
      </c>
      <c r="H2142" s="75" t="s">
        <v>10</v>
      </c>
    </row>
    <row r="2143" spans="1:8" x14ac:dyDescent="0.25">
      <c r="A2143" s="148">
        <v>44795</v>
      </c>
      <c r="B2143" s="149" t="s">
        <v>26878</v>
      </c>
      <c r="C2143" s="153" t="s">
        <v>89</v>
      </c>
      <c r="D2143" s="178">
        <v>8427.4</v>
      </c>
      <c r="E2143" s="155">
        <v>44796</v>
      </c>
      <c r="F2143" s="178">
        <v>8427.4</v>
      </c>
      <c r="G2143" s="179">
        <f>Tabla19[[#This Row],[Importe]]-Tabla19[[#This Row],[Pagado]]</f>
        <v>0</v>
      </c>
      <c r="H2143" s="153" t="s">
        <v>10</v>
      </c>
    </row>
    <row r="2144" spans="1:8" x14ac:dyDescent="0.25">
      <c r="A2144" s="73">
        <v>44795</v>
      </c>
      <c r="B2144" s="74" t="s">
        <v>26879</v>
      </c>
      <c r="C2144" s="75" t="s">
        <v>105</v>
      </c>
      <c r="D2144" s="176">
        <v>10132.6</v>
      </c>
      <c r="E2144" s="151">
        <v>44796</v>
      </c>
      <c r="F2144" s="176">
        <v>10132.6</v>
      </c>
      <c r="G2144" s="177">
        <f>Tabla19[[#This Row],[Importe]]-Tabla19[[#This Row],[Pagado]]</f>
        <v>0</v>
      </c>
      <c r="H2144" s="75" t="s">
        <v>10</v>
      </c>
    </row>
    <row r="2145" spans="1:8" x14ac:dyDescent="0.25">
      <c r="A2145" s="148">
        <v>44795</v>
      </c>
      <c r="B2145" s="149" t="s">
        <v>26880</v>
      </c>
      <c r="C2145" s="153" t="s">
        <v>2151</v>
      </c>
      <c r="D2145" s="178">
        <v>17655</v>
      </c>
      <c r="E2145" s="155">
        <v>44795</v>
      </c>
      <c r="F2145" s="178">
        <v>17655</v>
      </c>
      <c r="G2145" s="179">
        <f>Tabla19[[#This Row],[Importe]]-Tabla19[[#This Row],[Pagado]]</f>
        <v>0</v>
      </c>
      <c r="H2145" s="153" t="s">
        <v>10</v>
      </c>
    </row>
    <row r="2146" spans="1:8" x14ac:dyDescent="0.25">
      <c r="A2146" s="73">
        <v>44795</v>
      </c>
      <c r="B2146" s="74" t="s">
        <v>26881</v>
      </c>
      <c r="C2146" s="75" t="s">
        <v>53</v>
      </c>
      <c r="D2146" s="176">
        <v>1200.8</v>
      </c>
      <c r="E2146" s="151">
        <v>44795</v>
      </c>
      <c r="F2146" s="176">
        <v>1200.8</v>
      </c>
      <c r="G2146" s="177">
        <f>Tabla19[[#This Row],[Importe]]-Tabla19[[#This Row],[Pagado]]</f>
        <v>0</v>
      </c>
      <c r="H2146" s="75" t="s">
        <v>10</v>
      </c>
    </row>
    <row r="2147" spans="1:8" x14ac:dyDescent="0.25">
      <c r="A2147" s="148">
        <v>44795</v>
      </c>
      <c r="B2147" s="149" t="s">
        <v>26882</v>
      </c>
      <c r="C2147" s="153" t="s">
        <v>114</v>
      </c>
      <c r="D2147" s="178">
        <v>7238.8</v>
      </c>
      <c r="E2147" s="155">
        <v>44796</v>
      </c>
      <c r="F2147" s="178">
        <v>7238.8</v>
      </c>
      <c r="G2147" s="179">
        <f>Tabla19[[#This Row],[Importe]]-Tabla19[[#This Row],[Pagado]]</f>
        <v>0</v>
      </c>
      <c r="H2147" s="153" t="s">
        <v>10</v>
      </c>
    </row>
    <row r="2148" spans="1:8" x14ac:dyDescent="0.25">
      <c r="A2148" s="73">
        <v>44795</v>
      </c>
      <c r="B2148" s="74" t="s">
        <v>26883</v>
      </c>
      <c r="C2148" s="75" t="s">
        <v>9</v>
      </c>
      <c r="D2148" s="176">
        <v>8191.7</v>
      </c>
      <c r="E2148" s="151">
        <v>44795</v>
      </c>
      <c r="F2148" s="176">
        <v>8191.7</v>
      </c>
      <c r="G2148" s="177">
        <f>Tabla19[[#This Row],[Importe]]-Tabla19[[#This Row],[Pagado]]</f>
        <v>0</v>
      </c>
      <c r="H2148" s="75" t="s">
        <v>10</v>
      </c>
    </row>
    <row r="2149" spans="1:8" ht="31.5" x14ac:dyDescent="0.25">
      <c r="A2149" s="148">
        <v>44795</v>
      </c>
      <c r="B2149" s="149" t="s">
        <v>26884</v>
      </c>
      <c r="C2149" s="153" t="s">
        <v>93</v>
      </c>
      <c r="D2149" s="178">
        <v>10024.4</v>
      </c>
      <c r="E2149" s="150" t="s">
        <v>26885</v>
      </c>
      <c r="F2149" s="178">
        <f>4000+6024.4</f>
        <v>10024.4</v>
      </c>
      <c r="G2149" s="179">
        <f>Tabla19[[#This Row],[Importe]]-Tabla19[[#This Row],[Pagado]]</f>
        <v>0</v>
      </c>
      <c r="H2149" s="153" t="s">
        <v>10</v>
      </c>
    </row>
    <row r="2150" spans="1:8" ht="31.5" x14ac:dyDescent="0.25">
      <c r="A2150" s="73">
        <v>44795</v>
      </c>
      <c r="B2150" s="74" t="s">
        <v>26886</v>
      </c>
      <c r="C2150" s="75" t="s">
        <v>12</v>
      </c>
      <c r="D2150" s="176">
        <v>7090.8</v>
      </c>
      <c r="E2150" s="147" t="s">
        <v>26887</v>
      </c>
      <c r="F2150" s="176">
        <f>6250+840.8</f>
        <v>7090.8</v>
      </c>
      <c r="G2150" s="177">
        <f>Tabla19[[#This Row],[Importe]]-Tabla19[[#This Row],[Pagado]]</f>
        <v>0</v>
      </c>
      <c r="H2150" s="75" t="s">
        <v>10</v>
      </c>
    </row>
    <row r="2151" spans="1:8" x14ac:dyDescent="0.25">
      <c r="A2151" s="148">
        <v>44795</v>
      </c>
      <c r="B2151" s="149" t="s">
        <v>26888</v>
      </c>
      <c r="C2151" s="153" t="s">
        <v>12</v>
      </c>
      <c r="D2151" s="178">
        <v>324.89999999999998</v>
      </c>
      <c r="E2151" s="155">
        <v>44797</v>
      </c>
      <c r="F2151" s="178">
        <v>324.89999999999998</v>
      </c>
      <c r="G2151" s="179">
        <f>Tabla19[[#This Row],[Importe]]-Tabla19[[#This Row],[Pagado]]</f>
        <v>0</v>
      </c>
      <c r="H2151" s="153" t="s">
        <v>10</v>
      </c>
    </row>
    <row r="2152" spans="1:8" x14ac:dyDescent="0.25">
      <c r="A2152" s="73">
        <v>44795</v>
      </c>
      <c r="B2152" s="74" t="s">
        <v>26889</v>
      </c>
      <c r="C2152" s="75" t="s">
        <v>17556</v>
      </c>
      <c r="D2152" s="176">
        <v>4395.6000000000004</v>
      </c>
      <c r="E2152" s="151">
        <v>44795</v>
      </c>
      <c r="F2152" s="176">
        <v>4395.6000000000004</v>
      </c>
      <c r="G2152" s="177">
        <f>Tabla19[[#This Row],[Importe]]-Tabla19[[#This Row],[Pagado]]</f>
        <v>0</v>
      </c>
      <c r="H2152" s="75" t="s">
        <v>10</v>
      </c>
    </row>
    <row r="2153" spans="1:8" x14ac:dyDescent="0.25">
      <c r="A2153" s="148">
        <v>44795</v>
      </c>
      <c r="B2153" s="149" t="s">
        <v>26890</v>
      </c>
      <c r="C2153" s="153" t="s">
        <v>1187</v>
      </c>
      <c r="D2153" s="178">
        <v>922.7</v>
      </c>
      <c r="E2153" s="155">
        <v>44795</v>
      </c>
      <c r="F2153" s="178">
        <v>922.7</v>
      </c>
      <c r="G2153" s="179">
        <f>Tabla19[[#This Row],[Importe]]-Tabla19[[#This Row],[Pagado]]</f>
        <v>0</v>
      </c>
      <c r="H2153" s="153" t="s">
        <v>10</v>
      </c>
    </row>
    <row r="2154" spans="1:8" x14ac:dyDescent="0.25">
      <c r="A2154" s="73">
        <v>44795</v>
      </c>
      <c r="B2154" s="74" t="s">
        <v>26891</v>
      </c>
      <c r="C2154" s="75" t="s">
        <v>484</v>
      </c>
      <c r="D2154" s="176">
        <v>4020.9</v>
      </c>
      <c r="E2154" s="151">
        <v>44795</v>
      </c>
      <c r="F2154" s="176">
        <v>4020.9</v>
      </c>
      <c r="G2154" s="177">
        <f>Tabla19[[#This Row],[Importe]]-Tabla19[[#This Row],[Pagado]]</f>
        <v>0</v>
      </c>
      <c r="H2154" s="75" t="s">
        <v>10</v>
      </c>
    </row>
    <row r="2155" spans="1:8" x14ac:dyDescent="0.25">
      <c r="A2155" s="148">
        <v>44795</v>
      </c>
      <c r="B2155" s="149" t="s">
        <v>26892</v>
      </c>
      <c r="C2155" s="153" t="s">
        <v>450</v>
      </c>
      <c r="D2155" s="178">
        <v>6373.7</v>
      </c>
      <c r="E2155" s="155">
        <v>44795</v>
      </c>
      <c r="F2155" s="178">
        <v>6373.7</v>
      </c>
      <c r="G2155" s="179">
        <f>Tabla19[[#This Row],[Importe]]-Tabla19[[#This Row],[Pagado]]</f>
        <v>0</v>
      </c>
      <c r="H2155" s="153" t="s">
        <v>10</v>
      </c>
    </row>
    <row r="2156" spans="1:8" x14ac:dyDescent="0.25">
      <c r="A2156" s="73">
        <v>44795</v>
      </c>
      <c r="B2156" s="74" t="s">
        <v>26893</v>
      </c>
      <c r="C2156" s="75" t="s">
        <v>27</v>
      </c>
      <c r="D2156" s="176">
        <v>2711.6</v>
      </c>
      <c r="E2156" s="151">
        <v>44795</v>
      </c>
      <c r="F2156" s="176">
        <v>2711.6</v>
      </c>
      <c r="G2156" s="177">
        <f>Tabla19[[#This Row],[Importe]]-Tabla19[[#This Row],[Pagado]]</f>
        <v>0</v>
      </c>
      <c r="H2156" s="75" t="s">
        <v>10</v>
      </c>
    </row>
    <row r="2157" spans="1:8" x14ac:dyDescent="0.25">
      <c r="A2157" s="148">
        <v>44795</v>
      </c>
      <c r="B2157" s="149" t="s">
        <v>26894</v>
      </c>
      <c r="C2157" s="153" t="s">
        <v>16</v>
      </c>
      <c r="D2157" s="178">
        <v>3645.6</v>
      </c>
      <c r="E2157" s="155">
        <v>44795</v>
      </c>
      <c r="F2157" s="178">
        <v>3645.6</v>
      </c>
      <c r="G2157" s="179">
        <f>Tabla19[[#This Row],[Importe]]-Tabla19[[#This Row],[Pagado]]</f>
        <v>0</v>
      </c>
      <c r="H2157" s="153" t="s">
        <v>10</v>
      </c>
    </row>
    <row r="2158" spans="1:8" x14ac:dyDescent="0.25">
      <c r="A2158" s="73">
        <v>44795</v>
      </c>
      <c r="B2158" s="74" t="s">
        <v>26895</v>
      </c>
      <c r="C2158" s="75" t="s">
        <v>16</v>
      </c>
      <c r="D2158" s="176">
        <v>3655.6</v>
      </c>
      <c r="E2158" s="151">
        <v>44795</v>
      </c>
      <c r="F2158" s="176">
        <v>3655.6</v>
      </c>
      <c r="G2158" s="177">
        <f>Tabla19[[#This Row],[Importe]]-Tabla19[[#This Row],[Pagado]]</f>
        <v>0</v>
      </c>
      <c r="H2158" s="75" t="s">
        <v>10</v>
      </c>
    </row>
    <row r="2159" spans="1:8" x14ac:dyDescent="0.25">
      <c r="A2159" s="148">
        <v>44795</v>
      </c>
      <c r="B2159" s="149" t="s">
        <v>26896</v>
      </c>
      <c r="C2159" s="153" t="s">
        <v>107</v>
      </c>
      <c r="D2159" s="178">
        <v>10444</v>
      </c>
      <c r="E2159" s="155">
        <v>44795</v>
      </c>
      <c r="F2159" s="178">
        <v>10444</v>
      </c>
      <c r="G2159" s="179">
        <f>Tabla19[[#This Row],[Importe]]-Tabla19[[#This Row],[Pagado]]</f>
        <v>0</v>
      </c>
      <c r="H2159" s="153" t="s">
        <v>10</v>
      </c>
    </row>
    <row r="2160" spans="1:8" x14ac:dyDescent="0.25">
      <c r="A2160" s="73">
        <v>44795</v>
      </c>
      <c r="B2160" s="74" t="s">
        <v>26897</v>
      </c>
      <c r="C2160" s="75" t="s">
        <v>11033</v>
      </c>
      <c r="D2160" s="176">
        <v>1840.7</v>
      </c>
      <c r="E2160" s="151">
        <v>44795</v>
      </c>
      <c r="F2160" s="176">
        <v>1840.7</v>
      </c>
      <c r="G2160" s="177">
        <f>Tabla19[[#This Row],[Importe]]-Tabla19[[#This Row],[Pagado]]</f>
        <v>0</v>
      </c>
      <c r="H2160" s="75" t="s">
        <v>10</v>
      </c>
    </row>
    <row r="2161" spans="1:8" x14ac:dyDescent="0.25">
      <c r="A2161" s="148">
        <v>44795</v>
      </c>
      <c r="B2161" s="149" t="s">
        <v>26898</v>
      </c>
      <c r="C2161" s="153" t="s">
        <v>127</v>
      </c>
      <c r="D2161" s="178">
        <v>1567.2</v>
      </c>
      <c r="E2161" s="155">
        <v>44795</v>
      </c>
      <c r="F2161" s="178">
        <v>1567.2</v>
      </c>
      <c r="G2161" s="179">
        <f>Tabla19[[#This Row],[Importe]]-Tabla19[[#This Row],[Pagado]]</f>
        <v>0</v>
      </c>
      <c r="H2161" s="153" t="s">
        <v>10</v>
      </c>
    </row>
    <row r="2162" spans="1:8" x14ac:dyDescent="0.25">
      <c r="A2162" s="73">
        <v>44795</v>
      </c>
      <c r="B2162" s="74" t="s">
        <v>26899</v>
      </c>
      <c r="C2162" s="75" t="s">
        <v>339</v>
      </c>
      <c r="D2162" s="176">
        <v>553</v>
      </c>
      <c r="E2162" s="151">
        <v>44795</v>
      </c>
      <c r="F2162" s="176">
        <v>553</v>
      </c>
      <c r="G2162" s="177">
        <f>Tabla19[[#This Row],[Importe]]-Tabla19[[#This Row],[Pagado]]</f>
        <v>0</v>
      </c>
      <c r="H2162" s="75" t="s">
        <v>10</v>
      </c>
    </row>
    <row r="2163" spans="1:8" x14ac:dyDescent="0.25">
      <c r="A2163" s="148">
        <v>44795</v>
      </c>
      <c r="B2163" s="149" t="s">
        <v>26900</v>
      </c>
      <c r="C2163" s="153" t="s">
        <v>357</v>
      </c>
      <c r="D2163" s="178">
        <v>584.6</v>
      </c>
      <c r="E2163" s="155">
        <v>44795</v>
      </c>
      <c r="F2163" s="178">
        <v>584.6</v>
      </c>
      <c r="G2163" s="179">
        <f>Tabla19[[#This Row],[Importe]]-Tabla19[[#This Row],[Pagado]]</f>
        <v>0</v>
      </c>
      <c r="H2163" s="153" t="s">
        <v>10</v>
      </c>
    </row>
    <row r="2164" spans="1:8" x14ac:dyDescent="0.25">
      <c r="A2164" s="73">
        <v>44795</v>
      </c>
      <c r="B2164" s="74" t="s">
        <v>26901</v>
      </c>
      <c r="C2164" s="75" t="s">
        <v>226</v>
      </c>
      <c r="D2164" s="176">
        <v>12084.8</v>
      </c>
      <c r="E2164" s="151">
        <v>44795</v>
      </c>
      <c r="F2164" s="176">
        <v>12084.8</v>
      </c>
      <c r="G2164" s="177">
        <f>Tabla19[[#This Row],[Importe]]-Tabla19[[#This Row],[Pagado]]</f>
        <v>0</v>
      </c>
      <c r="H2164" s="75" t="s">
        <v>10</v>
      </c>
    </row>
    <row r="2165" spans="1:8" x14ac:dyDescent="0.25">
      <c r="A2165" s="148">
        <v>44795</v>
      </c>
      <c r="B2165" s="149" t="s">
        <v>26902</v>
      </c>
      <c r="C2165" s="153" t="s">
        <v>275</v>
      </c>
      <c r="D2165" s="178">
        <v>46637.02</v>
      </c>
      <c r="E2165" s="155">
        <v>44819</v>
      </c>
      <c r="F2165" s="178">
        <v>46637.02</v>
      </c>
      <c r="G2165" s="179">
        <f>Tabla19[[#This Row],[Importe]]-Tabla19[[#This Row],[Pagado]]</f>
        <v>0</v>
      </c>
      <c r="H2165" s="153" t="s">
        <v>10</v>
      </c>
    </row>
    <row r="2166" spans="1:8" x14ac:dyDescent="0.25">
      <c r="A2166" s="73">
        <v>44795</v>
      </c>
      <c r="B2166" s="74" t="s">
        <v>26903</v>
      </c>
      <c r="C2166" s="75" t="s">
        <v>83</v>
      </c>
      <c r="D2166" s="176">
        <v>12416</v>
      </c>
      <c r="E2166" s="151">
        <v>44795</v>
      </c>
      <c r="F2166" s="176">
        <v>12416</v>
      </c>
      <c r="G2166" s="177">
        <f>Tabla19[[#This Row],[Importe]]-Tabla19[[#This Row],[Pagado]]</f>
        <v>0</v>
      </c>
      <c r="H2166" s="75" t="s">
        <v>10</v>
      </c>
    </row>
    <row r="2167" spans="1:8" x14ac:dyDescent="0.25">
      <c r="A2167" s="148">
        <v>44795</v>
      </c>
      <c r="B2167" s="149" t="s">
        <v>26904</v>
      </c>
      <c r="C2167" s="153" t="s">
        <v>87</v>
      </c>
      <c r="D2167" s="178">
        <v>2906.6</v>
      </c>
      <c r="E2167" s="155">
        <v>44795</v>
      </c>
      <c r="F2167" s="178">
        <v>2906.6</v>
      </c>
      <c r="G2167" s="179">
        <f>Tabla19[[#This Row],[Importe]]-Tabla19[[#This Row],[Pagado]]</f>
        <v>0</v>
      </c>
      <c r="H2167" s="153" t="s">
        <v>10</v>
      </c>
    </row>
    <row r="2168" spans="1:8" x14ac:dyDescent="0.25">
      <c r="A2168" s="73">
        <v>44795</v>
      </c>
      <c r="B2168" s="74" t="s">
        <v>26905</v>
      </c>
      <c r="C2168" s="75" t="s">
        <v>275</v>
      </c>
      <c r="D2168" s="176">
        <v>1457</v>
      </c>
      <c r="E2168" s="151">
        <v>44819</v>
      </c>
      <c r="F2168" s="176">
        <v>1457</v>
      </c>
      <c r="G2168" s="177">
        <f>Tabla19[[#This Row],[Importe]]-Tabla19[[#This Row],[Pagado]]</f>
        <v>0</v>
      </c>
      <c r="H2168" s="75" t="s">
        <v>10</v>
      </c>
    </row>
    <row r="2169" spans="1:8" x14ac:dyDescent="0.25">
      <c r="A2169" s="148">
        <v>44795</v>
      </c>
      <c r="B2169" s="149" t="s">
        <v>26906</v>
      </c>
      <c r="C2169" s="153" t="s">
        <v>146</v>
      </c>
      <c r="D2169" s="178">
        <v>5740.8</v>
      </c>
      <c r="E2169" s="155">
        <v>44795</v>
      </c>
      <c r="F2169" s="178">
        <v>5740.8</v>
      </c>
      <c r="G2169" s="179">
        <f>Tabla19[[#This Row],[Importe]]-Tabla19[[#This Row],[Pagado]]</f>
        <v>0</v>
      </c>
      <c r="H2169" s="153" t="s">
        <v>10</v>
      </c>
    </row>
    <row r="2170" spans="1:8" x14ac:dyDescent="0.25">
      <c r="A2170" s="73">
        <v>44795</v>
      </c>
      <c r="B2170" s="74" t="s">
        <v>26907</v>
      </c>
      <c r="C2170" s="75" t="s">
        <v>129</v>
      </c>
      <c r="D2170" s="176">
        <v>6030</v>
      </c>
      <c r="E2170" s="151">
        <v>44795</v>
      </c>
      <c r="F2170" s="176">
        <v>6030</v>
      </c>
      <c r="G2170" s="177">
        <f>Tabla19[[#This Row],[Importe]]-Tabla19[[#This Row],[Pagado]]</f>
        <v>0</v>
      </c>
      <c r="H2170" s="75" t="s">
        <v>10</v>
      </c>
    </row>
    <row r="2171" spans="1:8" x14ac:dyDescent="0.25">
      <c r="A2171" s="148">
        <v>44795</v>
      </c>
      <c r="B2171" s="149" t="s">
        <v>26908</v>
      </c>
      <c r="C2171" s="153" t="s">
        <v>140</v>
      </c>
      <c r="D2171" s="178">
        <v>5823.7</v>
      </c>
      <c r="E2171" s="155">
        <v>44795</v>
      </c>
      <c r="F2171" s="178">
        <v>5823.7</v>
      </c>
      <c r="G2171" s="179">
        <f>Tabla19[[#This Row],[Importe]]-Tabla19[[#This Row],[Pagado]]</f>
        <v>0</v>
      </c>
      <c r="H2171" s="153" t="s">
        <v>10</v>
      </c>
    </row>
    <row r="2172" spans="1:8" x14ac:dyDescent="0.25">
      <c r="A2172" s="73">
        <v>44795</v>
      </c>
      <c r="B2172" s="74" t="s">
        <v>26909</v>
      </c>
      <c r="C2172" s="75" t="s">
        <v>1362</v>
      </c>
      <c r="D2172" s="176">
        <v>5932.9</v>
      </c>
      <c r="E2172" s="151">
        <v>44795</v>
      </c>
      <c r="F2172" s="176">
        <v>5932.9</v>
      </c>
      <c r="G2172" s="177">
        <f>Tabla19[[#This Row],[Importe]]-Tabla19[[#This Row],[Pagado]]</f>
        <v>0</v>
      </c>
      <c r="H2172" s="75" t="s">
        <v>10</v>
      </c>
    </row>
    <row r="2173" spans="1:8" x14ac:dyDescent="0.25">
      <c r="A2173" s="148">
        <v>44795</v>
      </c>
      <c r="B2173" s="149" t="s">
        <v>26910</v>
      </c>
      <c r="C2173" s="153" t="s">
        <v>664</v>
      </c>
      <c r="D2173" s="178">
        <v>2804.5</v>
      </c>
      <c r="E2173" s="155">
        <v>44795</v>
      </c>
      <c r="F2173" s="178">
        <v>2804.5</v>
      </c>
      <c r="G2173" s="179">
        <f>Tabla19[[#This Row],[Importe]]-Tabla19[[#This Row],[Pagado]]</f>
        <v>0</v>
      </c>
      <c r="H2173" s="153" t="s">
        <v>10</v>
      </c>
    </row>
    <row r="2174" spans="1:8" x14ac:dyDescent="0.25">
      <c r="A2174" s="73">
        <v>44795</v>
      </c>
      <c r="B2174" s="74" t="s">
        <v>26911</v>
      </c>
      <c r="C2174" s="75" t="s">
        <v>14</v>
      </c>
      <c r="D2174" s="176">
        <v>19907.099999999999</v>
      </c>
      <c r="E2174" s="151">
        <v>44795</v>
      </c>
      <c r="F2174" s="176">
        <v>19907.099999999999</v>
      </c>
      <c r="G2174" s="177">
        <f>Tabla19[[#This Row],[Importe]]-Tabla19[[#This Row],[Pagado]]</f>
        <v>0</v>
      </c>
      <c r="H2174" s="75" t="s">
        <v>10</v>
      </c>
    </row>
    <row r="2175" spans="1:8" x14ac:dyDescent="0.25">
      <c r="A2175" s="148">
        <v>44795</v>
      </c>
      <c r="B2175" s="149" t="s">
        <v>26912</v>
      </c>
      <c r="C2175" s="153" t="s">
        <v>275</v>
      </c>
      <c r="D2175" s="178">
        <v>232742</v>
      </c>
      <c r="E2175" s="155">
        <v>44819</v>
      </c>
      <c r="F2175" s="178">
        <v>232742</v>
      </c>
      <c r="G2175" s="179">
        <f>Tabla19[[#This Row],[Importe]]-Tabla19[[#This Row],[Pagado]]</f>
        <v>0</v>
      </c>
      <c r="H2175" s="153" t="s">
        <v>10</v>
      </c>
    </row>
    <row r="2176" spans="1:8" x14ac:dyDescent="0.25">
      <c r="A2176" s="73">
        <v>44795</v>
      </c>
      <c r="B2176" s="74" t="s">
        <v>26913</v>
      </c>
      <c r="C2176" s="75" t="s">
        <v>777</v>
      </c>
      <c r="D2176" s="176">
        <v>2349</v>
      </c>
      <c r="E2176" s="151">
        <v>44795</v>
      </c>
      <c r="F2176" s="176">
        <v>2349</v>
      </c>
      <c r="G2176" s="177">
        <f>Tabla19[[#This Row],[Importe]]-Tabla19[[#This Row],[Pagado]]</f>
        <v>0</v>
      </c>
      <c r="H2176" s="75" t="s">
        <v>10</v>
      </c>
    </row>
    <row r="2177" spans="1:8" x14ac:dyDescent="0.25">
      <c r="A2177" s="148">
        <v>44795</v>
      </c>
      <c r="B2177" s="149" t="s">
        <v>26914</v>
      </c>
      <c r="C2177" s="153" t="s">
        <v>14</v>
      </c>
      <c r="D2177" s="178">
        <v>3315</v>
      </c>
      <c r="E2177" s="155">
        <v>44795</v>
      </c>
      <c r="F2177" s="178">
        <v>3315</v>
      </c>
      <c r="G2177" s="179">
        <f>Tabla19[[#This Row],[Importe]]-Tabla19[[#This Row],[Pagado]]</f>
        <v>0</v>
      </c>
      <c r="H2177" s="153" t="s">
        <v>10</v>
      </c>
    </row>
    <row r="2178" spans="1:8" x14ac:dyDescent="0.25">
      <c r="A2178" s="73">
        <v>44795</v>
      </c>
      <c r="B2178" s="74" t="s">
        <v>26915</v>
      </c>
      <c r="C2178" s="75" t="s">
        <v>142</v>
      </c>
      <c r="D2178" s="176">
        <v>108419.36</v>
      </c>
      <c r="E2178" s="151">
        <v>44842</v>
      </c>
      <c r="F2178" s="176">
        <v>108419.36</v>
      </c>
      <c r="G2178" s="177">
        <f>Tabla19[[#This Row],[Importe]]-Tabla19[[#This Row],[Pagado]]</f>
        <v>0</v>
      </c>
      <c r="H2178" s="75" t="s">
        <v>10</v>
      </c>
    </row>
    <row r="2179" spans="1:8" x14ac:dyDescent="0.25">
      <c r="A2179" s="148">
        <v>44795</v>
      </c>
      <c r="B2179" s="149" t="s">
        <v>26916</v>
      </c>
      <c r="C2179" s="153" t="s">
        <v>214</v>
      </c>
      <c r="D2179" s="178">
        <v>10474.200000000001</v>
      </c>
      <c r="E2179" s="155">
        <v>44795</v>
      </c>
      <c r="F2179" s="178">
        <v>10474.200000000001</v>
      </c>
      <c r="G2179" s="179">
        <f>Tabla19[[#This Row],[Importe]]-Tabla19[[#This Row],[Pagado]]</f>
        <v>0</v>
      </c>
      <c r="H2179" s="153" t="s">
        <v>10</v>
      </c>
    </row>
    <row r="2180" spans="1:8" x14ac:dyDescent="0.25">
      <c r="A2180" s="73">
        <v>44795</v>
      </c>
      <c r="B2180" s="74" t="s">
        <v>26917</v>
      </c>
      <c r="C2180" s="75" t="s">
        <v>275</v>
      </c>
      <c r="D2180" s="176">
        <v>3411</v>
      </c>
      <c r="E2180" s="151">
        <v>44819</v>
      </c>
      <c r="F2180" s="176">
        <v>3411</v>
      </c>
      <c r="G2180" s="177">
        <f>Tabla19[[#This Row],[Importe]]-Tabla19[[#This Row],[Pagado]]</f>
        <v>0</v>
      </c>
      <c r="H2180" s="75" t="s">
        <v>10</v>
      </c>
    </row>
    <row r="2181" spans="1:8" x14ac:dyDescent="0.25">
      <c r="A2181" s="148">
        <v>44795</v>
      </c>
      <c r="B2181" s="149" t="s">
        <v>26918</v>
      </c>
      <c r="C2181" s="153" t="s">
        <v>45</v>
      </c>
      <c r="D2181" s="178">
        <v>10888.2</v>
      </c>
      <c r="E2181" s="155">
        <v>44795</v>
      </c>
      <c r="F2181" s="178">
        <v>10888.2</v>
      </c>
      <c r="G2181" s="179">
        <f>Tabla19[[#This Row],[Importe]]-Tabla19[[#This Row],[Pagado]]</f>
        <v>0</v>
      </c>
      <c r="H2181" s="153" t="s">
        <v>10</v>
      </c>
    </row>
    <row r="2182" spans="1:8" x14ac:dyDescent="0.25">
      <c r="A2182" s="73">
        <v>44795</v>
      </c>
      <c r="B2182" s="74" t="s">
        <v>26919</v>
      </c>
      <c r="C2182" s="75" t="s">
        <v>31</v>
      </c>
      <c r="D2182" s="176">
        <v>5032</v>
      </c>
      <c r="E2182" s="151">
        <v>44795</v>
      </c>
      <c r="F2182" s="176">
        <v>5032</v>
      </c>
      <c r="G2182" s="177">
        <f>Tabla19[[#This Row],[Importe]]-Tabla19[[#This Row],[Pagado]]</f>
        <v>0</v>
      </c>
      <c r="H2182" s="75" t="s">
        <v>10</v>
      </c>
    </row>
    <row r="2183" spans="1:8" x14ac:dyDescent="0.25">
      <c r="A2183" s="148">
        <v>44795</v>
      </c>
      <c r="B2183" s="149" t="s">
        <v>26920</v>
      </c>
      <c r="C2183" s="153" t="s">
        <v>58</v>
      </c>
      <c r="D2183" s="178">
        <v>3434.8</v>
      </c>
      <c r="E2183" s="155">
        <v>44795</v>
      </c>
      <c r="F2183" s="178">
        <v>3434.8</v>
      </c>
      <c r="G2183" s="179">
        <f>Tabla19[[#This Row],[Importe]]-Tabla19[[#This Row],[Pagado]]</f>
        <v>0</v>
      </c>
      <c r="H2183" s="153" t="s">
        <v>10</v>
      </c>
    </row>
    <row r="2184" spans="1:8" x14ac:dyDescent="0.25">
      <c r="A2184" s="73">
        <v>44795</v>
      </c>
      <c r="B2184" s="74" t="s">
        <v>26921</v>
      </c>
      <c r="C2184" s="75" t="s">
        <v>222</v>
      </c>
      <c r="D2184" s="176">
        <v>11673.4</v>
      </c>
      <c r="E2184" s="151">
        <v>44795</v>
      </c>
      <c r="F2184" s="176">
        <v>11673.4</v>
      </c>
      <c r="G2184" s="177">
        <f>Tabla19[[#This Row],[Importe]]-Tabla19[[#This Row],[Pagado]]</f>
        <v>0</v>
      </c>
      <c r="H2184" s="75" t="s">
        <v>10</v>
      </c>
    </row>
    <row r="2185" spans="1:8" x14ac:dyDescent="0.25">
      <c r="A2185" s="148">
        <v>44795</v>
      </c>
      <c r="B2185" s="149" t="s">
        <v>26922</v>
      </c>
      <c r="C2185" s="153" t="s">
        <v>196</v>
      </c>
      <c r="D2185" s="178">
        <v>68026.320000000007</v>
      </c>
      <c r="E2185" s="155">
        <v>44799</v>
      </c>
      <c r="F2185" s="178">
        <v>68026.320000000007</v>
      </c>
      <c r="G2185" s="179">
        <f>Tabla19[[#This Row],[Importe]]-Tabla19[[#This Row],[Pagado]]</f>
        <v>0</v>
      </c>
      <c r="H2185" s="153" t="s">
        <v>10</v>
      </c>
    </row>
    <row r="2186" spans="1:8" x14ac:dyDescent="0.25">
      <c r="A2186" s="73">
        <v>44795</v>
      </c>
      <c r="B2186" s="74" t="s">
        <v>26923</v>
      </c>
      <c r="C2186" s="75" t="s">
        <v>56</v>
      </c>
      <c r="D2186" s="176">
        <v>8317.5</v>
      </c>
      <c r="E2186" s="151">
        <v>44795</v>
      </c>
      <c r="F2186" s="176">
        <v>8317.5</v>
      </c>
      <c r="G2186" s="177">
        <f>Tabla19[[#This Row],[Importe]]-Tabla19[[#This Row],[Pagado]]</f>
        <v>0</v>
      </c>
      <c r="H2186" s="75" t="s">
        <v>10</v>
      </c>
    </row>
    <row r="2187" spans="1:8" x14ac:dyDescent="0.25">
      <c r="A2187" s="148">
        <v>44795</v>
      </c>
      <c r="B2187" s="149" t="s">
        <v>26924</v>
      </c>
      <c r="C2187" s="153" t="s">
        <v>196</v>
      </c>
      <c r="D2187" s="178">
        <v>1920</v>
      </c>
      <c r="E2187" s="155">
        <v>44799</v>
      </c>
      <c r="F2187" s="178">
        <v>1920</v>
      </c>
      <c r="G2187" s="179">
        <f>Tabla19[[#This Row],[Importe]]-Tabla19[[#This Row],[Pagado]]</f>
        <v>0</v>
      </c>
      <c r="H2187" s="153" t="s">
        <v>10</v>
      </c>
    </row>
    <row r="2188" spans="1:8" x14ac:dyDescent="0.25">
      <c r="A2188" s="73">
        <v>44795</v>
      </c>
      <c r="B2188" s="74" t="s">
        <v>26925</v>
      </c>
      <c r="C2188" s="75" t="s">
        <v>31</v>
      </c>
      <c r="D2188" s="176">
        <v>600.4</v>
      </c>
      <c r="E2188" s="151">
        <v>44795</v>
      </c>
      <c r="F2188" s="176">
        <v>600.4</v>
      </c>
      <c r="G2188" s="177">
        <f>Tabla19[[#This Row],[Importe]]-Tabla19[[#This Row],[Pagado]]</f>
        <v>0</v>
      </c>
      <c r="H2188" s="75" t="s">
        <v>10</v>
      </c>
    </row>
    <row r="2189" spans="1:8" x14ac:dyDescent="0.25">
      <c r="A2189" s="148">
        <v>44795</v>
      </c>
      <c r="B2189" s="149" t="s">
        <v>26926</v>
      </c>
      <c r="C2189" s="153" t="s">
        <v>289</v>
      </c>
      <c r="D2189" s="178">
        <v>14149.2</v>
      </c>
      <c r="E2189" s="155">
        <v>44795</v>
      </c>
      <c r="F2189" s="178">
        <v>14149.2</v>
      </c>
      <c r="G2189" s="179">
        <f>Tabla19[[#This Row],[Importe]]-Tabla19[[#This Row],[Pagado]]</f>
        <v>0</v>
      </c>
      <c r="H2189" s="153" t="s">
        <v>10</v>
      </c>
    </row>
    <row r="2190" spans="1:8" x14ac:dyDescent="0.25">
      <c r="A2190" s="73">
        <v>44795</v>
      </c>
      <c r="B2190" s="74" t="s">
        <v>26927</v>
      </c>
      <c r="C2190" s="75" t="s">
        <v>24</v>
      </c>
      <c r="D2190" s="176">
        <v>639.9</v>
      </c>
      <c r="E2190" s="151">
        <v>44795</v>
      </c>
      <c r="F2190" s="176">
        <v>639.9</v>
      </c>
      <c r="G2190" s="177">
        <f>Tabla19[[#This Row],[Importe]]-Tabla19[[#This Row],[Pagado]]</f>
        <v>0</v>
      </c>
      <c r="H2190" s="75" t="s">
        <v>10</v>
      </c>
    </row>
    <row r="2191" spans="1:8" x14ac:dyDescent="0.25">
      <c r="A2191" s="148">
        <v>44795</v>
      </c>
      <c r="B2191" s="149" t="s">
        <v>26928</v>
      </c>
      <c r="C2191" s="153" t="s">
        <v>450</v>
      </c>
      <c r="D2191" s="178">
        <v>3976</v>
      </c>
      <c r="E2191" s="155">
        <v>44795</v>
      </c>
      <c r="F2191" s="178">
        <v>3976</v>
      </c>
      <c r="G2191" s="179">
        <f>Tabla19[[#This Row],[Importe]]-Tabla19[[#This Row],[Pagado]]</f>
        <v>0</v>
      </c>
      <c r="H2191" s="153" t="s">
        <v>10</v>
      </c>
    </row>
    <row r="2192" spans="1:8" x14ac:dyDescent="0.25">
      <c r="A2192" s="73">
        <v>44795</v>
      </c>
      <c r="B2192" s="74" t="s">
        <v>26929</v>
      </c>
      <c r="C2192" s="75" t="s">
        <v>133</v>
      </c>
      <c r="D2192" s="176">
        <v>23290.799999999999</v>
      </c>
      <c r="E2192" s="151">
        <v>44796</v>
      </c>
      <c r="F2192" s="176">
        <v>23290.799999999999</v>
      </c>
      <c r="G2192" s="177">
        <f>Tabla19[[#This Row],[Importe]]-Tabla19[[#This Row],[Pagado]]</f>
        <v>0</v>
      </c>
      <c r="H2192" s="75" t="s">
        <v>10</v>
      </c>
    </row>
    <row r="2193" spans="1:8" x14ac:dyDescent="0.25">
      <c r="A2193" s="148">
        <v>44795</v>
      </c>
      <c r="B2193" s="149" t="s">
        <v>26930</v>
      </c>
      <c r="C2193" s="153" t="s">
        <v>154</v>
      </c>
      <c r="D2193" s="178">
        <v>15188.2</v>
      </c>
      <c r="E2193" s="155">
        <v>44798</v>
      </c>
      <c r="F2193" s="178">
        <v>15188.2</v>
      </c>
      <c r="G2193" s="179">
        <f>Tabla19[[#This Row],[Importe]]-Tabla19[[#This Row],[Pagado]]</f>
        <v>0</v>
      </c>
      <c r="H2193" s="153" t="s">
        <v>10</v>
      </c>
    </row>
    <row r="2194" spans="1:8" x14ac:dyDescent="0.25">
      <c r="A2194" s="73">
        <v>44795</v>
      </c>
      <c r="B2194" s="74" t="s">
        <v>26931</v>
      </c>
      <c r="C2194" s="75" t="s">
        <v>296</v>
      </c>
      <c r="D2194" s="176">
        <v>7412.8</v>
      </c>
      <c r="E2194" s="151">
        <v>44795</v>
      </c>
      <c r="F2194" s="176">
        <v>7412.8</v>
      </c>
      <c r="G2194" s="177">
        <f>Tabla19[[#This Row],[Importe]]-Tabla19[[#This Row],[Pagado]]</f>
        <v>0</v>
      </c>
      <c r="H2194" s="75" t="s">
        <v>10</v>
      </c>
    </row>
    <row r="2195" spans="1:8" x14ac:dyDescent="0.25">
      <c r="A2195" s="148">
        <v>44795</v>
      </c>
      <c r="B2195" s="149" t="s">
        <v>26932</v>
      </c>
      <c r="C2195" s="153" t="s">
        <v>1644</v>
      </c>
      <c r="D2195" s="178">
        <v>15631.2</v>
      </c>
      <c r="E2195" s="155">
        <v>44796</v>
      </c>
      <c r="F2195" s="178">
        <v>15631.2</v>
      </c>
      <c r="G2195" s="179">
        <f>Tabla19[[#This Row],[Importe]]-Tabla19[[#This Row],[Pagado]]</f>
        <v>0</v>
      </c>
      <c r="H2195" s="153" t="s">
        <v>10</v>
      </c>
    </row>
    <row r="2196" spans="1:8" x14ac:dyDescent="0.25">
      <c r="A2196" s="73">
        <v>44795</v>
      </c>
      <c r="B2196" s="74" t="s">
        <v>26933</v>
      </c>
      <c r="C2196" s="75" t="s">
        <v>12</v>
      </c>
      <c r="D2196" s="176">
        <v>16170.7</v>
      </c>
      <c r="E2196" s="151">
        <v>44795</v>
      </c>
      <c r="F2196" s="176">
        <v>16170.7</v>
      </c>
      <c r="G2196" s="177">
        <f>Tabla19[[#This Row],[Importe]]-Tabla19[[#This Row],[Pagado]]</f>
        <v>0</v>
      </c>
      <c r="H2196" s="75" t="s">
        <v>10</v>
      </c>
    </row>
    <row r="2197" spans="1:8" x14ac:dyDescent="0.25">
      <c r="A2197" s="148">
        <v>44795</v>
      </c>
      <c r="B2197" s="149" t="s">
        <v>26934</v>
      </c>
      <c r="C2197" s="153" t="s">
        <v>206</v>
      </c>
      <c r="D2197" s="178">
        <v>29337</v>
      </c>
      <c r="E2197" s="155">
        <v>44798</v>
      </c>
      <c r="F2197" s="178">
        <v>29337</v>
      </c>
      <c r="G2197" s="179">
        <f>Tabla19[[#This Row],[Importe]]-Tabla19[[#This Row],[Pagado]]</f>
        <v>0</v>
      </c>
      <c r="H2197" s="153" t="s">
        <v>10</v>
      </c>
    </row>
    <row r="2198" spans="1:8" x14ac:dyDescent="0.25">
      <c r="A2198" s="73">
        <v>44795</v>
      </c>
      <c r="B2198" s="74" t="s">
        <v>26935</v>
      </c>
      <c r="C2198" s="75" t="s">
        <v>212</v>
      </c>
      <c r="D2198" s="176">
        <v>30335.200000000001</v>
      </c>
      <c r="E2198" s="151">
        <v>44798</v>
      </c>
      <c r="F2198" s="176">
        <v>30335.200000000001</v>
      </c>
      <c r="G2198" s="177">
        <f>Tabla19[[#This Row],[Importe]]-Tabla19[[#This Row],[Pagado]]</f>
        <v>0</v>
      </c>
      <c r="H2198" s="75" t="s">
        <v>10</v>
      </c>
    </row>
    <row r="2199" spans="1:8" x14ac:dyDescent="0.25">
      <c r="A2199" s="148">
        <v>44795</v>
      </c>
      <c r="B2199" s="149" t="s">
        <v>26936</v>
      </c>
      <c r="C2199" s="153" t="s">
        <v>240</v>
      </c>
      <c r="D2199" s="178">
        <v>12048</v>
      </c>
      <c r="E2199" s="155">
        <v>44795</v>
      </c>
      <c r="F2199" s="178">
        <v>12048</v>
      </c>
      <c r="G2199" s="179">
        <f>Tabla19[[#This Row],[Importe]]-Tabla19[[#This Row],[Pagado]]</f>
        <v>0</v>
      </c>
      <c r="H2199" s="153" t="s">
        <v>10</v>
      </c>
    </row>
    <row r="2200" spans="1:8" x14ac:dyDescent="0.25">
      <c r="A2200" s="73">
        <v>44795</v>
      </c>
      <c r="B2200" s="74" t="s">
        <v>26937</v>
      </c>
      <c r="C2200" s="75" t="s">
        <v>244</v>
      </c>
      <c r="D2200" s="176">
        <v>1217.7</v>
      </c>
      <c r="E2200" s="151">
        <v>44795</v>
      </c>
      <c r="F2200" s="176">
        <v>1217.7</v>
      </c>
      <c r="G2200" s="177">
        <f>Tabla19[[#This Row],[Importe]]-Tabla19[[#This Row],[Pagado]]</f>
        <v>0</v>
      </c>
      <c r="H2200" s="75" t="s">
        <v>10</v>
      </c>
    </row>
    <row r="2201" spans="1:8" x14ac:dyDescent="0.25">
      <c r="A2201" s="148">
        <v>44795</v>
      </c>
      <c r="B2201" s="149" t="s">
        <v>26938</v>
      </c>
      <c r="C2201" s="153" t="s">
        <v>9827</v>
      </c>
      <c r="D2201" s="178">
        <v>1497.6</v>
      </c>
      <c r="E2201" s="155">
        <v>44795</v>
      </c>
      <c r="F2201" s="178">
        <v>1497.6</v>
      </c>
      <c r="G2201" s="179">
        <f>Tabla19[[#This Row],[Importe]]-Tabla19[[#This Row],[Pagado]]</f>
        <v>0</v>
      </c>
      <c r="H2201" s="153" t="s">
        <v>10</v>
      </c>
    </row>
    <row r="2202" spans="1:8" x14ac:dyDescent="0.25">
      <c r="A2202" s="73">
        <v>44795</v>
      </c>
      <c r="B2202" s="74" t="s">
        <v>26939</v>
      </c>
      <c r="C2202" s="75" t="s">
        <v>179</v>
      </c>
      <c r="D2202" s="176">
        <v>1521</v>
      </c>
      <c r="E2202" s="151">
        <v>44795</v>
      </c>
      <c r="F2202" s="176">
        <v>1521</v>
      </c>
      <c r="G2202" s="177">
        <f>Tabla19[[#This Row],[Importe]]-Tabla19[[#This Row],[Pagado]]</f>
        <v>0</v>
      </c>
      <c r="H2202" s="75" t="s">
        <v>10</v>
      </c>
    </row>
    <row r="2203" spans="1:8" x14ac:dyDescent="0.25">
      <c r="A2203" s="148">
        <v>44795</v>
      </c>
      <c r="B2203" s="149" t="s">
        <v>26940</v>
      </c>
      <c r="C2203" s="153" t="s">
        <v>9827</v>
      </c>
      <c r="D2203" s="178">
        <v>3736.2</v>
      </c>
      <c r="E2203" s="155">
        <v>44795</v>
      </c>
      <c r="F2203" s="178">
        <v>3736.2</v>
      </c>
      <c r="G2203" s="179">
        <f>Tabla19[[#This Row],[Importe]]-Tabla19[[#This Row],[Pagado]]</f>
        <v>0</v>
      </c>
      <c r="H2203" s="153" t="s">
        <v>10</v>
      </c>
    </row>
    <row r="2204" spans="1:8" x14ac:dyDescent="0.25">
      <c r="A2204" s="73">
        <v>44795</v>
      </c>
      <c r="B2204" s="74" t="s">
        <v>26941</v>
      </c>
      <c r="C2204" s="75" t="s">
        <v>26942</v>
      </c>
      <c r="D2204" s="176">
        <v>0</v>
      </c>
      <c r="E2204" s="157" t="s">
        <v>189</v>
      </c>
      <c r="F2204" s="176">
        <v>0</v>
      </c>
      <c r="G2204" s="177">
        <f>Tabla19[[#This Row],[Importe]]-Tabla19[[#This Row],[Pagado]]</f>
        <v>0</v>
      </c>
      <c r="H2204" s="161" t="s">
        <v>26943</v>
      </c>
    </row>
    <row r="2205" spans="1:8" x14ac:dyDescent="0.25">
      <c r="A2205" s="148">
        <v>44795</v>
      </c>
      <c r="B2205" s="149" t="s">
        <v>26944</v>
      </c>
      <c r="C2205" s="153" t="s">
        <v>67</v>
      </c>
      <c r="D2205" s="178">
        <v>4790.6000000000004</v>
      </c>
      <c r="E2205" s="155">
        <v>44795</v>
      </c>
      <c r="F2205" s="178">
        <v>4790.6000000000004</v>
      </c>
      <c r="G2205" s="179">
        <f>Tabla19[[#This Row],[Importe]]-Tabla19[[#This Row],[Pagado]]</f>
        <v>0</v>
      </c>
      <c r="H2205" s="153" t="s">
        <v>10</v>
      </c>
    </row>
    <row r="2206" spans="1:8" x14ac:dyDescent="0.25">
      <c r="A2206" s="73">
        <v>44795</v>
      </c>
      <c r="B2206" s="74" t="s">
        <v>26945</v>
      </c>
      <c r="C2206" s="75" t="s">
        <v>173</v>
      </c>
      <c r="D2206" s="176">
        <v>41730</v>
      </c>
      <c r="E2206" s="151">
        <v>44796</v>
      </c>
      <c r="F2206" s="176">
        <v>41730</v>
      </c>
      <c r="G2206" s="177">
        <f>Tabla19[[#This Row],[Importe]]-Tabla19[[#This Row],[Pagado]]</f>
        <v>0</v>
      </c>
      <c r="H2206" s="75" t="s">
        <v>10</v>
      </c>
    </row>
    <row r="2207" spans="1:8" x14ac:dyDescent="0.25">
      <c r="A2207" s="148">
        <v>44795</v>
      </c>
      <c r="B2207" s="149" t="s">
        <v>26946</v>
      </c>
      <c r="C2207" s="153" t="s">
        <v>214</v>
      </c>
      <c r="D2207" s="178">
        <v>1419.6</v>
      </c>
      <c r="E2207" s="155">
        <v>44795</v>
      </c>
      <c r="F2207" s="178">
        <v>1419.6</v>
      </c>
      <c r="G2207" s="179">
        <f>Tabla19[[#This Row],[Importe]]-Tabla19[[#This Row],[Pagado]]</f>
        <v>0</v>
      </c>
      <c r="H2207" s="153" t="s">
        <v>10</v>
      </c>
    </row>
    <row r="2208" spans="1:8" x14ac:dyDescent="0.25">
      <c r="A2208" s="73">
        <v>44795</v>
      </c>
      <c r="B2208" s="74" t="s">
        <v>26947</v>
      </c>
      <c r="C2208" s="75" t="s">
        <v>7745</v>
      </c>
      <c r="D2208" s="176">
        <v>36999.93</v>
      </c>
      <c r="E2208" s="151">
        <v>44795</v>
      </c>
      <c r="F2208" s="176">
        <v>36999.93</v>
      </c>
      <c r="G2208" s="177">
        <f>Tabla19[[#This Row],[Importe]]-Tabla19[[#This Row],[Pagado]]</f>
        <v>0</v>
      </c>
      <c r="H2208" s="75" t="s">
        <v>10</v>
      </c>
    </row>
    <row r="2209" spans="1:8" x14ac:dyDescent="0.25">
      <c r="A2209" s="148">
        <v>44795</v>
      </c>
      <c r="B2209" s="149" t="s">
        <v>26948</v>
      </c>
      <c r="C2209" s="153" t="s">
        <v>16</v>
      </c>
      <c r="D2209" s="178">
        <v>128</v>
      </c>
      <c r="E2209" s="155">
        <v>44795</v>
      </c>
      <c r="F2209" s="178">
        <v>128</v>
      </c>
      <c r="G2209" s="179">
        <f>Tabla19[[#This Row],[Importe]]-Tabla19[[#This Row],[Pagado]]</f>
        <v>0</v>
      </c>
      <c r="H2209" s="153" t="s">
        <v>10</v>
      </c>
    </row>
    <row r="2210" spans="1:8" x14ac:dyDescent="0.25">
      <c r="A2210" s="73">
        <v>44795</v>
      </c>
      <c r="B2210" s="74" t="s">
        <v>26949</v>
      </c>
      <c r="C2210" s="75" t="s">
        <v>1378</v>
      </c>
      <c r="D2210" s="176">
        <v>52214.400000000001</v>
      </c>
      <c r="E2210" s="151">
        <v>44796</v>
      </c>
      <c r="F2210" s="176">
        <v>52214.400000000001</v>
      </c>
      <c r="G2210" s="177">
        <f>Tabla19[[#This Row],[Importe]]-Tabla19[[#This Row],[Pagado]]</f>
        <v>0</v>
      </c>
      <c r="H2210" s="75" t="s">
        <v>10</v>
      </c>
    </row>
    <row r="2211" spans="1:8" x14ac:dyDescent="0.25">
      <c r="A2211" s="148">
        <v>44795</v>
      </c>
      <c r="B2211" s="149" t="s">
        <v>26950</v>
      </c>
      <c r="C2211" s="153" t="s">
        <v>528</v>
      </c>
      <c r="D2211" s="178">
        <v>38280</v>
      </c>
      <c r="E2211" s="155">
        <v>44796</v>
      </c>
      <c r="F2211" s="178">
        <v>38280</v>
      </c>
      <c r="G2211" s="179">
        <f>Tabla19[[#This Row],[Importe]]-Tabla19[[#This Row],[Pagado]]</f>
        <v>0</v>
      </c>
      <c r="H2211" s="153" t="s">
        <v>10</v>
      </c>
    </row>
    <row r="2212" spans="1:8" x14ac:dyDescent="0.25">
      <c r="A2212" s="73">
        <v>44795</v>
      </c>
      <c r="B2212" s="74" t="s">
        <v>26951</v>
      </c>
      <c r="C2212" s="75" t="s">
        <v>365</v>
      </c>
      <c r="D2212" s="176">
        <v>1323.3</v>
      </c>
      <c r="E2212" s="151">
        <v>44795</v>
      </c>
      <c r="F2212" s="176">
        <v>1323.3</v>
      </c>
      <c r="G2212" s="177">
        <f>Tabla19[[#This Row],[Importe]]-Tabla19[[#This Row],[Pagado]]</f>
        <v>0</v>
      </c>
      <c r="H2212" s="75" t="s">
        <v>10</v>
      </c>
    </row>
    <row r="2213" spans="1:8" x14ac:dyDescent="0.25">
      <c r="A2213" s="148">
        <v>44795</v>
      </c>
      <c r="B2213" s="149" t="s">
        <v>26952</v>
      </c>
      <c r="C2213" s="153" t="s">
        <v>698</v>
      </c>
      <c r="D2213" s="178">
        <v>6756.3</v>
      </c>
      <c r="E2213" s="155">
        <v>44795</v>
      </c>
      <c r="F2213" s="178">
        <v>6756.3</v>
      </c>
      <c r="G2213" s="179">
        <f>Tabla19[[#This Row],[Importe]]-Tabla19[[#This Row],[Pagado]]</f>
        <v>0</v>
      </c>
      <c r="H2213" s="153" t="s">
        <v>10</v>
      </c>
    </row>
    <row r="2214" spans="1:8" x14ac:dyDescent="0.25">
      <c r="A2214" s="73">
        <v>44795</v>
      </c>
      <c r="B2214" s="74" t="s">
        <v>26953</v>
      </c>
      <c r="C2214" s="75" t="s">
        <v>407</v>
      </c>
      <c r="D2214" s="176">
        <v>28243.599999999999</v>
      </c>
      <c r="E2214" s="151">
        <v>44809</v>
      </c>
      <c r="F2214" s="176">
        <v>28243.599999999999</v>
      </c>
      <c r="G2214" s="177">
        <f>Tabla19[[#This Row],[Importe]]-Tabla19[[#This Row],[Pagado]]</f>
        <v>0</v>
      </c>
      <c r="H2214" s="75" t="s">
        <v>10</v>
      </c>
    </row>
    <row r="2215" spans="1:8" x14ac:dyDescent="0.25">
      <c r="A2215" s="148">
        <v>44795</v>
      </c>
      <c r="B2215" s="149" t="s">
        <v>26954</v>
      </c>
      <c r="C2215" s="153" t="s">
        <v>31</v>
      </c>
      <c r="D2215" s="178">
        <v>8762</v>
      </c>
      <c r="E2215" s="155">
        <v>44795</v>
      </c>
      <c r="F2215" s="178">
        <v>8762</v>
      </c>
      <c r="G2215" s="179">
        <f>Tabla19[[#This Row],[Importe]]-Tabla19[[#This Row],[Pagado]]</f>
        <v>0</v>
      </c>
      <c r="H2215" s="153" t="s">
        <v>10</v>
      </c>
    </row>
    <row r="2216" spans="1:8" x14ac:dyDescent="0.25">
      <c r="A2216" s="73">
        <v>44795</v>
      </c>
      <c r="B2216" s="74" t="s">
        <v>26955</v>
      </c>
      <c r="C2216" s="75" t="s">
        <v>312</v>
      </c>
      <c r="D2216" s="176">
        <v>6301.8</v>
      </c>
      <c r="E2216" s="151">
        <v>44796</v>
      </c>
      <c r="F2216" s="176">
        <v>6301.8</v>
      </c>
      <c r="G2216" s="177">
        <f>Tabla19[[#This Row],[Importe]]-Tabla19[[#This Row],[Pagado]]</f>
        <v>0</v>
      </c>
      <c r="H2216" s="75" t="s">
        <v>10</v>
      </c>
    </row>
    <row r="2217" spans="1:8" x14ac:dyDescent="0.25">
      <c r="A2217" s="148">
        <v>44795</v>
      </c>
      <c r="B2217" s="149" t="s">
        <v>26956</v>
      </c>
      <c r="C2217" s="153" t="s">
        <v>175</v>
      </c>
      <c r="D2217" s="178">
        <v>18781.7</v>
      </c>
      <c r="E2217" s="155">
        <v>44796</v>
      </c>
      <c r="F2217" s="178">
        <v>18781.7</v>
      </c>
      <c r="G2217" s="179">
        <f>Tabla19[[#This Row],[Importe]]-Tabla19[[#This Row],[Pagado]]</f>
        <v>0</v>
      </c>
      <c r="H2217" s="153" t="s">
        <v>10</v>
      </c>
    </row>
    <row r="2218" spans="1:8" x14ac:dyDescent="0.25">
      <c r="A2218" s="73">
        <v>44795</v>
      </c>
      <c r="B2218" s="74" t="s">
        <v>26957</v>
      </c>
      <c r="C2218" s="75" t="s">
        <v>181</v>
      </c>
      <c r="D2218" s="176">
        <v>14452.2</v>
      </c>
      <c r="E2218" s="151">
        <v>44796</v>
      </c>
      <c r="F2218" s="176">
        <v>14452.2</v>
      </c>
      <c r="G2218" s="177">
        <f>Tabla19[[#This Row],[Importe]]-Tabla19[[#This Row],[Pagado]]</f>
        <v>0</v>
      </c>
      <c r="H2218" s="75" t="s">
        <v>10</v>
      </c>
    </row>
    <row r="2219" spans="1:8" x14ac:dyDescent="0.25">
      <c r="A2219" s="148">
        <v>44795</v>
      </c>
      <c r="B2219" s="149" t="s">
        <v>26958</v>
      </c>
      <c r="C2219" s="153" t="s">
        <v>359</v>
      </c>
      <c r="D2219" s="178">
        <v>777</v>
      </c>
      <c r="E2219" s="155">
        <v>44796</v>
      </c>
      <c r="F2219" s="178">
        <v>777</v>
      </c>
      <c r="G2219" s="179">
        <f>Tabla19[[#This Row],[Importe]]-Tabla19[[#This Row],[Pagado]]</f>
        <v>0</v>
      </c>
      <c r="H2219" s="153" t="s">
        <v>10</v>
      </c>
    </row>
    <row r="2220" spans="1:8" x14ac:dyDescent="0.25">
      <c r="A2220" s="73">
        <v>44795</v>
      </c>
      <c r="B2220" s="74" t="s">
        <v>26959</v>
      </c>
      <c r="C2220" s="75" t="s">
        <v>426</v>
      </c>
      <c r="D2220" s="176">
        <v>6842.7</v>
      </c>
      <c r="E2220" s="151">
        <v>44796</v>
      </c>
      <c r="F2220" s="176">
        <v>6842.7</v>
      </c>
      <c r="G2220" s="177">
        <f>Tabla19[[#This Row],[Importe]]-Tabla19[[#This Row],[Pagado]]</f>
        <v>0</v>
      </c>
      <c r="H2220" s="75" t="s">
        <v>10</v>
      </c>
    </row>
    <row r="2221" spans="1:8" x14ac:dyDescent="0.25">
      <c r="A2221" s="148">
        <v>44795</v>
      </c>
      <c r="B2221" s="149" t="s">
        <v>26960</v>
      </c>
      <c r="C2221" s="153" t="s">
        <v>198</v>
      </c>
      <c r="D2221" s="178">
        <v>5296.8</v>
      </c>
      <c r="E2221" s="155">
        <v>44796</v>
      </c>
      <c r="F2221" s="178">
        <v>5296.8</v>
      </c>
      <c r="G2221" s="179">
        <f>Tabla19[[#This Row],[Importe]]-Tabla19[[#This Row],[Pagado]]</f>
        <v>0</v>
      </c>
      <c r="H2221" s="153" t="s">
        <v>10</v>
      </c>
    </row>
    <row r="2222" spans="1:8" x14ac:dyDescent="0.25">
      <c r="A2222" s="73">
        <v>44795</v>
      </c>
      <c r="B2222" s="74" t="s">
        <v>26961</v>
      </c>
      <c r="C2222" s="75" t="s">
        <v>2020</v>
      </c>
      <c r="D2222" s="176">
        <v>19500</v>
      </c>
      <c r="E2222" s="151">
        <v>44795</v>
      </c>
      <c r="F2222" s="176">
        <v>19500</v>
      </c>
      <c r="G2222" s="177">
        <f>Tabla19[[#This Row],[Importe]]-Tabla19[[#This Row],[Pagado]]</f>
        <v>0</v>
      </c>
      <c r="H2222" s="75" t="s">
        <v>10</v>
      </c>
    </row>
    <row r="2223" spans="1:8" x14ac:dyDescent="0.25">
      <c r="A2223" s="148">
        <v>44795</v>
      </c>
      <c r="B2223" s="149" t="s">
        <v>26962</v>
      </c>
      <c r="C2223" s="153" t="s">
        <v>31</v>
      </c>
      <c r="D2223" s="178">
        <v>1295.5999999999999</v>
      </c>
      <c r="E2223" s="155">
        <v>44795</v>
      </c>
      <c r="F2223" s="178">
        <v>1295.5999999999999</v>
      </c>
      <c r="G2223" s="179">
        <f>Tabla19[[#This Row],[Importe]]-Tabla19[[#This Row],[Pagado]]</f>
        <v>0</v>
      </c>
      <c r="H2223" s="153" t="s">
        <v>10</v>
      </c>
    </row>
    <row r="2224" spans="1:8" x14ac:dyDescent="0.25">
      <c r="A2224" s="73">
        <v>44795</v>
      </c>
      <c r="B2224" s="74" t="s">
        <v>26963</v>
      </c>
      <c r="C2224" s="75" t="s">
        <v>26964</v>
      </c>
      <c r="D2224" s="176">
        <v>0</v>
      </c>
      <c r="E2224" s="157" t="s">
        <v>189</v>
      </c>
      <c r="F2224" s="176">
        <v>0</v>
      </c>
      <c r="G2224" s="177">
        <f>Tabla19[[#This Row],[Importe]]-Tabla19[[#This Row],[Pagado]]</f>
        <v>0</v>
      </c>
      <c r="H2224" s="161" t="s">
        <v>26965</v>
      </c>
    </row>
    <row r="2225" spans="1:8" x14ac:dyDescent="0.25">
      <c r="A2225" s="148">
        <v>44795</v>
      </c>
      <c r="B2225" s="149" t="s">
        <v>26966</v>
      </c>
      <c r="C2225" s="153" t="s">
        <v>135</v>
      </c>
      <c r="D2225" s="178">
        <v>2509.4</v>
      </c>
      <c r="E2225" s="155">
        <v>44795</v>
      </c>
      <c r="F2225" s="178">
        <v>2509.4</v>
      </c>
      <c r="G2225" s="179">
        <f>Tabla19[[#This Row],[Importe]]-Tabla19[[#This Row],[Pagado]]</f>
        <v>0</v>
      </c>
      <c r="H2225" s="153" t="s">
        <v>10</v>
      </c>
    </row>
    <row r="2226" spans="1:8" x14ac:dyDescent="0.25">
      <c r="A2226" s="73">
        <v>44795</v>
      </c>
      <c r="B2226" s="74" t="s">
        <v>26967</v>
      </c>
      <c r="C2226" s="75" t="s">
        <v>421</v>
      </c>
      <c r="D2226" s="176">
        <v>5786.8</v>
      </c>
      <c r="E2226" s="151">
        <v>44795</v>
      </c>
      <c r="F2226" s="176">
        <v>5786.8</v>
      </c>
      <c r="G2226" s="177">
        <f>Tabla19[[#This Row],[Importe]]-Tabla19[[#This Row],[Pagado]]</f>
        <v>0</v>
      </c>
      <c r="H2226" s="75" t="s">
        <v>10</v>
      </c>
    </row>
    <row r="2227" spans="1:8" x14ac:dyDescent="0.25">
      <c r="A2227" s="148">
        <v>44795</v>
      </c>
      <c r="B2227" s="149" t="s">
        <v>26968</v>
      </c>
      <c r="C2227" s="153" t="s">
        <v>421</v>
      </c>
      <c r="D2227" s="178">
        <v>4130.3999999999996</v>
      </c>
      <c r="E2227" s="155">
        <v>44795</v>
      </c>
      <c r="F2227" s="178">
        <v>4130.3999999999996</v>
      </c>
      <c r="G2227" s="179">
        <f>Tabla19[[#This Row],[Importe]]-Tabla19[[#This Row],[Pagado]]</f>
        <v>0</v>
      </c>
      <c r="H2227" s="153" t="s">
        <v>10</v>
      </c>
    </row>
    <row r="2228" spans="1:8" x14ac:dyDescent="0.25">
      <c r="A2228" s="73">
        <v>44795</v>
      </c>
      <c r="B2228" s="74" t="s">
        <v>26969</v>
      </c>
      <c r="C2228" s="75" t="s">
        <v>69</v>
      </c>
      <c r="D2228" s="176">
        <v>2010</v>
      </c>
      <c r="E2228" s="151">
        <v>44795</v>
      </c>
      <c r="F2228" s="176">
        <v>2010</v>
      </c>
      <c r="G2228" s="177">
        <f>Tabla19[[#This Row],[Importe]]-Tabla19[[#This Row],[Pagado]]</f>
        <v>0</v>
      </c>
      <c r="H2228" s="75" t="s">
        <v>10</v>
      </c>
    </row>
    <row r="2229" spans="1:8" x14ac:dyDescent="0.25">
      <c r="A2229" s="148">
        <v>44795</v>
      </c>
      <c r="B2229" s="149" t="s">
        <v>26970</v>
      </c>
      <c r="C2229" s="153" t="s">
        <v>286</v>
      </c>
      <c r="D2229" s="178">
        <v>37650</v>
      </c>
      <c r="E2229" s="155">
        <v>44796</v>
      </c>
      <c r="F2229" s="178">
        <v>37650</v>
      </c>
      <c r="G2229" s="179">
        <f>Tabla19[[#This Row],[Importe]]-Tabla19[[#This Row],[Pagado]]</f>
        <v>0</v>
      </c>
      <c r="H2229" s="153" t="s">
        <v>10</v>
      </c>
    </row>
    <row r="2230" spans="1:8" x14ac:dyDescent="0.25">
      <c r="A2230" s="73">
        <v>44795</v>
      </c>
      <c r="B2230" s="74" t="s">
        <v>26971</v>
      </c>
      <c r="C2230" s="75" t="s">
        <v>10678</v>
      </c>
      <c r="D2230" s="176">
        <v>5036.6000000000004</v>
      </c>
      <c r="E2230" s="151">
        <v>44795</v>
      </c>
      <c r="F2230" s="176">
        <v>5036.6000000000004</v>
      </c>
      <c r="G2230" s="177">
        <f>Tabla19[[#This Row],[Importe]]-Tabla19[[#This Row],[Pagado]]</f>
        <v>0</v>
      </c>
      <c r="H2230" s="75" t="s">
        <v>10</v>
      </c>
    </row>
    <row r="2231" spans="1:8" x14ac:dyDescent="0.25">
      <c r="A2231" s="148">
        <v>44795</v>
      </c>
      <c r="B2231" s="149" t="s">
        <v>26972</v>
      </c>
      <c r="C2231" s="153" t="s">
        <v>12</v>
      </c>
      <c r="D2231" s="178">
        <v>5482.5</v>
      </c>
      <c r="E2231" s="155">
        <v>44797</v>
      </c>
      <c r="F2231" s="178">
        <v>5482.5</v>
      </c>
      <c r="G2231" s="179">
        <f>Tabla19[[#This Row],[Importe]]-Tabla19[[#This Row],[Pagado]]</f>
        <v>0</v>
      </c>
      <c r="H2231" s="153" t="s">
        <v>10</v>
      </c>
    </row>
    <row r="2232" spans="1:8" x14ac:dyDescent="0.25">
      <c r="A2232" s="73">
        <v>44795</v>
      </c>
      <c r="B2232" s="74" t="s">
        <v>26973</v>
      </c>
      <c r="C2232" s="75" t="s">
        <v>53</v>
      </c>
      <c r="D2232" s="176">
        <v>734.7</v>
      </c>
      <c r="E2232" s="151">
        <v>44795</v>
      </c>
      <c r="F2232" s="176">
        <v>734.7</v>
      </c>
      <c r="G2232" s="177">
        <f>Tabla19[[#This Row],[Importe]]-Tabla19[[#This Row],[Pagado]]</f>
        <v>0</v>
      </c>
      <c r="H2232" s="75" t="s">
        <v>10</v>
      </c>
    </row>
    <row r="2233" spans="1:8" x14ac:dyDescent="0.25">
      <c r="A2233" s="148">
        <v>44795</v>
      </c>
      <c r="B2233" s="149" t="s">
        <v>26974</v>
      </c>
      <c r="C2233" s="153" t="s">
        <v>373</v>
      </c>
      <c r="D2233" s="178">
        <v>43.5</v>
      </c>
      <c r="E2233" s="155">
        <v>44795</v>
      </c>
      <c r="F2233" s="178">
        <v>43.5</v>
      </c>
      <c r="G2233" s="179">
        <f>Tabla19[[#This Row],[Importe]]-Tabla19[[#This Row],[Pagado]]</f>
        <v>0</v>
      </c>
      <c r="H2233" s="153" t="s">
        <v>10</v>
      </c>
    </row>
    <row r="2234" spans="1:8" x14ac:dyDescent="0.25">
      <c r="A2234" s="73">
        <v>44795</v>
      </c>
      <c r="B2234" s="74" t="s">
        <v>26975</v>
      </c>
      <c r="C2234" s="75" t="s">
        <v>459</v>
      </c>
      <c r="D2234" s="176">
        <v>213</v>
      </c>
      <c r="E2234" s="151">
        <v>44795</v>
      </c>
      <c r="F2234" s="176">
        <v>213</v>
      </c>
      <c r="G2234" s="177">
        <f>Tabla19[[#This Row],[Importe]]-Tabla19[[#This Row],[Pagado]]</f>
        <v>0</v>
      </c>
      <c r="H2234" s="75" t="s">
        <v>10</v>
      </c>
    </row>
    <row r="2235" spans="1:8" x14ac:dyDescent="0.25">
      <c r="A2235" s="148">
        <v>44795</v>
      </c>
      <c r="B2235" s="149" t="s">
        <v>26976</v>
      </c>
      <c r="C2235" s="153" t="s">
        <v>463</v>
      </c>
      <c r="D2235" s="178">
        <v>550</v>
      </c>
      <c r="E2235" s="155">
        <v>44795</v>
      </c>
      <c r="F2235" s="178">
        <v>550</v>
      </c>
      <c r="G2235" s="179">
        <f>Tabla19[[#This Row],[Importe]]-Tabla19[[#This Row],[Pagado]]</f>
        <v>0</v>
      </c>
      <c r="H2235" s="153" t="s">
        <v>10</v>
      </c>
    </row>
    <row r="2236" spans="1:8" x14ac:dyDescent="0.25">
      <c r="A2236" s="73">
        <v>44795</v>
      </c>
      <c r="B2236" s="74" t="s">
        <v>26977</v>
      </c>
      <c r="C2236" s="75" t="s">
        <v>461</v>
      </c>
      <c r="D2236" s="176">
        <v>394</v>
      </c>
      <c r="E2236" s="151">
        <v>44795</v>
      </c>
      <c r="F2236" s="176">
        <v>394</v>
      </c>
      <c r="G2236" s="177">
        <f>Tabla19[[#This Row],[Importe]]-Tabla19[[#This Row],[Pagado]]</f>
        <v>0</v>
      </c>
      <c r="H2236" s="75" t="s">
        <v>10</v>
      </c>
    </row>
    <row r="2237" spans="1:8" x14ac:dyDescent="0.25">
      <c r="A2237" s="148">
        <v>44795</v>
      </c>
      <c r="B2237" s="149" t="s">
        <v>26978</v>
      </c>
      <c r="C2237" s="153" t="s">
        <v>31</v>
      </c>
      <c r="D2237" s="178">
        <v>295</v>
      </c>
      <c r="E2237" s="155">
        <v>44795</v>
      </c>
      <c r="F2237" s="178">
        <v>295</v>
      </c>
      <c r="G2237" s="179">
        <f>Tabla19[[#This Row],[Importe]]-Tabla19[[#This Row],[Pagado]]</f>
        <v>0</v>
      </c>
      <c r="H2237" s="153" t="s">
        <v>10</v>
      </c>
    </row>
    <row r="2238" spans="1:8" x14ac:dyDescent="0.25">
      <c r="A2238" s="73">
        <v>44795</v>
      </c>
      <c r="B2238" s="74" t="s">
        <v>26979</v>
      </c>
      <c r="C2238" s="75" t="s">
        <v>280</v>
      </c>
      <c r="D2238" s="176">
        <v>647.4</v>
      </c>
      <c r="E2238" s="151">
        <v>44796</v>
      </c>
      <c r="F2238" s="176">
        <v>647.4</v>
      </c>
      <c r="G2238" s="177">
        <f>Tabla19[[#This Row],[Importe]]-Tabla19[[#This Row],[Pagado]]</f>
        <v>0</v>
      </c>
      <c r="H2238" s="75" t="s">
        <v>10</v>
      </c>
    </row>
    <row r="2239" spans="1:8" x14ac:dyDescent="0.25">
      <c r="A2239" s="148">
        <v>44795</v>
      </c>
      <c r="B2239" s="149" t="s">
        <v>26980</v>
      </c>
      <c r="C2239" s="153" t="s">
        <v>282</v>
      </c>
      <c r="D2239" s="178">
        <v>3315</v>
      </c>
      <c r="E2239" s="155">
        <v>44796</v>
      </c>
      <c r="F2239" s="178">
        <v>3315</v>
      </c>
      <c r="G2239" s="179">
        <f>Tabla19[[#This Row],[Importe]]-Tabla19[[#This Row],[Pagado]]</f>
        <v>0</v>
      </c>
      <c r="H2239" s="153" t="s">
        <v>10</v>
      </c>
    </row>
    <row r="2240" spans="1:8" x14ac:dyDescent="0.25">
      <c r="A2240" s="73">
        <v>44795</v>
      </c>
      <c r="B2240" s="74" t="s">
        <v>26981</v>
      </c>
      <c r="C2240" s="75" t="s">
        <v>1421</v>
      </c>
      <c r="D2240" s="176">
        <v>32953.800000000003</v>
      </c>
      <c r="E2240" s="151">
        <v>44795</v>
      </c>
      <c r="F2240" s="176">
        <v>32953.800000000003</v>
      </c>
      <c r="G2240" s="177">
        <f>Tabla19[[#This Row],[Importe]]-Tabla19[[#This Row],[Pagado]]</f>
        <v>0</v>
      </c>
      <c r="H2240" s="75" t="s">
        <v>10</v>
      </c>
    </row>
    <row r="2241" spans="1:8" x14ac:dyDescent="0.25">
      <c r="A2241" s="148">
        <v>44795</v>
      </c>
      <c r="B2241" s="149" t="s">
        <v>26982</v>
      </c>
      <c r="C2241" s="153" t="s">
        <v>5345</v>
      </c>
      <c r="D2241" s="178">
        <v>1404</v>
      </c>
      <c r="E2241" s="155">
        <v>44796</v>
      </c>
      <c r="F2241" s="178">
        <v>1404</v>
      </c>
      <c r="G2241" s="179">
        <f>Tabla19[[#This Row],[Importe]]-Tabla19[[#This Row],[Pagado]]</f>
        <v>0</v>
      </c>
      <c r="H2241" s="153" t="s">
        <v>10</v>
      </c>
    </row>
    <row r="2242" spans="1:8" x14ac:dyDescent="0.25">
      <c r="A2242" s="73">
        <v>44795</v>
      </c>
      <c r="B2242" s="74" t="s">
        <v>26983</v>
      </c>
      <c r="C2242" s="75" t="s">
        <v>10819</v>
      </c>
      <c r="D2242" s="176">
        <v>725.4</v>
      </c>
      <c r="E2242" s="151">
        <v>44796</v>
      </c>
      <c r="F2242" s="176">
        <v>725.4</v>
      </c>
      <c r="G2242" s="177">
        <f>Tabla19[[#This Row],[Importe]]-Tabla19[[#This Row],[Pagado]]</f>
        <v>0</v>
      </c>
      <c r="H2242" s="75" t="s">
        <v>10</v>
      </c>
    </row>
    <row r="2243" spans="1:8" ht="31.5" x14ac:dyDescent="0.25">
      <c r="A2243" s="148">
        <v>44795</v>
      </c>
      <c r="B2243" s="149" t="s">
        <v>26984</v>
      </c>
      <c r="C2243" s="153" t="s">
        <v>10840</v>
      </c>
      <c r="D2243" s="178">
        <v>33196.199999999997</v>
      </c>
      <c r="E2243" s="150" t="s">
        <v>28000</v>
      </c>
      <c r="F2243" s="178">
        <f>31000+2196.2</f>
        <v>33196.199999999997</v>
      </c>
      <c r="G2243" s="179">
        <f>Tabla19[[#This Row],[Importe]]-Tabla19[[#This Row],[Pagado]]</f>
        <v>0</v>
      </c>
      <c r="H2243" s="153" t="s">
        <v>10</v>
      </c>
    </row>
    <row r="2244" spans="1:8" x14ac:dyDescent="0.25">
      <c r="A2244" s="73">
        <v>44795</v>
      </c>
      <c r="B2244" s="74" t="s">
        <v>26985</v>
      </c>
      <c r="C2244" s="75" t="s">
        <v>284</v>
      </c>
      <c r="D2244" s="176">
        <v>4057.4</v>
      </c>
      <c r="E2244" s="151">
        <v>44796</v>
      </c>
      <c r="F2244" s="176">
        <v>4057.4</v>
      </c>
      <c r="G2244" s="177">
        <f>Tabla19[[#This Row],[Importe]]-Tabla19[[#This Row],[Pagado]]</f>
        <v>0</v>
      </c>
      <c r="H2244" s="75" t="s">
        <v>10</v>
      </c>
    </row>
    <row r="2245" spans="1:8" x14ac:dyDescent="0.25">
      <c r="A2245" s="148">
        <v>44795</v>
      </c>
      <c r="B2245" s="149" t="s">
        <v>26986</v>
      </c>
      <c r="C2245" s="153" t="s">
        <v>1275</v>
      </c>
      <c r="D2245" s="178">
        <v>28099.7</v>
      </c>
      <c r="E2245" s="155">
        <v>44796</v>
      </c>
      <c r="F2245" s="178">
        <v>28099.7</v>
      </c>
      <c r="G2245" s="179">
        <f>Tabla19[[#This Row],[Importe]]-Tabla19[[#This Row],[Pagado]]</f>
        <v>0</v>
      </c>
      <c r="H2245" s="153" t="s">
        <v>10</v>
      </c>
    </row>
    <row r="2246" spans="1:8" x14ac:dyDescent="0.25">
      <c r="A2246" s="73">
        <v>44795</v>
      </c>
      <c r="B2246" s="74" t="s">
        <v>26987</v>
      </c>
      <c r="C2246" s="75" t="s">
        <v>31</v>
      </c>
      <c r="D2246" s="176">
        <v>275.39999999999998</v>
      </c>
      <c r="E2246" s="151">
        <v>44796</v>
      </c>
      <c r="F2246" s="176">
        <v>275.39999999999998</v>
      </c>
      <c r="G2246" s="177">
        <f>Tabla19[[#This Row],[Importe]]-Tabla19[[#This Row],[Pagado]]</f>
        <v>0</v>
      </c>
      <c r="H2246" s="75" t="s">
        <v>10</v>
      </c>
    </row>
    <row r="2247" spans="1:8" x14ac:dyDescent="0.25">
      <c r="A2247" s="148">
        <v>44796</v>
      </c>
      <c r="B2247" s="149" t="s">
        <v>26988</v>
      </c>
      <c r="C2247" s="153" t="s">
        <v>414</v>
      </c>
      <c r="D2247" s="178">
        <v>176375</v>
      </c>
      <c r="E2247" s="155">
        <v>44823</v>
      </c>
      <c r="F2247" s="178">
        <v>176375</v>
      </c>
      <c r="G2247" s="179">
        <f>Tabla19[[#This Row],[Importe]]-Tabla19[[#This Row],[Pagado]]</f>
        <v>0</v>
      </c>
      <c r="H2247" s="153" t="s">
        <v>10</v>
      </c>
    </row>
    <row r="2248" spans="1:8" x14ac:dyDescent="0.25">
      <c r="A2248" s="73">
        <v>44796</v>
      </c>
      <c r="B2248" s="74" t="s">
        <v>26989</v>
      </c>
      <c r="C2248" s="75" t="s">
        <v>109</v>
      </c>
      <c r="D2248" s="176">
        <v>5235.3</v>
      </c>
      <c r="E2248" s="151">
        <v>44797</v>
      </c>
      <c r="F2248" s="176">
        <v>5235.3</v>
      </c>
      <c r="G2248" s="177">
        <f>Tabla19[[#This Row],[Importe]]-Tabla19[[#This Row],[Pagado]]</f>
        <v>0</v>
      </c>
      <c r="H2248" s="75" t="s">
        <v>10</v>
      </c>
    </row>
    <row r="2249" spans="1:8" ht="31.5" x14ac:dyDescent="0.25">
      <c r="A2249" s="148">
        <v>44796</v>
      </c>
      <c r="B2249" s="149" t="s">
        <v>26990</v>
      </c>
      <c r="C2249" s="153" t="s">
        <v>5043</v>
      </c>
      <c r="D2249" s="178">
        <v>5167.5</v>
      </c>
      <c r="E2249" s="150" t="s">
        <v>26991</v>
      </c>
      <c r="F2249" s="178">
        <f>3000+2167.5</f>
        <v>5167.5</v>
      </c>
      <c r="G2249" s="179">
        <f>Tabla19[[#This Row],[Importe]]-Tabla19[[#This Row],[Pagado]]</f>
        <v>0</v>
      </c>
      <c r="H2249" s="153" t="s">
        <v>10</v>
      </c>
    </row>
    <row r="2250" spans="1:8" x14ac:dyDescent="0.25">
      <c r="A2250" s="73">
        <v>44796</v>
      </c>
      <c r="B2250" s="74" t="s">
        <v>26992</v>
      </c>
      <c r="C2250" s="75" t="s">
        <v>64</v>
      </c>
      <c r="D2250" s="176">
        <v>5180.5</v>
      </c>
      <c r="E2250" s="151">
        <v>44797</v>
      </c>
      <c r="F2250" s="176">
        <v>5180.5</v>
      </c>
      <c r="G2250" s="177">
        <f>Tabla19[[#This Row],[Importe]]-Tabla19[[#This Row],[Pagado]]</f>
        <v>0</v>
      </c>
      <c r="H2250" s="75" t="s">
        <v>10</v>
      </c>
    </row>
    <row r="2251" spans="1:8" x14ac:dyDescent="0.25">
      <c r="A2251" s="148">
        <v>44796</v>
      </c>
      <c r="B2251" s="149" t="s">
        <v>26993</v>
      </c>
      <c r="C2251" s="153" t="s">
        <v>97</v>
      </c>
      <c r="D2251" s="178">
        <v>4660.5</v>
      </c>
      <c r="E2251" s="155">
        <v>44797</v>
      </c>
      <c r="F2251" s="178">
        <v>4660.5</v>
      </c>
      <c r="G2251" s="179">
        <f>Tabla19[[#This Row],[Importe]]-Tabla19[[#This Row],[Pagado]]</f>
        <v>0</v>
      </c>
      <c r="H2251" s="153" t="s">
        <v>10</v>
      </c>
    </row>
    <row r="2252" spans="1:8" x14ac:dyDescent="0.25">
      <c r="A2252" s="73">
        <v>44796</v>
      </c>
      <c r="B2252" s="74" t="s">
        <v>26994</v>
      </c>
      <c r="C2252" s="75" t="s">
        <v>111</v>
      </c>
      <c r="D2252" s="176">
        <v>5317.2</v>
      </c>
      <c r="E2252" s="151">
        <v>44797</v>
      </c>
      <c r="F2252" s="176">
        <v>5317.2</v>
      </c>
      <c r="G2252" s="177">
        <f>Tabla19[[#This Row],[Importe]]-Tabla19[[#This Row],[Pagado]]</f>
        <v>0</v>
      </c>
      <c r="H2252" s="75" t="s">
        <v>10</v>
      </c>
    </row>
    <row r="2253" spans="1:8" x14ac:dyDescent="0.25">
      <c r="A2253" s="148">
        <v>44796</v>
      </c>
      <c r="B2253" s="149" t="s">
        <v>26995</v>
      </c>
      <c r="C2253" s="153" t="s">
        <v>348</v>
      </c>
      <c r="D2253" s="178">
        <v>5394</v>
      </c>
      <c r="E2253" s="155">
        <v>44796</v>
      </c>
      <c r="F2253" s="178">
        <v>5394</v>
      </c>
      <c r="G2253" s="179">
        <f>Tabla19[[#This Row],[Importe]]-Tabla19[[#This Row],[Pagado]]</f>
        <v>0</v>
      </c>
      <c r="H2253" s="153" t="s">
        <v>10</v>
      </c>
    </row>
    <row r="2254" spans="1:8" x14ac:dyDescent="0.25">
      <c r="A2254" s="73">
        <v>44796</v>
      </c>
      <c r="B2254" s="74" t="s">
        <v>26996</v>
      </c>
      <c r="C2254" s="75" t="s">
        <v>75</v>
      </c>
      <c r="D2254" s="176">
        <v>8127.6</v>
      </c>
      <c r="E2254" s="151">
        <v>44796</v>
      </c>
      <c r="F2254" s="176">
        <v>8127.6</v>
      </c>
      <c r="G2254" s="177">
        <f>Tabla19[[#This Row],[Importe]]-Tabla19[[#This Row],[Pagado]]</f>
        <v>0</v>
      </c>
      <c r="H2254" s="75" t="s">
        <v>10</v>
      </c>
    </row>
    <row r="2255" spans="1:8" x14ac:dyDescent="0.25">
      <c r="A2255" s="148">
        <v>44796</v>
      </c>
      <c r="B2255" s="149" t="s">
        <v>26997</v>
      </c>
      <c r="C2255" s="153" t="s">
        <v>473</v>
      </c>
      <c r="D2255" s="178">
        <v>4401.3999999999996</v>
      </c>
      <c r="E2255" s="155">
        <v>44796</v>
      </c>
      <c r="F2255" s="178">
        <v>4401.3999999999996</v>
      </c>
      <c r="G2255" s="179">
        <f>Tabla19[[#This Row],[Importe]]-Tabla19[[#This Row],[Pagado]]</f>
        <v>0</v>
      </c>
      <c r="H2255" s="153" t="s">
        <v>10</v>
      </c>
    </row>
    <row r="2256" spans="1:8" ht="31.5" x14ac:dyDescent="0.25">
      <c r="A2256" s="73">
        <v>44796</v>
      </c>
      <c r="B2256" s="74" t="s">
        <v>26998</v>
      </c>
      <c r="C2256" s="75" t="s">
        <v>93</v>
      </c>
      <c r="D2256" s="176">
        <v>11486.6</v>
      </c>
      <c r="E2256" s="147" t="s">
        <v>26999</v>
      </c>
      <c r="F2256" s="176">
        <f>6000+5486.6</f>
        <v>11486.6</v>
      </c>
      <c r="G2256" s="177">
        <f>Tabla19[[#This Row],[Importe]]-Tabla19[[#This Row],[Pagado]]</f>
        <v>0</v>
      </c>
      <c r="H2256" s="75" t="s">
        <v>10</v>
      </c>
    </row>
    <row r="2257" spans="1:8" x14ac:dyDescent="0.25">
      <c r="A2257" s="148">
        <v>44796</v>
      </c>
      <c r="B2257" s="149" t="s">
        <v>27000</v>
      </c>
      <c r="C2257" s="153" t="s">
        <v>481</v>
      </c>
      <c r="D2257" s="178">
        <v>774.7</v>
      </c>
      <c r="E2257" s="155">
        <v>44796</v>
      </c>
      <c r="F2257" s="178">
        <v>774.7</v>
      </c>
      <c r="G2257" s="179">
        <f>Tabla19[[#This Row],[Importe]]-Tabla19[[#This Row],[Pagado]]</f>
        <v>0</v>
      </c>
      <c r="H2257" s="153" t="s">
        <v>10</v>
      </c>
    </row>
    <row r="2258" spans="1:8" x14ac:dyDescent="0.25">
      <c r="A2258" s="73">
        <v>44796</v>
      </c>
      <c r="B2258" s="74" t="s">
        <v>27001</v>
      </c>
      <c r="C2258" s="75" t="s">
        <v>114</v>
      </c>
      <c r="D2258" s="176">
        <v>12370</v>
      </c>
      <c r="E2258" s="151">
        <v>44797</v>
      </c>
      <c r="F2258" s="176">
        <v>12370</v>
      </c>
      <c r="G2258" s="177">
        <f>Tabla19[[#This Row],[Importe]]-Tabla19[[#This Row],[Pagado]]</f>
        <v>0</v>
      </c>
      <c r="H2258" s="75" t="s">
        <v>10</v>
      </c>
    </row>
    <row r="2259" spans="1:8" x14ac:dyDescent="0.25">
      <c r="A2259" s="148">
        <v>44796</v>
      </c>
      <c r="B2259" s="149" t="s">
        <v>27002</v>
      </c>
      <c r="C2259" s="153" t="s">
        <v>2151</v>
      </c>
      <c r="D2259" s="178">
        <v>16724.900000000001</v>
      </c>
      <c r="E2259" s="155">
        <v>44796</v>
      </c>
      <c r="F2259" s="178">
        <v>16724.900000000001</v>
      </c>
      <c r="G2259" s="179">
        <f>Tabla19[[#This Row],[Importe]]-Tabla19[[#This Row],[Pagado]]</f>
        <v>0</v>
      </c>
      <c r="H2259" s="153" t="s">
        <v>10</v>
      </c>
    </row>
    <row r="2260" spans="1:8" x14ac:dyDescent="0.25">
      <c r="A2260" s="73">
        <v>44796</v>
      </c>
      <c r="B2260" s="74" t="s">
        <v>27003</v>
      </c>
      <c r="C2260" s="75" t="s">
        <v>105</v>
      </c>
      <c r="D2260" s="176">
        <v>5544</v>
      </c>
      <c r="E2260" s="151">
        <v>44797</v>
      </c>
      <c r="F2260" s="176">
        <v>5544</v>
      </c>
      <c r="G2260" s="177">
        <f>Tabla19[[#This Row],[Importe]]-Tabla19[[#This Row],[Pagado]]</f>
        <v>0</v>
      </c>
      <c r="H2260" s="75" t="s">
        <v>10</v>
      </c>
    </row>
    <row r="2261" spans="1:8" x14ac:dyDescent="0.25">
      <c r="A2261" s="148">
        <v>44796</v>
      </c>
      <c r="B2261" s="149" t="s">
        <v>27004</v>
      </c>
      <c r="C2261" s="153" t="s">
        <v>105</v>
      </c>
      <c r="D2261" s="178">
        <v>1455.8</v>
      </c>
      <c r="E2261" s="155">
        <v>44797</v>
      </c>
      <c r="F2261" s="178">
        <v>1455.8</v>
      </c>
      <c r="G2261" s="179">
        <f>Tabla19[[#This Row],[Importe]]-Tabla19[[#This Row],[Pagado]]</f>
        <v>0</v>
      </c>
      <c r="H2261" s="153" t="s">
        <v>10</v>
      </c>
    </row>
    <row r="2262" spans="1:8" x14ac:dyDescent="0.25">
      <c r="A2262" s="73">
        <v>44796</v>
      </c>
      <c r="B2262" s="74" t="s">
        <v>27005</v>
      </c>
      <c r="C2262" s="75" t="s">
        <v>99</v>
      </c>
      <c r="D2262" s="176">
        <v>3996.2</v>
      </c>
      <c r="E2262" s="151">
        <v>44798</v>
      </c>
      <c r="F2262" s="176">
        <v>3996.2</v>
      </c>
      <c r="G2262" s="177">
        <f>Tabla19[[#This Row],[Importe]]-Tabla19[[#This Row],[Pagado]]</f>
        <v>0</v>
      </c>
      <c r="H2262" s="75" t="s">
        <v>10</v>
      </c>
    </row>
    <row r="2263" spans="1:8" x14ac:dyDescent="0.25">
      <c r="A2263" s="148">
        <v>44796</v>
      </c>
      <c r="B2263" s="149" t="s">
        <v>27006</v>
      </c>
      <c r="C2263" s="153" t="s">
        <v>89</v>
      </c>
      <c r="D2263" s="178">
        <v>5834.8</v>
      </c>
      <c r="E2263" s="155">
        <v>44797</v>
      </c>
      <c r="F2263" s="178">
        <v>5834.8</v>
      </c>
      <c r="G2263" s="179">
        <f>Tabla19[[#This Row],[Importe]]-Tabla19[[#This Row],[Pagado]]</f>
        <v>0</v>
      </c>
      <c r="H2263" s="153" t="s">
        <v>10</v>
      </c>
    </row>
    <row r="2264" spans="1:8" x14ac:dyDescent="0.25">
      <c r="A2264" s="73">
        <v>44796</v>
      </c>
      <c r="B2264" s="74" t="s">
        <v>27007</v>
      </c>
      <c r="C2264" s="75" t="s">
        <v>9</v>
      </c>
      <c r="D2264" s="176">
        <v>8007.3</v>
      </c>
      <c r="E2264" s="151">
        <v>44796</v>
      </c>
      <c r="F2264" s="176">
        <v>8007.3</v>
      </c>
      <c r="G2264" s="177">
        <f>Tabla19[[#This Row],[Importe]]-Tabla19[[#This Row],[Pagado]]</f>
        <v>0</v>
      </c>
      <c r="H2264" s="75" t="s">
        <v>10</v>
      </c>
    </row>
    <row r="2265" spans="1:8" x14ac:dyDescent="0.25">
      <c r="A2265" s="148">
        <v>44796</v>
      </c>
      <c r="B2265" s="149" t="s">
        <v>27008</v>
      </c>
      <c r="C2265" s="153" t="s">
        <v>17556</v>
      </c>
      <c r="D2265" s="178">
        <v>4921</v>
      </c>
      <c r="E2265" s="155">
        <v>44796</v>
      </c>
      <c r="F2265" s="178">
        <v>4921</v>
      </c>
      <c r="G2265" s="179">
        <f>Tabla19[[#This Row],[Importe]]-Tabla19[[#This Row],[Pagado]]</f>
        <v>0</v>
      </c>
      <c r="H2265" s="153" t="s">
        <v>10</v>
      </c>
    </row>
    <row r="2266" spans="1:8" x14ac:dyDescent="0.25">
      <c r="A2266" s="73">
        <v>44796</v>
      </c>
      <c r="B2266" s="74" t="s">
        <v>27009</v>
      </c>
      <c r="C2266" s="75" t="s">
        <v>924</v>
      </c>
      <c r="D2266" s="176">
        <v>22688.2</v>
      </c>
      <c r="E2266" s="151">
        <v>44796</v>
      </c>
      <c r="F2266" s="176">
        <v>22688.2</v>
      </c>
      <c r="G2266" s="177">
        <f>Tabla19[[#This Row],[Importe]]-Tabla19[[#This Row],[Pagado]]</f>
        <v>0</v>
      </c>
      <c r="H2266" s="75" t="s">
        <v>10</v>
      </c>
    </row>
    <row r="2267" spans="1:8" x14ac:dyDescent="0.25">
      <c r="A2267" s="148">
        <v>44796</v>
      </c>
      <c r="B2267" s="149" t="s">
        <v>27010</v>
      </c>
      <c r="C2267" s="153" t="s">
        <v>16</v>
      </c>
      <c r="D2267" s="178">
        <v>6562.9</v>
      </c>
      <c r="E2267" s="155">
        <v>44796</v>
      </c>
      <c r="F2267" s="178">
        <v>6562.9</v>
      </c>
      <c r="G2267" s="179">
        <f>Tabla19[[#This Row],[Importe]]-Tabla19[[#This Row],[Pagado]]</f>
        <v>0</v>
      </c>
      <c r="H2267" s="153" t="s">
        <v>10</v>
      </c>
    </row>
    <row r="2268" spans="1:8" x14ac:dyDescent="0.25">
      <c r="A2268" s="73">
        <v>44796</v>
      </c>
      <c r="B2268" s="74" t="s">
        <v>27011</v>
      </c>
      <c r="C2268" s="75" t="s">
        <v>11033</v>
      </c>
      <c r="D2268" s="176">
        <v>1856.5</v>
      </c>
      <c r="E2268" s="151">
        <v>44796</v>
      </c>
      <c r="F2268" s="176">
        <v>1856.5</v>
      </c>
      <c r="G2268" s="177">
        <f>Tabla19[[#This Row],[Importe]]-Tabla19[[#This Row],[Pagado]]</f>
        <v>0</v>
      </c>
      <c r="H2268" s="75" t="s">
        <v>10</v>
      </c>
    </row>
    <row r="2269" spans="1:8" x14ac:dyDescent="0.25">
      <c r="A2269" s="148">
        <v>44796</v>
      </c>
      <c r="B2269" s="149" t="s">
        <v>27012</v>
      </c>
      <c r="C2269" s="153" t="s">
        <v>56</v>
      </c>
      <c r="D2269" s="178">
        <v>5954.7</v>
      </c>
      <c r="E2269" s="155">
        <v>44796</v>
      </c>
      <c r="F2269" s="178">
        <v>5954.7</v>
      </c>
      <c r="G2269" s="179">
        <f>Tabla19[[#This Row],[Importe]]-Tabla19[[#This Row],[Pagado]]</f>
        <v>0</v>
      </c>
      <c r="H2269" s="153" t="s">
        <v>10</v>
      </c>
    </row>
    <row r="2270" spans="1:8" x14ac:dyDescent="0.25">
      <c r="A2270" s="73">
        <v>44796</v>
      </c>
      <c r="B2270" s="74" t="s">
        <v>27013</v>
      </c>
      <c r="C2270" s="75" t="s">
        <v>49</v>
      </c>
      <c r="D2270" s="176">
        <v>3405</v>
      </c>
      <c r="E2270" s="151">
        <v>44796</v>
      </c>
      <c r="F2270" s="176">
        <v>3405</v>
      </c>
      <c r="G2270" s="177">
        <f>Tabla19[[#This Row],[Importe]]-Tabla19[[#This Row],[Pagado]]</f>
        <v>0</v>
      </c>
      <c r="H2270" s="75" t="s">
        <v>10</v>
      </c>
    </row>
    <row r="2271" spans="1:8" x14ac:dyDescent="0.25">
      <c r="A2271" s="148">
        <v>44796</v>
      </c>
      <c r="B2271" s="149" t="s">
        <v>27014</v>
      </c>
      <c r="C2271" s="153" t="s">
        <v>45</v>
      </c>
      <c r="D2271" s="178">
        <v>11217.35</v>
      </c>
      <c r="E2271" s="155">
        <v>44796</v>
      </c>
      <c r="F2271" s="178">
        <v>11217.35</v>
      </c>
      <c r="G2271" s="179">
        <f>Tabla19[[#This Row],[Importe]]-Tabla19[[#This Row],[Pagado]]</f>
        <v>0</v>
      </c>
      <c r="H2271" s="153" t="s">
        <v>10</v>
      </c>
    </row>
    <row r="2272" spans="1:8" x14ac:dyDescent="0.25">
      <c r="A2272" s="73">
        <v>44796</v>
      </c>
      <c r="B2272" s="74" t="s">
        <v>27015</v>
      </c>
      <c r="C2272" s="75" t="s">
        <v>37</v>
      </c>
      <c r="D2272" s="176">
        <v>2987.4</v>
      </c>
      <c r="E2272" s="151">
        <v>44796</v>
      </c>
      <c r="F2272" s="176">
        <v>2987.4</v>
      </c>
      <c r="G2272" s="177">
        <f>Tabla19[[#This Row],[Importe]]-Tabla19[[#This Row],[Pagado]]</f>
        <v>0</v>
      </c>
      <c r="H2272" s="75" t="s">
        <v>10</v>
      </c>
    </row>
    <row r="2273" spans="1:8" x14ac:dyDescent="0.25">
      <c r="A2273" s="148">
        <v>44796</v>
      </c>
      <c r="B2273" s="149" t="s">
        <v>27016</v>
      </c>
      <c r="C2273" s="153" t="s">
        <v>37</v>
      </c>
      <c r="D2273" s="178">
        <v>515.20000000000005</v>
      </c>
      <c r="E2273" s="155">
        <v>44796</v>
      </c>
      <c r="F2273" s="178">
        <v>515.20000000000005</v>
      </c>
      <c r="G2273" s="179">
        <f>Tabla19[[#This Row],[Importe]]-Tabla19[[#This Row],[Pagado]]</f>
        <v>0</v>
      </c>
      <c r="H2273" s="153" t="s">
        <v>10</v>
      </c>
    </row>
    <row r="2274" spans="1:8" x14ac:dyDescent="0.25">
      <c r="A2274" s="73">
        <v>44796</v>
      </c>
      <c r="B2274" s="74" t="s">
        <v>27017</v>
      </c>
      <c r="C2274" s="75" t="s">
        <v>407</v>
      </c>
      <c r="D2274" s="176">
        <v>31512</v>
      </c>
      <c r="E2274" s="151">
        <v>44812</v>
      </c>
      <c r="F2274" s="176">
        <v>31512</v>
      </c>
      <c r="G2274" s="177">
        <f>Tabla19[[#This Row],[Importe]]-Tabla19[[#This Row],[Pagado]]</f>
        <v>0</v>
      </c>
      <c r="H2274" s="75" t="s">
        <v>10</v>
      </c>
    </row>
    <row r="2275" spans="1:8" x14ac:dyDescent="0.25">
      <c r="A2275" s="148">
        <v>44796</v>
      </c>
      <c r="B2275" s="149" t="s">
        <v>27018</v>
      </c>
      <c r="C2275" s="153" t="s">
        <v>79</v>
      </c>
      <c r="D2275" s="178">
        <v>14747.8</v>
      </c>
      <c r="E2275" s="155">
        <v>44797</v>
      </c>
      <c r="F2275" s="178">
        <v>14747.8</v>
      </c>
      <c r="G2275" s="179">
        <f>Tabla19[[#This Row],[Importe]]-Tabla19[[#This Row],[Pagado]]</f>
        <v>0</v>
      </c>
      <c r="H2275" s="153" t="s">
        <v>10</v>
      </c>
    </row>
    <row r="2276" spans="1:8" x14ac:dyDescent="0.25">
      <c r="A2276" s="73">
        <v>44796</v>
      </c>
      <c r="B2276" s="74" t="s">
        <v>27019</v>
      </c>
      <c r="C2276" s="75" t="s">
        <v>58</v>
      </c>
      <c r="D2276" s="176">
        <v>1537</v>
      </c>
      <c r="E2276" s="151">
        <v>44796</v>
      </c>
      <c r="F2276" s="176">
        <v>1537</v>
      </c>
      <c r="G2276" s="177">
        <f>Tabla19[[#This Row],[Importe]]-Tabla19[[#This Row],[Pagado]]</f>
        <v>0</v>
      </c>
      <c r="H2276" s="75" t="s">
        <v>10</v>
      </c>
    </row>
    <row r="2277" spans="1:8" x14ac:dyDescent="0.25">
      <c r="A2277" s="148">
        <v>44796</v>
      </c>
      <c r="B2277" s="149" t="s">
        <v>27020</v>
      </c>
      <c r="C2277" s="153" t="s">
        <v>214</v>
      </c>
      <c r="D2277" s="178">
        <v>10319.6</v>
      </c>
      <c r="E2277" s="155">
        <v>44797</v>
      </c>
      <c r="F2277" s="178">
        <v>10319.6</v>
      </c>
      <c r="G2277" s="179">
        <f>Tabla19[[#This Row],[Importe]]-Tabla19[[#This Row],[Pagado]]</f>
        <v>0</v>
      </c>
      <c r="H2277" s="153" t="s">
        <v>10</v>
      </c>
    </row>
    <row r="2278" spans="1:8" x14ac:dyDescent="0.25">
      <c r="A2278" s="73">
        <v>44796</v>
      </c>
      <c r="B2278" s="74" t="s">
        <v>27021</v>
      </c>
      <c r="C2278" s="75" t="s">
        <v>1302</v>
      </c>
      <c r="D2278" s="176">
        <v>13180.6</v>
      </c>
      <c r="E2278" s="151">
        <v>44797</v>
      </c>
      <c r="F2278" s="176">
        <v>13180.6</v>
      </c>
      <c r="G2278" s="177">
        <f>Tabla19[[#This Row],[Importe]]-Tabla19[[#This Row],[Pagado]]</f>
        <v>0</v>
      </c>
      <c r="H2278" s="75" t="s">
        <v>10</v>
      </c>
    </row>
    <row r="2279" spans="1:8" x14ac:dyDescent="0.25">
      <c r="A2279" s="148">
        <v>44796</v>
      </c>
      <c r="B2279" s="149" t="s">
        <v>27022</v>
      </c>
      <c r="C2279" s="153" t="s">
        <v>226</v>
      </c>
      <c r="D2279" s="178">
        <v>10309.6</v>
      </c>
      <c r="E2279" s="155">
        <v>44796</v>
      </c>
      <c r="F2279" s="178">
        <v>10309.6</v>
      </c>
      <c r="G2279" s="179">
        <f>Tabla19[[#This Row],[Importe]]-Tabla19[[#This Row],[Pagado]]</f>
        <v>0</v>
      </c>
      <c r="H2279" s="153" t="s">
        <v>10</v>
      </c>
    </row>
    <row r="2280" spans="1:8" x14ac:dyDescent="0.25">
      <c r="A2280" s="73">
        <v>44796</v>
      </c>
      <c r="B2280" s="74" t="s">
        <v>27023</v>
      </c>
      <c r="C2280" s="75" t="s">
        <v>27024</v>
      </c>
      <c r="D2280" s="176">
        <v>0</v>
      </c>
      <c r="E2280" s="157" t="s">
        <v>189</v>
      </c>
      <c r="F2280" s="176">
        <v>0</v>
      </c>
      <c r="G2280" s="177">
        <f>Tabla19[[#This Row],[Importe]]-Tabla19[[#This Row],[Pagado]]</f>
        <v>0</v>
      </c>
      <c r="H2280" s="161" t="s">
        <v>27025</v>
      </c>
    </row>
    <row r="2281" spans="1:8" x14ac:dyDescent="0.25">
      <c r="A2281" s="148">
        <v>44796</v>
      </c>
      <c r="B2281" s="149" t="s">
        <v>27026</v>
      </c>
      <c r="C2281" s="153" t="s">
        <v>357</v>
      </c>
      <c r="D2281" s="178">
        <v>4530</v>
      </c>
      <c r="E2281" s="155">
        <v>44797</v>
      </c>
      <c r="F2281" s="178">
        <v>4530</v>
      </c>
      <c r="G2281" s="179">
        <f>Tabla19[[#This Row],[Importe]]-Tabla19[[#This Row],[Pagado]]</f>
        <v>0</v>
      </c>
      <c r="H2281" s="153" t="s">
        <v>10</v>
      </c>
    </row>
    <row r="2282" spans="1:8" x14ac:dyDescent="0.25">
      <c r="A2282" s="73">
        <v>44796</v>
      </c>
      <c r="B2282" s="74" t="s">
        <v>27027</v>
      </c>
      <c r="C2282" s="75" t="s">
        <v>83</v>
      </c>
      <c r="D2282" s="176">
        <v>11808</v>
      </c>
      <c r="E2282" s="151">
        <v>44797</v>
      </c>
      <c r="F2282" s="176">
        <v>11808</v>
      </c>
      <c r="G2282" s="177">
        <f>Tabla19[[#This Row],[Importe]]-Tabla19[[#This Row],[Pagado]]</f>
        <v>0</v>
      </c>
      <c r="H2282" s="75" t="s">
        <v>10</v>
      </c>
    </row>
    <row r="2283" spans="1:8" x14ac:dyDescent="0.25">
      <c r="A2283" s="148">
        <v>44796</v>
      </c>
      <c r="B2283" s="149" t="s">
        <v>27028</v>
      </c>
      <c r="C2283" s="153" t="s">
        <v>107</v>
      </c>
      <c r="D2283" s="178">
        <v>15223</v>
      </c>
      <c r="E2283" s="155">
        <v>44797</v>
      </c>
      <c r="F2283" s="178">
        <v>15223</v>
      </c>
      <c r="G2283" s="179">
        <f>Tabla19[[#This Row],[Importe]]-Tabla19[[#This Row],[Pagado]]</f>
        <v>0</v>
      </c>
      <c r="H2283" s="153" t="s">
        <v>10</v>
      </c>
    </row>
    <row r="2284" spans="1:8" x14ac:dyDescent="0.25">
      <c r="A2284" s="73">
        <v>44796</v>
      </c>
      <c r="B2284" s="74" t="s">
        <v>27029</v>
      </c>
      <c r="C2284" s="75" t="s">
        <v>87</v>
      </c>
      <c r="D2284" s="176">
        <v>3304.4</v>
      </c>
      <c r="E2284" s="151">
        <v>44797</v>
      </c>
      <c r="F2284" s="176">
        <v>3304.4</v>
      </c>
      <c r="G2284" s="177">
        <f>Tabla19[[#This Row],[Importe]]-Tabla19[[#This Row],[Pagado]]</f>
        <v>0</v>
      </c>
      <c r="H2284" s="75" t="s">
        <v>10</v>
      </c>
    </row>
    <row r="2285" spans="1:8" x14ac:dyDescent="0.25">
      <c r="A2285" s="148">
        <v>44796</v>
      </c>
      <c r="B2285" s="149" t="s">
        <v>27030</v>
      </c>
      <c r="C2285" s="153" t="s">
        <v>333</v>
      </c>
      <c r="D2285" s="178">
        <v>1912.5</v>
      </c>
      <c r="E2285" s="155">
        <v>44797</v>
      </c>
      <c r="F2285" s="178">
        <v>1912.5</v>
      </c>
      <c r="G2285" s="179">
        <f>Tabla19[[#This Row],[Importe]]-Tabla19[[#This Row],[Pagado]]</f>
        <v>0</v>
      </c>
      <c r="H2285" s="153" t="s">
        <v>10</v>
      </c>
    </row>
    <row r="2286" spans="1:8" x14ac:dyDescent="0.25">
      <c r="A2286" s="73">
        <v>44796</v>
      </c>
      <c r="B2286" s="74" t="s">
        <v>27031</v>
      </c>
      <c r="C2286" s="75" t="s">
        <v>129</v>
      </c>
      <c r="D2286" s="176">
        <v>1302.5999999999999</v>
      </c>
      <c r="E2286" s="151">
        <v>44797</v>
      </c>
      <c r="F2286" s="176">
        <v>1302.5999999999999</v>
      </c>
      <c r="G2286" s="177">
        <f>Tabla19[[#This Row],[Importe]]-Tabla19[[#This Row],[Pagado]]</f>
        <v>0</v>
      </c>
      <c r="H2286" s="75" t="s">
        <v>10</v>
      </c>
    </row>
    <row r="2287" spans="1:8" x14ac:dyDescent="0.25">
      <c r="A2287" s="148">
        <v>44796</v>
      </c>
      <c r="B2287" s="149" t="s">
        <v>27032</v>
      </c>
      <c r="C2287" s="153" t="s">
        <v>146</v>
      </c>
      <c r="D2287" s="178">
        <v>4765.8</v>
      </c>
      <c r="E2287" s="155">
        <v>44797</v>
      </c>
      <c r="F2287" s="178">
        <v>4765.8</v>
      </c>
      <c r="G2287" s="179">
        <f>Tabla19[[#This Row],[Importe]]-Tabla19[[#This Row],[Pagado]]</f>
        <v>0</v>
      </c>
      <c r="H2287" s="153" t="s">
        <v>10</v>
      </c>
    </row>
    <row r="2288" spans="1:8" x14ac:dyDescent="0.25">
      <c r="A2288" s="73">
        <v>44796</v>
      </c>
      <c r="B2288" s="74" t="s">
        <v>27033</v>
      </c>
      <c r="C2288" s="75" t="s">
        <v>24</v>
      </c>
      <c r="D2288" s="176">
        <v>2400</v>
      </c>
      <c r="E2288" s="151">
        <v>44796</v>
      </c>
      <c r="F2288" s="176">
        <v>2400</v>
      </c>
      <c r="G2288" s="177">
        <f>Tabla19[[#This Row],[Importe]]-Tabla19[[#This Row],[Pagado]]</f>
        <v>0</v>
      </c>
      <c r="H2288" s="75" t="s">
        <v>10</v>
      </c>
    </row>
    <row r="2289" spans="1:8" x14ac:dyDescent="0.25">
      <c r="A2289" s="148">
        <v>44796</v>
      </c>
      <c r="B2289" s="149" t="s">
        <v>27034</v>
      </c>
      <c r="C2289" s="153" t="s">
        <v>296</v>
      </c>
      <c r="D2289" s="178">
        <v>1177.0999999999999</v>
      </c>
      <c r="E2289" s="155">
        <v>44796</v>
      </c>
      <c r="F2289" s="178">
        <v>1177.0999999999999</v>
      </c>
      <c r="G2289" s="179">
        <f>Tabla19[[#This Row],[Importe]]-Tabla19[[#This Row],[Pagado]]</f>
        <v>0</v>
      </c>
      <c r="H2289" s="153" t="s">
        <v>10</v>
      </c>
    </row>
    <row r="2290" spans="1:8" x14ac:dyDescent="0.25">
      <c r="A2290" s="73">
        <v>44796</v>
      </c>
      <c r="B2290" s="74" t="s">
        <v>27035</v>
      </c>
      <c r="C2290" s="75" t="s">
        <v>1362</v>
      </c>
      <c r="D2290" s="176">
        <v>8044.5</v>
      </c>
      <c r="E2290" s="151">
        <v>44797</v>
      </c>
      <c r="F2290" s="176">
        <v>8044.5</v>
      </c>
      <c r="G2290" s="177">
        <f>Tabla19[[#This Row],[Importe]]-Tabla19[[#This Row],[Pagado]]</f>
        <v>0</v>
      </c>
      <c r="H2290" s="75" t="s">
        <v>10</v>
      </c>
    </row>
    <row r="2291" spans="1:8" x14ac:dyDescent="0.25">
      <c r="A2291" s="148">
        <v>44796</v>
      </c>
      <c r="B2291" s="149" t="s">
        <v>27036</v>
      </c>
      <c r="C2291" s="153" t="s">
        <v>407</v>
      </c>
      <c r="D2291" s="178">
        <v>2920</v>
      </c>
      <c r="E2291" s="155">
        <v>44812</v>
      </c>
      <c r="F2291" s="178">
        <v>2920</v>
      </c>
      <c r="G2291" s="179">
        <f>Tabla19[[#This Row],[Importe]]-Tabla19[[#This Row],[Pagado]]</f>
        <v>0</v>
      </c>
      <c r="H2291" s="153" t="s">
        <v>10</v>
      </c>
    </row>
    <row r="2292" spans="1:8" x14ac:dyDescent="0.25">
      <c r="A2292" s="73">
        <v>44796</v>
      </c>
      <c r="B2292" s="74" t="s">
        <v>27037</v>
      </c>
      <c r="C2292" s="75" t="s">
        <v>407</v>
      </c>
      <c r="D2292" s="176">
        <v>120</v>
      </c>
      <c r="E2292" s="151">
        <v>44812</v>
      </c>
      <c r="F2292" s="176">
        <v>120</v>
      </c>
      <c r="G2292" s="177">
        <f>Tabla19[[#This Row],[Importe]]-Tabla19[[#This Row],[Pagado]]</f>
        <v>0</v>
      </c>
      <c r="H2292" s="75" t="s">
        <v>10</v>
      </c>
    </row>
    <row r="2293" spans="1:8" x14ac:dyDescent="0.25">
      <c r="A2293" s="148">
        <v>44796</v>
      </c>
      <c r="B2293" s="149" t="s">
        <v>27038</v>
      </c>
      <c r="C2293" s="153" t="s">
        <v>27039</v>
      </c>
      <c r="D2293" s="178">
        <v>0</v>
      </c>
      <c r="E2293" s="158" t="s">
        <v>189</v>
      </c>
      <c r="F2293" s="178">
        <v>0</v>
      </c>
      <c r="G2293" s="179">
        <f>Tabla19[[#This Row],[Importe]]-Tabla19[[#This Row],[Pagado]]</f>
        <v>0</v>
      </c>
      <c r="H2293" s="159" t="s">
        <v>27040</v>
      </c>
    </row>
    <row r="2294" spans="1:8" x14ac:dyDescent="0.25">
      <c r="A2294" s="73">
        <v>44796</v>
      </c>
      <c r="B2294" s="74" t="s">
        <v>27041</v>
      </c>
      <c r="C2294" s="75" t="s">
        <v>1003</v>
      </c>
      <c r="D2294" s="176">
        <v>3353.8</v>
      </c>
      <c r="E2294" s="151">
        <v>44799</v>
      </c>
      <c r="F2294" s="176">
        <v>3353.8</v>
      </c>
      <c r="G2294" s="177">
        <f>Tabla19[[#This Row],[Importe]]-Tabla19[[#This Row],[Pagado]]</f>
        <v>0</v>
      </c>
      <c r="H2294" s="75" t="s">
        <v>10</v>
      </c>
    </row>
    <row r="2295" spans="1:8" x14ac:dyDescent="0.25">
      <c r="A2295" s="148">
        <v>44796</v>
      </c>
      <c r="B2295" s="149" t="s">
        <v>27042</v>
      </c>
      <c r="C2295" s="153" t="s">
        <v>291</v>
      </c>
      <c r="D2295" s="178">
        <v>2900</v>
      </c>
      <c r="E2295" s="155">
        <v>44797</v>
      </c>
      <c r="F2295" s="178">
        <v>2900</v>
      </c>
      <c r="G2295" s="179">
        <f>Tabla19[[#This Row],[Importe]]-Tabla19[[#This Row],[Pagado]]</f>
        <v>0</v>
      </c>
      <c r="H2295" s="153" t="s">
        <v>10</v>
      </c>
    </row>
    <row r="2296" spans="1:8" x14ac:dyDescent="0.25">
      <c r="A2296" s="73">
        <v>44796</v>
      </c>
      <c r="B2296" s="74" t="s">
        <v>27043</v>
      </c>
      <c r="C2296" s="75" t="s">
        <v>4136</v>
      </c>
      <c r="D2296" s="176">
        <v>2080</v>
      </c>
      <c r="E2296" s="151">
        <v>44796</v>
      </c>
      <c r="F2296" s="176">
        <v>2080</v>
      </c>
      <c r="G2296" s="177">
        <f>Tabla19[[#This Row],[Importe]]-Tabla19[[#This Row],[Pagado]]</f>
        <v>0</v>
      </c>
      <c r="H2296" s="75" t="s">
        <v>10</v>
      </c>
    </row>
    <row r="2297" spans="1:8" x14ac:dyDescent="0.25">
      <c r="A2297" s="148">
        <v>44796</v>
      </c>
      <c r="B2297" s="149" t="s">
        <v>27044</v>
      </c>
      <c r="C2297" s="153" t="s">
        <v>151</v>
      </c>
      <c r="D2297" s="178">
        <v>15091.6</v>
      </c>
      <c r="E2297" s="155">
        <v>44797</v>
      </c>
      <c r="F2297" s="178">
        <v>15091.6</v>
      </c>
      <c r="G2297" s="179">
        <f>Tabla19[[#This Row],[Importe]]-Tabla19[[#This Row],[Pagado]]</f>
        <v>0</v>
      </c>
      <c r="H2297" s="153" t="s">
        <v>10</v>
      </c>
    </row>
    <row r="2298" spans="1:8" x14ac:dyDescent="0.25">
      <c r="A2298" s="73">
        <v>44796</v>
      </c>
      <c r="B2298" s="74" t="s">
        <v>27045</v>
      </c>
      <c r="C2298" s="75" t="s">
        <v>414</v>
      </c>
      <c r="D2298" s="176">
        <v>2160</v>
      </c>
      <c r="E2298" s="151">
        <v>44796</v>
      </c>
      <c r="F2298" s="176">
        <v>2160</v>
      </c>
      <c r="G2298" s="177">
        <f>Tabla19[[#This Row],[Importe]]-Tabla19[[#This Row],[Pagado]]</f>
        <v>0</v>
      </c>
      <c r="H2298" s="75" t="s">
        <v>10</v>
      </c>
    </row>
    <row r="2299" spans="1:8" x14ac:dyDescent="0.25">
      <c r="A2299" s="148">
        <v>44796</v>
      </c>
      <c r="B2299" s="149" t="s">
        <v>27046</v>
      </c>
      <c r="C2299" s="153" t="s">
        <v>233</v>
      </c>
      <c r="D2299" s="178">
        <v>5647.2</v>
      </c>
      <c r="E2299" s="155">
        <v>44796</v>
      </c>
      <c r="F2299" s="178">
        <v>5647.2</v>
      </c>
      <c r="G2299" s="179">
        <f>Tabla19[[#This Row],[Importe]]-Tabla19[[#This Row],[Pagado]]</f>
        <v>0</v>
      </c>
      <c r="H2299" s="153" t="s">
        <v>10</v>
      </c>
    </row>
    <row r="2300" spans="1:8" x14ac:dyDescent="0.25">
      <c r="A2300" s="73">
        <v>44796</v>
      </c>
      <c r="B2300" s="74" t="s">
        <v>27047</v>
      </c>
      <c r="C2300" s="75" t="s">
        <v>319</v>
      </c>
      <c r="D2300" s="176">
        <v>11544.06</v>
      </c>
      <c r="E2300" s="151">
        <v>44797</v>
      </c>
      <c r="F2300" s="176">
        <v>11544.06</v>
      </c>
      <c r="G2300" s="177">
        <f>Tabla19[[#This Row],[Importe]]-Tabla19[[#This Row],[Pagado]]</f>
        <v>0</v>
      </c>
      <c r="H2300" s="75" t="s">
        <v>10</v>
      </c>
    </row>
    <row r="2301" spans="1:8" x14ac:dyDescent="0.25">
      <c r="A2301" s="148">
        <v>44796</v>
      </c>
      <c r="B2301" s="149" t="s">
        <v>27048</v>
      </c>
      <c r="C2301" s="153" t="s">
        <v>159</v>
      </c>
      <c r="D2301" s="178">
        <v>2180.8000000000002</v>
      </c>
      <c r="E2301" s="155">
        <v>44797</v>
      </c>
      <c r="F2301" s="178">
        <v>2180.8000000000002</v>
      </c>
      <c r="G2301" s="179">
        <f>Tabla19[[#This Row],[Importe]]-Tabla19[[#This Row],[Pagado]]</f>
        <v>0</v>
      </c>
      <c r="H2301" s="153" t="s">
        <v>10</v>
      </c>
    </row>
    <row r="2302" spans="1:8" x14ac:dyDescent="0.25">
      <c r="A2302" s="73">
        <v>44796</v>
      </c>
      <c r="B2302" s="74" t="s">
        <v>27049</v>
      </c>
      <c r="C2302" s="75" t="s">
        <v>396</v>
      </c>
      <c r="D2302" s="176">
        <v>11841.7</v>
      </c>
      <c r="E2302" s="151">
        <v>44805</v>
      </c>
      <c r="F2302" s="176">
        <v>11841.7</v>
      </c>
      <c r="G2302" s="177">
        <f>Tabla19[[#This Row],[Importe]]-Tabla19[[#This Row],[Pagado]]</f>
        <v>0</v>
      </c>
      <c r="H2302" s="75" t="s">
        <v>10</v>
      </c>
    </row>
    <row r="2303" spans="1:8" x14ac:dyDescent="0.25">
      <c r="A2303" s="148">
        <v>44796</v>
      </c>
      <c r="B2303" s="149" t="s">
        <v>27050</v>
      </c>
      <c r="C2303" s="153" t="s">
        <v>275</v>
      </c>
      <c r="D2303" s="178">
        <v>13179</v>
      </c>
      <c r="E2303" s="155">
        <v>44819</v>
      </c>
      <c r="F2303" s="178">
        <v>13179</v>
      </c>
      <c r="G2303" s="179">
        <f>Tabla19[[#This Row],[Importe]]-Tabla19[[#This Row],[Pagado]]</f>
        <v>0</v>
      </c>
      <c r="H2303" s="153" t="s">
        <v>10</v>
      </c>
    </row>
    <row r="2304" spans="1:8" x14ac:dyDescent="0.25">
      <c r="A2304" s="73">
        <v>44796</v>
      </c>
      <c r="B2304" s="74" t="s">
        <v>27051</v>
      </c>
      <c r="C2304" s="75" t="s">
        <v>392</v>
      </c>
      <c r="D2304" s="176">
        <v>1349.4</v>
      </c>
      <c r="E2304" s="151">
        <v>44796</v>
      </c>
      <c r="F2304" s="176">
        <v>1349.4</v>
      </c>
      <c r="G2304" s="177">
        <f>Tabla19[[#This Row],[Importe]]-Tabla19[[#This Row],[Pagado]]</f>
        <v>0</v>
      </c>
      <c r="H2304" s="75" t="s">
        <v>10</v>
      </c>
    </row>
    <row r="2305" spans="1:8" x14ac:dyDescent="0.25">
      <c r="A2305" s="148">
        <v>44796</v>
      </c>
      <c r="B2305" s="149" t="s">
        <v>27052</v>
      </c>
      <c r="C2305" s="153" t="s">
        <v>7801</v>
      </c>
      <c r="D2305" s="178">
        <v>15412</v>
      </c>
      <c r="E2305" s="155">
        <v>44796</v>
      </c>
      <c r="F2305" s="178">
        <v>15412</v>
      </c>
      <c r="G2305" s="179">
        <f>Tabla19[[#This Row],[Importe]]-Tabla19[[#This Row],[Pagado]]</f>
        <v>0</v>
      </c>
      <c r="H2305" s="153" t="s">
        <v>10</v>
      </c>
    </row>
    <row r="2306" spans="1:8" x14ac:dyDescent="0.25">
      <c r="A2306" s="73">
        <v>44796</v>
      </c>
      <c r="B2306" s="74" t="s">
        <v>27053</v>
      </c>
      <c r="C2306" s="75" t="s">
        <v>520</v>
      </c>
      <c r="D2306" s="176">
        <v>4083.2</v>
      </c>
      <c r="E2306" s="151">
        <v>44797</v>
      </c>
      <c r="F2306" s="176">
        <v>4083.2</v>
      </c>
      <c r="G2306" s="177">
        <f>Tabla19[[#This Row],[Importe]]-Tabla19[[#This Row],[Pagado]]</f>
        <v>0</v>
      </c>
      <c r="H2306" s="75" t="s">
        <v>10</v>
      </c>
    </row>
    <row r="2307" spans="1:8" x14ac:dyDescent="0.25">
      <c r="A2307" s="148">
        <v>44796</v>
      </c>
      <c r="B2307" s="149" t="s">
        <v>27054</v>
      </c>
      <c r="C2307" s="153" t="s">
        <v>157</v>
      </c>
      <c r="D2307" s="178">
        <v>5571.2</v>
      </c>
      <c r="E2307" s="155">
        <v>44797</v>
      </c>
      <c r="F2307" s="178">
        <v>5571.2</v>
      </c>
      <c r="G2307" s="179">
        <f>Tabla19[[#This Row],[Importe]]-Tabla19[[#This Row],[Pagado]]</f>
        <v>0</v>
      </c>
      <c r="H2307" s="153" t="s">
        <v>10</v>
      </c>
    </row>
    <row r="2308" spans="1:8" x14ac:dyDescent="0.25">
      <c r="A2308" s="73">
        <v>44796</v>
      </c>
      <c r="B2308" s="74" t="s">
        <v>27055</v>
      </c>
      <c r="C2308" s="75" t="s">
        <v>1350</v>
      </c>
      <c r="D2308" s="176">
        <v>1263.8</v>
      </c>
      <c r="E2308" s="151">
        <v>44796</v>
      </c>
      <c r="F2308" s="176">
        <v>1263.8</v>
      </c>
      <c r="G2308" s="177">
        <f>Tabla19[[#This Row],[Importe]]-Tabla19[[#This Row],[Pagado]]</f>
        <v>0</v>
      </c>
      <c r="H2308" s="75" t="s">
        <v>10</v>
      </c>
    </row>
    <row r="2309" spans="1:8" x14ac:dyDescent="0.25">
      <c r="A2309" s="148">
        <v>44796</v>
      </c>
      <c r="B2309" s="149" t="s">
        <v>27056</v>
      </c>
      <c r="C2309" s="153" t="s">
        <v>179</v>
      </c>
      <c r="D2309" s="178">
        <v>1326</v>
      </c>
      <c r="E2309" s="155">
        <v>44796</v>
      </c>
      <c r="F2309" s="178">
        <v>1326</v>
      </c>
      <c r="G2309" s="179">
        <f>Tabla19[[#This Row],[Importe]]-Tabla19[[#This Row],[Pagado]]</f>
        <v>0</v>
      </c>
      <c r="H2309" s="153" t="s">
        <v>10</v>
      </c>
    </row>
    <row r="2310" spans="1:8" x14ac:dyDescent="0.25">
      <c r="A2310" s="73">
        <v>44796</v>
      </c>
      <c r="B2310" s="74" t="s">
        <v>27057</v>
      </c>
      <c r="C2310" s="75" t="s">
        <v>135</v>
      </c>
      <c r="D2310" s="176">
        <v>2541.8000000000002</v>
      </c>
      <c r="E2310" s="151">
        <v>44796</v>
      </c>
      <c r="F2310" s="176">
        <v>2541.8000000000002</v>
      </c>
      <c r="G2310" s="177">
        <f>Tabla19[[#This Row],[Importe]]-Tabla19[[#This Row],[Pagado]]</f>
        <v>0</v>
      </c>
      <c r="H2310" s="75" t="s">
        <v>10</v>
      </c>
    </row>
    <row r="2311" spans="1:8" x14ac:dyDescent="0.25">
      <c r="A2311" s="148">
        <v>44796</v>
      </c>
      <c r="B2311" s="149" t="s">
        <v>27058</v>
      </c>
      <c r="C2311" s="153" t="s">
        <v>525</v>
      </c>
      <c r="D2311" s="178">
        <v>2778.9</v>
      </c>
      <c r="E2311" s="155">
        <v>44797</v>
      </c>
      <c r="F2311" s="178">
        <v>2778.9</v>
      </c>
      <c r="G2311" s="179">
        <f>Tabla19[[#This Row],[Importe]]-Tabla19[[#This Row],[Pagado]]</f>
        <v>0</v>
      </c>
      <c r="H2311" s="153" t="s">
        <v>10</v>
      </c>
    </row>
    <row r="2312" spans="1:8" x14ac:dyDescent="0.25">
      <c r="A2312" s="73">
        <v>44796</v>
      </c>
      <c r="B2312" s="74" t="s">
        <v>27059</v>
      </c>
      <c r="C2312" s="75" t="s">
        <v>698</v>
      </c>
      <c r="D2312" s="176">
        <v>8760.9</v>
      </c>
      <c r="E2312" s="151">
        <v>44796</v>
      </c>
      <c r="F2312" s="176">
        <v>8760.9</v>
      </c>
      <c r="G2312" s="177">
        <f>Tabla19[[#This Row],[Importe]]-Tabla19[[#This Row],[Pagado]]</f>
        <v>0</v>
      </c>
      <c r="H2312" s="75" t="s">
        <v>10</v>
      </c>
    </row>
    <row r="2313" spans="1:8" x14ac:dyDescent="0.25">
      <c r="A2313" s="148">
        <v>44796</v>
      </c>
      <c r="B2313" s="149" t="s">
        <v>27060</v>
      </c>
      <c r="C2313" s="153" t="s">
        <v>142</v>
      </c>
      <c r="D2313" s="178">
        <v>17118</v>
      </c>
      <c r="E2313" s="155">
        <v>44842</v>
      </c>
      <c r="F2313" s="178">
        <v>17118</v>
      </c>
      <c r="G2313" s="179">
        <f>Tabla19[[#This Row],[Importe]]-Tabla19[[#This Row],[Pagado]]</f>
        <v>0</v>
      </c>
      <c r="H2313" s="153" t="s">
        <v>10</v>
      </c>
    </row>
    <row r="2314" spans="1:8" x14ac:dyDescent="0.25">
      <c r="A2314" s="73">
        <v>44796</v>
      </c>
      <c r="B2314" s="74" t="s">
        <v>27061</v>
      </c>
      <c r="C2314" s="75" t="s">
        <v>934</v>
      </c>
      <c r="D2314" s="176">
        <v>4031.52</v>
      </c>
      <c r="E2314" s="151">
        <v>44797</v>
      </c>
      <c r="F2314" s="176">
        <v>4031.52</v>
      </c>
      <c r="G2314" s="177">
        <f>Tabla19[[#This Row],[Importe]]-Tabla19[[#This Row],[Pagado]]</f>
        <v>0</v>
      </c>
      <c r="H2314" s="75" t="s">
        <v>10</v>
      </c>
    </row>
    <row r="2315" spans="1:8" x14ac:dyDescent="0.25">
      <c r="A2315" s="148">
        <v>44796</v>
      </c>
      <c r="B2315" s="149" t="s">
        <v>27062</v>
      </c>
      <c r="C2315" s="153" t="s">
        <v>562</v>
      </c>
      <c r="D2315" s="178">
        <v>4950</v>
      </c>
      <c r="E2315" s="155">
        <v>44796</v>
      </c>
      <c r="F2315" s="178">
        <v>4950</v>
      </c>
      <c r="G2315" s="179">
        <f>Tabla19[[#This Row],[Importe]]-Tabla19[[#This Row],[Pagado]]</f>
        <v>0</v>
      </c>
      <c r="H2315" s="153" t="s">
        <v>10</v>
      </c>
    </row>
    <row r="2316" spans="1:8" x14ac:dyDescent="0.25">
      <c r="A2316" s="73">
        <v>44796</v>
      </c>
      <c r="B2316" s="74" t="s">
        <v>27063</v>
      </c>
      <c r="C2316" s="75" t="s">
        <v>200</v>
      </c>
      <c r="D2316" s="176">
        <v>1162.2</v>
      </c>
      <c r="E2316" s="151">
        <v>44796</v>
      </c>
      <c r="F2316" s="176">
        <v>1162.2</v>
      </c>
      <c r="G2316" s="177">
        <f>Tabla19[[#This Row],[Importe]]-Tabla19[[#This Row],[Pagado]]</f>
        <v>0</v>
      </c>
      <c r="H2316" s="75" t="s">
        <v>10</v>
      </c>
    </row>
    <row r="2317" spans="1:8" x14ac:dyDescent="0.25">
      <c r="A2317" s="148">
        <v>44796</v>
      </c>
      <c r="B2317" s="149" t="s">
        <v>27064</v>
      </c>
      <c r="C2317" s="153" t="s">
        <v>419</v>
      </c>
      <c r="D2317" s="178">
        <v>12973.5</v>
      </c>
      <c r="E2317" s="155">
        <v>44796</v>
      </c>
      <c r="F2317" s="178">
        <v>12973.5</v>
      </c>
      <c r="G2317" s="179">
        <f>Tabla19[[#This Row],[Importe]]-Tabla19[[#This Row],[Pagado]]</f>
        <v>0</v>
      </c>
      <c r="H2317" s="153" t="s">
        <v>10</v>
      </c>
    </row>
    <row r="2318" spans="1:8" x14ac:dyDescent="0.25">
      <c r="A2318" s="73">
        <v>44796</v>
      </c>
      <c r="B2318" s="74" t="s">
        <v>27065</v>
      </c>
      <c r="C2318" s="75" t="s">
        <v>359</v>
      </c>
      <c r="D2318" s="176">
        <v>1302.4000000000001</v>
      </c>
      <c r="E2318" s="151">
        <v>44796</v>
      </c>
      <c r="F2318" s="176">
        <v>1302.4000000000001</v>
      </c>
      <c r="G2318" s="177">
        <f>Tabla19[[#This Row],[Importe]]-Tabla19[[#This Row],[Pagado]]</f>
        <v>0</v>
      </c>
      <c r="H2318" s="75" t="s">
        <v>10</v>
      </c>
    </row>
    <row r="2319" spans="1:8" x14ac:dyDescent="0.25">
      <c r="A2319" s="148">
        <v>44796</v>
      </c>
      <c r="B2319" s="149" t="s">
        <v>27066</v>
      </c>
      <c r="C2319" s="153" t="s">
        <v>31</v>
      </c>
      <c r="D2319" s="178">
        <v>10519.2</v>
      </c>
      <c r="E2319" s="155">
        <v>44796</v>
      </c>
      <c r="F2319" s="178">
        <v>10519.2</v>
      </c>
      <c r="G2319" s="179">
        <f>Tabla19[[#This Row],[Importe]]-Tabla19[[#This Row],[Pagado]]</f>
        <v>0</v>
      </c>
      <c r="H2319" s="153" t="s">
        <v>10</v>
      </c>
    </row>
    <row r="2320" spans="1:8" x14ac:dyDescent="0.25">
      <c r="A2320" s="73">
        <v>44796</v>
      </c>
      <c r="B2320" s="74" t="s">
        <v>27067</v>
      </c>
      <c r="C2320" s="75" t="s">
        <v>24284</v>
      </c>
      <c r="D2320" s="176">
        <v>1240.2</v>
      </c>
      <c r="E2320" s="151">
        <v>44796</v>
      </c>
      <c r="F2320" s="176">
        <v>1240.2</v>
      </c>
      <c r="G2320" s="177">
        <f>Tabla19[[#This Row],[Importe]]-Tabla19[[#This Row],[Pagado]]</f>
        <v>0</v>
      </c>
      <c r="H2320" s="75" t="s">
        <v>10</v>
      </c>
    </row>
    <row r="2321" spans="1:8" x14ac:dyDescent="0.25">
      <c r="A2321" s="148">
        <v>44796</v>
      </c>
      <c r="B2321" s="149" t="s">
        <v>27068</v>
      </c>
      <c r="C2321" s="153" t="s">
        <v>273</v>
      </c>
      <c r="D2321" s="178">
        <v>2000</v>
      </c>
      <c r="E2321" s="155">
        <v>44796</v>
      </c>
      <c r="F2321" s="178">
        <v>2000</v>
      </c>
      <c r="G2321" s="179">
        <f>Tabla19[[#This Row],[Importe]]-Tabla19[[#This Row],[Pagado]]</f>
        <v>0</v>
      </c>
      <c r="H2321" s="153" t="s">
        <v>10</v>
      </c>
    </row>
    <row r="2322" spans="1:8" x14ac:dyDescent="0.25">
      <c r="A2322" s="73">
        <v>44796</v>
      </c>
      <c r="B2322" s="74" t="s">
        <v>27069</v>
      </c>
      <c r="C2322" s="75" t="s">
        <v>214</v>
      </c>
      <c r="D2322" s="176">
        <v>1575.6</v>
      </c>
      <c r="E2322" s="151">
        <v>44796</v>
      </c>
      <c r="F2322" s="176">
        <v>1575.6</v>
      </c>
      <c r="G2322" s="177">
        <f>Tabla19[[#This Row],[Importe]]-Tabla19[[#This Row],[Pagado]]</f>
        <v>0</v>
      </c>
      <c r="H2322" s="75" t="s">
        <v>10</v>
      </c>
    </row>
    <row r="2323" spans="1:8" x14ac:dyDescent="0.25">
      <c r="A2323" s="148">
        <v>44796</v>
      </c>
      <c r="B2323" s="149" t="s">
        <v>27070</v>
      </c>
      <c r="C2323" s="153" t="s">
        <v>670</v>
      </c>
      <c r="D2323" s="178">
        <v>4876.6000000000004</v>
      </c>
      <c r="E2323" s="155">
        <v>44796</v>
      </c>
      <c r="F2323" s="178">
        <v>4876.6000000000004</v>
      </c>
      <c r="G2323" s="179">
        <f>Tabla19[[#This Row],[Importe]]-Tabla19[[#This Row],[Pagado]]</f>
        <v>0</v>
      </c>
      <c r="H2323" s="153" t="s">
        <v>10</v>
      </c>
    </row>
    <row r="2324" spans="1:8" x14ac:dyDescent="0.25">
      <c r="A2324" s="73">
        <v>44796</v>
      </c>
      <c r="B2324" s="74" t="s">
        <v>27071</v>
      </c>
      <c r="C2324" s="75" t="s">
        <v>53</v>
      </c>
      <c r="D2324" s="176">
        <v>1722.2</v>
      </c>
      <c r="E2324" s="151">
        <v>44796</v>
      </c>
      <c r="F2324" s="176">
        <v>1722.2</v>
      </c>
      <c r="G2324" s="177">
        <f>Tabla19[[#This Row],[Importe]]-Tabla19[[#This Row],[Pagado]]</f>
        <v>0</v>
      </c>
      <c r="H2324" s="75" t="s">
        <v>10</v>
      </c>
    </row>
    <row r="2325" spans="1:8" x14ac:dyDescent="0.25">
      <c r="A2325" s="148">
        <v>44796</v>
      </c>
      <c r="B2325" s="149" t="s">
        <v>27072</v>
      </c>
      <c r="C2325" s="153" t="s">
        <v>994</v>
      </c>
      <c r="D2325" s="178">
        <v>2152.5</v>
      </c>
      <c r="E2325" s="155">
        <v>44796</v>
      </c>
      <c r="F2325" s="178">
        <v>2152.5</v>
      </c>
      <c r="G2325" s="179">
        <f>Tabla19[[#This Row],[Importe]]-Tabla19[[#This Row],[Pagado]]</f>
        <v>0</v>
      </c>
      <c r="H2325" s="153" t="s">
        <v>10</v>
      </c>
    </row>
    <row r="2326" spans="1:8" x14ac:dyDescent="0.25">
      <c r="A2326" s="73">
        <v>44796</v>
      </c>
      <c r="B2326" s="74" t="s">
        <v>27073</v>
      </c>
      <c r="C2326" s="75" t="s">
        <v>51</v>
      </c>
      <c r="D2326" s="176">
        <v>553</v>
      </c>
      <c r="E2326" s="151">
        <v>44796</v>
      </c>
      <c r="F2326" s="176">
        <v>553</v>
      </c>
      <c r="G2326" s="177">
        <f>Tabla19[[#This Row],[Importe]]-Tabla19[[#This Row],[Pagado]]</f>
        <v>0</v>
      </c>
      <c r="H2326" s="75" t="s">
        <v>10</v>
      </c>
    </row>
    <row r="2327" spans="1:8" x14ac:dyDescent="0.25">
      <c r="A2327" s="148">
        <v>44796</v>
      </c>
      <c r="B2327" s="149" t="s">
        <v>27074</v>
      </c>
      <c r="C2327" s="153" t="s">
        <v>1706</v>
      </c>
      <c r="D2327" s="178">
        <v>3941.6</v>
      </c>
      <c r="E2327" s="155">
        <v>44796</v>
      </c>
      <c r="F2327" s="178">
        <v>3941.6</v>
      </c>
      <c r="G2327" s="179">
        <f>Tabla19[[#This Row],[Importe]]-Tabla19[[#This Row],[Pagado]]</f>
        <v>0</v>
      </c>
      <c r="H2327" s="153" t="s">
        <v>10</v>
      </c>
    </row>
    <row r="2328" spans="1:8" x14ac:dyDescent="0.25">
      <c r="A2328" s="73">
        <v>44796</v>
      </c>
      <c r="B2328" s="74" t="s">
        <v>27075</v>
      </c>
      <c r="C2328" s="75" t="s">
        <v>450</v>
      </c>
      <c r="D2328" s="176">
        <v>8272</v>
      </c>
      <c r="E2328" s="151">
        <v>44796</v>
      </c>
      <c r="F2328" s="176">
        <v>8272</v>
      </c>
      <c r="G2328" s="177">
        <f>Tabla19[[#This Row],[Importe]]-Tabla19[[#This Row],[Pagado]]</f>
        <v>0</v>
      </c>
      <c r="H2328" s="75" t="s">
        <v>10</v>
      </c>
    </row>
    <row r="2329" spans="1:8" x14ac:dyDescent="0.25">
      <c r="A2329" s="148">
        <v>44796</v>
      </c>
      <c r="B2329" s="149" t="s">
        <v>27076</v>
      </c>
      <c r="C2329" s="153" t="s">
        <v>440</v>
      </c>
      <c r="D2329" s="178">
        <v>9886.84</v>
      </c>
      <c r="E2329" s="155">
        <v>44809</v>
      </c>
      <c r="F2329" s="178">
        <v>9886.84</v>
      </c>
      <c r="G2329" s="179">
        <f>Tabla19[[#This Row],[Importe]]-Tabla19[[#This Row],[Pagado]]</f>
        <v>0</v>
      </c>
      <c r="H2329" s="153" t="s">
        <v>10</v>
      </c>
    </row>
    <row r="2330" spans="1:8" x14ac:dyDescent="0.25">
      <c r="A2330" s="73">
        <v>44796</v>
      </c>
      <c r="B2330" s="74" t="s">
        <v>27077</v>
      </c>
      <c r="C2330" s="75" t="s">
        <v>10819</v>
      </c>
      <c r="D2330" s="176">
        <v>717.6</v>
      </c>
      <c r="E2330" s="151">
        <v>44799</v>
      </c>
      <c r="F2330" s="176">
        <v>717.6</v>
      </c>
      <c r="G2330" s="177">
        <f>Tabla19[[#This Row],[Importe]]-Tabla19[[#This Row],[Pagado]]</f>
        <v>0</v>
      </c>
      <c r="H2330" s="75" t="s">
        <v>10</v>
      </c>
    </row>
    <row r="2331" spans="1:8" x14ac:dyDescent="0.25">
      <c r="A2331" s="148">
        <v>44796</v>
      </c>
      <c r="B2331" s="149" t="s">
        <v>27078</v>
      </c>
      <c r="C2331" s="153" t="s">
        <v>280</v>
      </c>
      <c r="D2331" s="178">
        <v>733.2</v>
      </c>
      <c r="E2331" s="155">
        <v>44799</v>
      </c>
      <c r="F2331" s="178">
        <v>733.2</v>
      </c>
      <c r="G2331" s="179">
        <f>Tabla19[[#This Row],[Importe]]-Tabla19[[#This Row],[Pagado]]</f>
        <v>0</v>
      </c>
      <c r="H2331" s="153" t="s">
        <v>10</v>
      </c>
    </row>
    <row r="2332" spans="1:8" x14ac:dyDescent="0.25">
      <c r="A2332" s="73">
        <v>44796</v>
      </c>
      <c r="B2332" s="74" t="s">
        <v>27079</v>
      </c>
      <c r="C2332" s="75" t="s">
        <v>9</v>
      </c>
      <c r="D2332" s="176">
        <v>4857.2</v>
      </c>
      <c r="E2332" s="151">
        <v>44796</v>
      </c>
      <c r="F2332" s="176">
        <v>4857.2</v>
      </c>
      <c r="G2332" s="177">
        <f>Tabla19[[#This Row],[Importe]]-Tabla19[[#This Row],[Pagado]]</f>
        <v>0</v>
      </c>
      <c r="H2332" s="75" t="s">
        <v>10</v>
      </c>
    </row>
    <row r="2333" spans="1:8" x14ac:dyDescent="0.25">
      <c r="A2333" s="148">
        <v>44796</v>
      </c>
      <c r="B2333" s="149" t="s">
        <v>27080</v>
      </c>
      <c r="C2333" s="153" t="s">
        <v>282</v>
      </c>
      <c r="D2333" s="178">
        <v>1848.6</v>
      </c>
      <c r="E2333" s="155">
        <v>44799</v>
      </c>
      <c r="F2333" s="178">
        <v>1848.6</v>
      </c>
      <c r="G2333" s="179">
        <f>Tabla19[[#This Row],[Importe]]-Tabla19[[#This Row],[Pagado]]</f>
        <v>0</v>
      </c>
      <c r="H2333" s="153" t="s">
        <v>10</v>
      </c>
    </row>
    <row r="2334" spans="1:8" x14ac:dyDescent="0.25">
      <c r="A2334" s="73">
        <v>44796</v>
      </c>
      <c r="B2334" s="74" t="s">
        <v>27081</v>
      </c>
      <c r="C2334" s="75" t="s">
        <v>284</v>
      </c>
      <c r="D2334" s="176">
        <v>8065.2</v>
      </c>
      <c r="E2334" s="151">
        <v>44799</v>
      </c>
      <c r="F2334" s="176">
        <v>8065.2</v>
      </c>
      <c r="G2334" s="177">
        <f>Tabla19[[#This Row],[Importe]]-Tabla19[[#This Row],[Pagado]]</f>
        <v>0</v>
      </c>
      <c r="H2334" s="75" t="s">
        <v>10</v>
      </c>
    </row>
    <row r="2335" spans="1:8" x14ac:dyDescent="0.25">
      <c r="A2335" s="148">
        <v>44796</v>
      </c>
      <c r="B2335" s="149" t="s">
        <v>27082</v>
      </c>
      <c r="C2335" s="153" t="s">
        <v>31</v>
      </c>
      <c r="D2335" s="178">
        <v>289.8</v>
      </c>
      <c r="E2335" s="155">
        <v>44796</v>
      </c>
      <c r="F2335" s="178">
        <v>289.8</v>
      </c>
      <c r="G2335" s="179">
        <f>Tabla19[[#This Row],[Importe]]-Tabla19[[#This Row],[Pagado]]</f>
        <v>0</v>
      </c>
      <c r="H2335" s="153" t="s">
        <v>10</v>
      </c>
    </row>
    <row r="2336" spans="1:8" x14ac:dyDescent="0.25">
      <c r="A2336" s="73">
        <v>44796</v>
      </c>
      <c r="B2336" s="74" t="s">
        <v>27083</v>
      </c>
      <c r="C2336" s="75" t="s">
        <v>296</v>
      </c>
      <c r="D2336" s="176">
        <v>4620</v>
      </c>
      <c r="E2336" s="151">
        <v>44796</v>
      </c>
      <c r="F2336" s="176">
        <v>4620</v>
      </c>
      <c r="G2336" s="177">
        <f>Tabla19[[#This Row],[Importe]]-Tabla19[[#This Row],[Pagado]]</f>
        <v>0</v>
      </c>
      <c r="H2336" s="75" t="s">
        <v>10</v>
      </c>
    </row>
    <row r="2337" spans="1:8" x14ac:dyDescent="0.25">
      <c r="A2337" s="148">
        <v>44796</v>
      </c>
      <c r="B2337" s="149" t="s">
        <v>27084</v>
      </c>
      <c r="C2337" s="153" t="s">
        <v>10190</v>
      </c>
      <c r="D2337" s="178">
        <v>22167.599999999999</v>
      </c>
      <c r="E2337" s="155">
        <v>44799</v>
      </c>
      <c r="F2337" s="178">
        <v>22167.599999999999</v>
      </c>
      <c r="G2337" s="179">
        <f>Tabla19[[#This Row],[Importe]]-Tabla19[[#This Row],[Pagado]]</f>
        <v>0</v>
      </c>
      <c r="H2337" s="153" t="s">
        <v>10</v>
      </c>
    </row>
    <row r="2338" spans="1:8" x14ac:dyDescent="0.25">
      <c r="A2338" s="73">
        <v>44796</v>
      </c>
      <c r="B2338" s="74" t="s">
        <v>27085</v>
      </c>
      <c r="C2338" s="75" t="s">
        <v>58</v>
      </c>
      <c r="D2338" s="176">
        <v>2320</v>
      </c>
      <c r="E2338" s="151">
        <v>44796</v>
      </c>
      <c r="F2338" s="176">
        <v>2320</v>
      </c>
      <c r="G2338" s="177">
        <f>Tabla19[[#This Row],[Importe]]-Tabla19[[#This Row],[Pagado]]</f>
        <v>0</v>
      </c>
      <c r="H2338" s="75" t="s">
        <v>10</v>
      </c>
    </row>
    <row r="2339" spans="1:8" x14ac:dyDescent="0.25">
      <c r="A2339" s="148">
        <v>44796</v>
      </c>
      <c r="B2339" s="149" t="s">
        <v>27086</v>
      </c>
      <c r="C2339" s="153" t="s">
        <v>421</v>
      </c>
      <c r="D2339" s="178">
        <v>9601.5</v>
      </c>
      <c r="E2339" s="155">
        <v>44802</v>
      </c>
      <c r="F2339" s="178">
        <v>9601.5</v>
      </c>
      <c r="G2339" s="179">
        <f>Tabla19[[#This Row],[Importe]]-Tabla19[[#This Row],[Pagado]]</f>
        <v>0</v>
      </c>
      <c r="H2339" s="153" t="s">
        <v>10</v>
      </c>
    </row>
    <row r="2340" spans="1:8" x14ac:dyDescent="0.25">
      <c r="A2340" s="73">
        <v>44796</v>
      </c>
      <c r="B2340" s="74" t="s">
        <v>27087</v>
      </c>
      <c r="C2340" s="75" t="s">
        <v>433</v>
      </c>
      <c r="D2340" s="176">
        <v>27300</v>
      </c>
      <c r="E2340" s="151">
        <v>44796</v>
      </c>
      <c r="F2340" s="176">
        <v>27300</v>
      </c>
      <c r="G2340" s="177">
        <f>Tabla19[[#This Row],[Importe]]-Tabla19[[#This Row],[Pagado]]</f>
        <v>0</v>
      </c>
      <c r="H2340" s="75" t="s">
        <v>10</v>
      </c>
    </row>
    <row r="2341" spans="1:8" x14ac:dyDescent="0.25">
      <c r="A2341" s="148">
        <v>44796</v>
      </c>
      <c r="B2341" s="149" t="s">
        <v>27088</v>
      </c>
      <c r="C2341" s="153" t="s">
        <v>849</v>
      </c>
      <c r="D2341" s="178">
        <v>800</v>
      </c>
      <c r="E2341" s="155">
        <v>44796</v>
      </c>
      <c r="F2341" s="178">
        <v>800</v>
      </c>
      <c r="G2341" s="179">
        <f>Tabla19[[#This Row],[Importe]]-Tabla19[[#This Row],[Pagado]]</f>
        <v>0</v>
      </c>
      <c r="H2341" s="153" t="s">
        <v>10</v>
      </c>
    </row>
    <row r="2342" spans="1:8" x14ac:dyDescent="0.25">
      <c r="A2342" s="73">
        <v>44796</v>
      </c>
      <c r="B2342" s="74" t="s">
        <v>27089</v>
      </c>
      <c r="C2342" s="75" t="s">
        <v>16</v>
      </c>
      <c r="D2342" s="176">
        <v>790.6</v>
      </c>
      <c r="E2342" s="151">
        <v>44796</v>
      </c>
      <c r="F2342" s="176">
        <v>790.6</v>
      </c>
      <c r="G2342" s="177">
        <f>Tabla19[[#This Row],[Importe]]-Tabla19[[#This Row],[Pagado]]</f>
        <v>0</v>
      </c>
      <c r="H2342" s="75" t="s">
        <v>10</v>
      </c>
    </row>
    <row r="2343" spans="1:8" x14ac:dyDescent="0.25">
      <c r="A2343" s="148">
        <v>44796</v>
      </c>
      <c r="B2343" s="149" t="s">
        <v>27090</v>
      </c>
      <c r="C2343" s="153" t="s">
        <v>3747</v>
      </c>
      <c r="D2343" s="178">
        <v>16500</v>
      </c>
      <c r="E2343" s="155">
        <v>44796</v>
      </c>
      <c r="F2343" s="178">
        <v>16500</v>
      </c>
      <c r="G2343" s="179">
        <f>Tabla19[[#This Row],[Importe]]-Tabla19[[#This Row],[Pagado]]</f>
        <v>0</v>
      </c>
      <c r="H2343" s="153" t="s">
        <v>10</v>
      </c>
    </row>
    <row r="2344" spans="1:8" x14ac:dyDescent="0.25">
      <c r="A2344" s="73">
        <v>44796</v>
      </c>
      <c r="B2344" s="74" t="s">
        <v>27091</v>
      </c>
      <c r="C2344" s="75" t="s">
        <v>15524</v>
      </c>
      <c r="D2344" s="176">
        <v>0</v>
      </c>
      <c r="E2344" s="157" t="s">
        <v>189</v>
      </c>
      <c r="F2344" s="176">
        <v>0</v>
      </c>
      <c r="G2344" s="177">
        <f>Tabla19[[#This Row],[Importe]]-Tabla19[[#This Row],[Pagado]]</f>
        <v>0</v>
      </c>
      <c r="H2344" s="161" t="s">
        <v>27092</v>
      </c>
    </row>
    <row r="2345" spans="1:8" x14ac:dyDescent="0.25">
      <c r="A2345" s="148">
        <v>44796</v>
      </c>
      <c r="B2345" s="149" t="s">
        <v>27093</v>
      </c>
      <c r="C2345" s="153" t="s">
        <v>62</v>
      </c>
      <c r="D2345" s="178">
        <v>4320</v>
      </c>
      <c r="E2345" s="155">
        <v>44796</v>
      </c>
      <c r="F2345" s="178">
        <v>4320</v>
      </c>
      <c r="G2345" s="179">
        <f>Tabla19[[#This Row],[Importe]]-Tabla19[[#This Row],[Pagado]]</f>
        <v>0</v>
      </c>
      <c r="H2345" s="153" t="s">
        <v>10</v>
      </c>
    </row>
    <row r="2346" spans="1:8" x14ac:dyDescent="0.25">
      <c r="A2346" s="73">
        <v>44796</v>
      </c>
      <c r="B2346" s="74" t="s">
        <v>27094</v>
      </c>
      <c r="C2346" s="75" t="s">
        <v>2020</v>
      </c>
      <c r="D2346" s="176">
        <v>19500</v>
      </c>
      <c r="E2346" s="151">
        <v>44796</v>
      </c>
      <c r="F2346" s="176">
        <v>19500</v>
      </c>
      <c r="G2346" s="177">
        <f>Tabla19[[#This Row],[Importe]]-Tabla19[[#This Row],[Pagado]]</f>
        <v>0</v>
      </c>
      <c r="H2346" s="75" t="s">
        <v>10</v>
      </c>
    </row>
    <row r="2347" spans="1:8" x14ac:dyDescent="0.25">
      <c r="A2347" s="148">
        <v>44796</v>
      </c>
      <c r="B2347" s="149" t="s">
        <v>27095</v>
      </c>
      <c r="C2347" s="153" t="s">
        <v>452</v>
      </c>
      <c r="D2347" s="178">
        <v>1836</v>
      </c>
      <c r="E2347" s="155">
        <v>44796</v>
      </c>
      <c r="F2347" s="178">
        <v>1836</v>
      </c>
      <c r="G2347" s="179">
        <f>Tabla19[[#This Row],[Importe]]-Tabla19[[#This Row],[Pagado]]</f>
        <v>0</v>
      </c>
      <c r="H2347" s="153" t="s">
        <v>10</v>
      </c>
    </row>
    <row r="2348" spans="1:8" x14ac:dyDescent="0.25">
      <c r="A2348" s="73">
        <v>44796</v>
      </c>
      <c r="B2348" s="74" t="s">
        <v>27096</v>
      </c>
      <c r="C2348" s="75" t="s">
        <v>1421</v>
      </c>
      <c r="D2348" s="176">
        <v>48615.6</v>
      </c>
      <c r="E2348" s="151">
        <v>44796</v>
      </c>
      <c r="F2348" s="176">
        <v>48615.6</v>
      </c>
      <c r="G2348" s="177">
        <f>Tabla19[[#This Row],[Importe]]-Tabla19[[#This Row],[Pagado]]</f>
        <v>0</v>
      </c>
      <c r="H2348" s="75" t="s">
        <v>10</v>
      </c>
    </row>
    <row r="2349" spans="1:8" x14ac:dyDescent="0.25">
      <c r="A2349" s="148">
        <v>44796</v>
      </c>
      <c r="B2349" s="149" t="s">
        <v>27097</v>
      </c>
      <c r="C2349" s="153" t="s">
        <v>31</v>
      </c>
      <c r="D2349" s="178">
        <v>267</v>
      </c>
      <c r="E2349" s="155">
        <v>44796</v>
      </c>
      <c r="F2349" s="178">
        <v>267</v>
      </c>
      <c r="G2349" s="179">
        <f>Tabla19[[#This Row],[Importe]]-Tabla19[[#This Row],[Pagado]]</f>
        <v>0</v>
      </c>
      <c r="H2349" s="153" t="s">
        <v>10</v>
      </c>
    </row>
    <row r="2350" spans="1:8" x14ac:dyDescent="0.25">
      <c r="A2350" s="73">
        <v>44796</v>
      </c>
      <c r="B2350" s="74" t="s">
        <v>27098</v>
      </c>
      <c r="C2350" s="75" t="s">
        <v>196</v>
      </c>
      <c r="D2350" s="176">
        <v>11649</v>
      </c>
      <c r="E2350" s="151">
        <v>44799</v>
      </c>
      <c r="F2350" s="176">
        <v>11649</v>
      </c>
      <c r="G2350" s="177">
        <f>Tabla19[[#This Row],[Importe]]-Tabla19[[#This Row],[Pagado]]</f>
        <v>0</v>
      </c>
      <c r="H2350" s="75" t="s">
        <v>10</v>
      </c>
    </row>
    <row r="2351" spans="1:8" x14ac:dyDescent="0.25">
      <c r="A2351" s="148">
        <v>44796</v>
      </c>
      <c r="B2351" s="149" t="s">
        <v>27099</v>
      </c>
      <c r="C2351" s="153" t="s">
        <v>296</v>
      </c>
      <c r="D2351" s="178">
        <v>2056.1</v>
      </c>
      <c r="E2351" s="155">
        <v>44796</v>
      </c>
      <c r="F2351" s="178">
        <v>2056.1</v>
      </c>
      <c r="G2351" s="179">
        <f>Tabla19[[#This Row],[Importe]]-Tabla19[[#This Row],[Pagado]]</f>
        <v>0</v>
      </c>
      <c r="H2351" s="153" t="s">
        <v>10</v>
      </c>
    </row>
    <row r="2352" spans="1:8" x14ac:dyDescent="0.25">
      <c r="A2352" s="73">
        <v>44796</v>
      </c>
      <c r="B2352" s="74" t="s">
        <v>27100</v>
      </c>
      <c r="C2352" s="75" t="s">
        <v>10273</v>
      </c>
      <c r="D2352" s="176">
        <v>59</v>
      </c>
      <c r="E2352" s="151">
        <v>44811</v>
      </c>
      <c r="F2352" s="176">
        <v>59</v>
      </c>
      <c r="G2352" s="177">
        <f>Tabla19[[#This Row],[Importe]]-Tabla19[[#This Row],[Pagado]]</f>
        <v>0</v>
      </c>
      <c r="H2352" s="75" t="s">
        <v>10</v>
      </c>
    </row>
    <row r="2353" spans="1:8" x14ac:dyDescent="0.25">
      <c r="A2353" s="148">
        <v>44796</v>
      </c>
      <c r="B2353" s="149" t="s">
        <v>27101</v>
      </c>
      <c r="C2353" s="153" t="s">
        <v>196</v>
      </c>
      <c r="D2353" s="178">
        <v>13548.8</v>
      </c>
      <c r="E2353" s="155">
        <v>44799</v>
      </c>
      <c r="F2353" s="178">
        <v>13548.8</v>
      </c>
      <c r="G2353" s="179">
        <f>Tabla19[[#This Row],[Importe]]-Tabla19[[#This Row],[Pagado]]</f>
        <v>0</v>
      </c>
      <c r="H2353" s="153" t="s">
        <v>10</v>
      </c>
    </row>
    <row r="2354" spans="1:8" x14ac:dyDescent="0.25">
      <c r="A2354" s="73">
        <v>44796</v>
      </c>
      <c r="B2354" s="74" t="s">
        <v>27102</v>
      </c>
      <c r="C2354" s="75" t="s">
        <v>69</v>
      </c>
      <c r="D2354" s="176">
        <v>1560</v>
      </c>
      <c r="E2354" s="151">
        <v>44797</v>
      </c>
      <c r="F2354" s="176">
        <v>1560</v>
      </c>
      <c r="G2354" s="177">
        <f>Tabla19[[#This Row],[Importe]]-Tabla19[[#This Row],[Pagado]]</f>
        <v>0</v>
      </c>
      <c r="H2354" s="75" t="s">
        <v>10</v>
      </c>
    </row>
    <row r="2355" spans="1:8" x14ac:dyDescent="0.25">
      <c r="A2355" s="148">
        <v>44796</v>
      </c>
      <c r="B2355" s="149" t="s">
        <v>27103</v>
      </c>
      <c r="C2355" s="153" t="s">
        <v>31</v>
      </c>
      <c r="D2355" s="178">
        <v>20</v>
      </c>
      <c r="E2355" s="155">
        <v>44797</v>
      </c>
      <c r="F2355" s="178">
        <v>20</v>
      </c>
      <c r="G2355" s="179">
        <f>Tabla19[[#This Row],[Importe]]-Tabla19[[#This Row],[Pagado]]</f>
        <v>0</v>
      </c>
      <c r="H2355" s="153" t="s">
        <v>10</v>
      </c>
    </row>
    <row r="2356" spans="1:8" x14ac:dyDescent="0.25">
      <c r="A2356" s="73">
        <v>44796</v>
      </c>
      <c r="B2356" s="74" t="s">
        <v>27104</v>
      </c>
      <c r="C2356" s="75" t="s">
        <v>31</v>
      </c>
      <c r="D2356" s="176">
        <v>1252</v>
      </c>
      <c r="E2356" s="151">
        <v>44797</v>
      </c>
      <c r="F2356" s="176">
        <v>1252</v>
      </c>
      <c r="G2356" s="177">
        <f>Tabla19[[#This Row],[Importe]]-Tabla19[[#This Row],[Pagado]]</f>
        <v>0</v>
      </c>
      <c r="H2356" s="75" t="s">
        <v>10</v>
      </c>
    </row>
    <row r="2357" spans="1:8" x14ac:dyDescent="0.25">
      <c r="A2357" s="148">
        <v>44796</v>
      </c>
      <c r="B2357" s="149" t="s">
        <v>27105</v>
      </c>
      <c r="C2357" s="153" t="s">
        <v>414</v>
      </c>
      <c r="D2357" s="178">
        <v>119218.75</v>
      </c>
      <c r="E2357" s="155">
        <v>44809</v>
      </c>
      <c r="F2357" s="178">
        <v>119218.75</v>
      </c>
      <c r="G2357" s="179">
        <f>Tabla19[[#This Row],[Importe]]-Tabla19[[#This Row],[Pagado]]</f>
        <v>0</v>
      </c>
      <c r="H2357" s="153" t="s">
        <v>10</v>
      </c>
    </row>
    <row r="2358" spans="1:8" x14ac:dyDescent="0.25">
      <c r="A2358" s="73">
        <v>44797</v>
      </c>
      <c r="B2358" s="74" t="s">
        <v>27106</v>
      </c>
      <c r="C2358" s="75" t="s">
        <v>475</v>
      </c>
      <c r="D2358" s="176">
        <v>71118.600000000006</v>
      </c>
      <c r="E2358" s="151">
        <v>44798</v>
      </c>
      <c r="F2358" s="176">
        <v>71118.600000000006</v>
      </c>
      <c r="G2358" s="177">
        <f>Tabla19[[#This Row],[Importe]]-Tabla19[[#This Row],[Pagado]]</f>
        <v>0</v>
      </c>
      <c r="H2358" s="75" t="s">
        <v>10</v>
      </c>
    </row>
    <row r="2359" spans="1:8" x14ac:dyDescent="0.25">
      <c r="A2359" s="148">
        <v>44797</v>
      </c>
      <c r="B2359" s="149" t="s">
        <v>27107</v>
      </c>
      <c r="C2359" s="153" t="s">
        <v>60</v>
      </c>
      <c r="D2359" s="178">
        <v>5356</v>
      </c>
      <c r="E2359" s="155">
        <v>44802</v>
      </c>
      <c r="F2359" s="178">
        <v>5356</v>
      </c>
      <c r="G2359" s="179">
        <f>Tabla19[[#This Row],[Importe]]-Tabla19[[#This Row],[Pagado]]</f>
        <v>0</v>
      </c>
      <c r="H2359" s="153" t="s">
        <v>10</v>
      </c>
    </row>
    <row r="2360" spans="1:8" x14ac:dyDescent="0.25">
      <c r="A2360" s="73">
        <v>44797</v>
      </c>
      <c r="B2360" s="74" t="s">
        <v>27108</v>
      </c>
      <c r="C2360" s="75" t="s">
        <v>97</v>
      </c>
      <c r="D2360" s="176">
        <v>4790.5</v>
      </c>
      <c r="E2360" s="151">
        <v>44798</v>
      </c>
      <c r="F2360" s="176">
        <v>4790.5</v>
      </c>
      <c r="G2360" s="177">
        <f>Tabla19[[#This Row],[Importe]]-Tabla19[[#This Row],[Pagado]]</f>
        <v>0</v>
      </c>
      <c r="H2360" s="75" t="s">
        <v>10</v>
      </c>
    </row>
    <row r="2361" spans="1:8" x14ac:dyDescent="0.25">
      <c r="A2361" s="148">
        <v>44797</v>
      </c>
      <c r="B2361" s="149" t="s">
        <v>27109</v>
      </c>
      <c r="C2361" s="153" t="s">
        <v>24768</v>
      </c>
      <c r="D2361" s="178">
        <v>5088.6000000000004</v>
      </c>
      <c r="E2361" s="155">
        <v>44797</v>
      </c>
      <c r="F2361" s="178">
        <v>5088.6000000000004</v>
      </c>
      <c r="G2361" s="179">
        <f>Tabla19[[#This Row],[Importe]]-Tabla19[[#This Row],[Pagado]]</f>
        <v>0</v>
      </c>
      <c r="H2361" s="153" t="s">
        <v>10</v>
      </c>
    </row>
    <row r="2362" spans="1:8" x14ac:dyDescent="0.25">
      <c r="A2362" s="73">
        <v>44797</v>
      </c>
      <c r="B2362" s="74" t="s">
        <v>27110</v>
      </c>
      <c r="C2362" s="75" t="s">
        <v>2563</v>
      </c>
      <c r="D2362" s="176">
        <v>5154.5</v>
      </c>
      <c r="E2362" s="151">
        <v>44798</v>
      </c>
      <c r="F2362" s="176">
        <v>5154.5</v>
      </c>
      <c r="G2362" s="177">
        <f>Tabla19[[#This Row],[Importe]]-Tabla19[[#This Row],[Pagado]]</f>
        <v>0</v>
      </c>
      <c r="H2362" s="75" t="s">
        <v>10</v>
      </c>
    </row>
    <row r="2363" spans="1:8" x14ac:dyDescent="0.25">
      <c r="A2363" s="148">
        <v>44797</v>
      </c>
      <c r="B2363" s="149" t="s">
        <v>27111</v>
      </c>
      <c r="C2363" s="153" t="s">
        <v>79</v>
      </c>
      <c r="D2363" s="178">
        <v>9648.6</v>
      </c>
      <c r="E2363" s="155">
        <v>44797</v>
      </c>
      <c r="F2363" s="178">
        <v>9648.6</v>
      </c>
      <c r="G2363" s="179">
        <f>Tabla19[[#This Row],[Importe]]-Tabla19[[#This Row],[Pagado]]</f>
        <v>0</v>
      </c>
      <c r="H2363" s="153" t="s">
        <v>10</v>
      </c>
    </row>
    <row r="2364" spans="1:8" x14ac:dyDescent="0.25">
      <c r="A2364" s="73">
        <v>44797</v>
      </c>
      <c r="B2364" s="74" t="s">
        <v>27112</v>
      </c>
      <c r="C2364" s="75" t="s">
        <v>275</v>
      </c>
      <c r="D2364" s="176">
        <v>4496.8</v>
      </c>
      <c r="E2364" s="151">
        <v>44819</v>
      </c>
      <c r="F2364" s="176">
        <v>4496.8</v>
      </c>
      <c r="G2364" s="177">
        <f>Tabla19[[#This Row],[Importe]]-Tabla19[[#This Row],[Pagado]]</f>
        <v>0</v>
      </c>
      <c r="H2364" s="75" t="s">
        <v>10</v>
      </c>
    </row>
    <row r="2365" spans="1:8" x14ac:dyDescent="0.25">
      <c r="A2365" s="148">
        <v>44797</v>
      </c>
      <c r="B2365" s="149" t="s">
        <v>27113</v>
      </c>
      <c r="C2365" s="153" t="s">
        <v>348</v>
      </c>
      <c r="D2365" s="178">
        <v>6943.6</v>
      </c>
      <c r="E2365" s="155">
        <v>44797</v>
      </c>
      <c r="F2365" s="178">
        <v>6943.6</v>
      </c>
      <c r="G2365" s="179">
        <f>Tabla19[[#This Row],[Importe]]-Tabla19[[#This Row],[Pagado]]</f>
        <v>0</v>
      </c>
      <c r="H2365" s="153" t="s">
        <v>10</v>
      </c>
    </row>
    <row r="2366" spans="1:8" x14ac:dyDescent="0.25">
      <c r="A2366" s="73">
        <v>44797</v>
      </c>
      <c r="B2366" s="74" t="s">
        <v>27114</v>
      </c>
      <c r="C2366" s="75" t="s">
        <v>2151</v>
      </c>
      <c r="D2366" s="176">
        <v>17703.099999999999</v>
      </c>
      <c r="E2366" s="151">
        <v>44797</v>
      </c>
      <c r="F2366" s="176">
        <v>17703.099999999999</v>
      </c>
      <c r="G2366" s="177">
        <f>Tabla19[[#This Row],[Importe]]-Tabla19[[#This Row],[Pagado]]</f>
        <v>0</v>
      </c>
      <c r="H2366" s="75" t="s">
        <v>10</v>
      </c>
    </row>
    <row r="2367" spans="1:8" x14ac:dyDescent="0.25">
      <c r="A2367" s="148">
        <v>44797</v>
      </c>
      <c r="B2367" s="149" t="s">
        <v>27115</v>
      </c>
      <c r="C2367" s="153" t="s">
        <v>93</v>
      </c>
      <c r="D2367" s="178">
        <v>2720.2</v>
      </c>
      <c r="E2367" s="155">
        <v>44799</v>
      </c>
      <c r="F2367" s="178">
        <v>2720.2</v>
      </c>
      <c r="G2367" s="179">
        <f>Tabla19[[#This Row],[Importe]]-Tabla19[[#This Row],[Pagado]]</f>
        <v>0</v>
      </c>
      <c r="H2367" s="153" t="s">
        <v>10</v>
      </c>
    </row>
    <row r="2368" spans="1:8" x14ac:dyDescent="0.25">
      <c r="A2368" s="73">
        <v>44797</v>
      </c>
      <c r="B2368" s="74" t="s">
        <v>27116</v>
      </c>
      <c r="C2368" s="75" t="s">
        <v>109</v>
      </c>
      <c r="D2368" s="176">
        <v>4756.5</v>
      </c>
      <c r="E2368" s="151">
        <v>44798</v>
      </c>
      <c r="F2368" s="176">
        <v>4756.5</v>
      </c>
      <c r="G2368" s="177">
        <f>Tabla19[[#This Row],[Importe]]-Tabla19[[#This Row],[Pagado]]</f>
        <v>0</v>
      </c>
      <c r="H2368" s="75" t="s">
        <v>10</v>
      </c>
    </row>
    <row r="2369" spans="1:8" x14ac:dyDescent="0.25">
      <c r="A2369" s="148">
        <v>44797</v>
      </c>
      <c r="B2369" s="149" t="s">
        <v>27117</v>
      </c>
      <c r="C2369" s="153" t="s">
        <v>105</v>
      </c>
      <c r="D2369" s="178">
        <v>7406.8</v>
      </c>
      <c r="E2369" s="155">
        <v>44798</v>
      </c>
      <c r="F2369" s="178">
        <v>7406.8</v>
      </c>
      <c r="G2369" s="179">
        <f>Tabla19[[#This Row],[Importe]]-Tabla19[[#This Row],[Pagado]]</f>
        <v>0</v>
      </c>
      <c r="H2369" s="153" t="s">
        <v>10</v>
      </c>
    </row>
    <row r="2370" spans="1:8" x14ac:dyDescent="0.25">
      <c r="A2370" s="73">
        <v>44797</v>
      </c>
      <c r="B2370" s="74" t="s">
        <v>27118</v>
      </c>
      <c r="C2370" s="75" t="s">
        <v>89</v>
      </c>
      <c r="D2370" s="176">
        <v>2494</v>
      </c>
      <c r="E2370" s="151">
        <v>44798</v>
      </c>
      <c r="F2370" s="176">
        <v>2494</v>
      </c>
      <c r="G2370" s="177">
        <f>Tabla19[[#This Row],[Importe]]-Tabla19[[#This Row],[Pagado]]</f>
        <v>0</v>
      </c>
      <c r="H2370" s="75" t="s">
        <v>10</v>
      </c>
    </row>
    <row r="2371" spans="1:8" x14ac:dyDescent="0.25">
      <c r="A2371" s="148">
        <v>44797</v>
      </c>
      <c r="B2371" s="149" t="s">
        <v>27119</v>
      </c>
      <c r="C2371" s="153" t="s">
        <v>99</v>
      </c>
      <c r="D2371" s="178">
        <v>3248</v>
      </c>
      <c r="E2371" s="155">
        <v>44800</v>
      </c>
      <c r="F2371" s="178">
        <v>3248</v>
      </c>
      <c r="G2371" s="179">
        <f>Tabla19[[#This Row],[Importe]]-Tabla19[[#This Row],[Pagado]]</f>
        <v>0</v>
      </c>
      <c r="H2371" s="153" t="s">
        <v>10</v>
      </c>
    </row>
    <row r="2372" spans="1:8" x14ac:dyDescent="0.25">
      <c r="A2372" s="73">
        <v>44797</v>
      </c>
      <c r="B2372" s="74" t="s">
        <v>27120</v>
      </c>
      <c r="C2372" s="75" t="s">
        <v>64</v>
      </c>
      <c r="D2372" s="176">
        <v>5083</v>
      </c>
      <c r="E2372" s="151">
        <v>44799</v>
      </c>
      <c r="F2372" s="176">
        <v>5083</v>
      </c>
      <c r="G2372" s="177">
        <f>Tabla19[[#This Row],[Importe]]-Tabla19[[#This Row],[Pagado]]</f>
        <v>0</v>
      </c>
      <c r="H2372" s="75" t="s">
        <v>10</v>
      </c>
    </row>
    <row r="2373" spans="1:8" x14ac:dyDescent="0.25">
      <c r="A2373" s="148">
        <v>44797</v>
      </c>
      <c r="B2373" s="149" t="s">
        <v>27121</v>
      </c>
      <c r="C2373" s="153" t="s">
        <v>114</v>
      </c>
      <c r="D2373" s="178">
        <v>7422.2</v>
      </c>
      <c r="E2373" s="155">
        <v>44799</v>
      </c>
      <c r="F2373" s="178">
        <v>7422.2</v>
      </c>
      <c r="G2373" s="179">
        <f>Tabla19[[#This Row],[Importe]]-Tabla19[[#This Row],[Pagado]]</f>
        <v>0</v>
      </c>
      <c r="H2373" s="153" t="s">
        <v>10</v>
      </c>
    </row>
    <row r="2374" spans="1:8" x14ac:dyDescent="0.25">
      <c r="A2374" s="73">
        <v>44797</v>
      </c>
      <c r="B2374" s="74" t="s">
        <v>27122</v>
      </c>
      <c r="C2374" s="75" t="s">
        <v>481</v>
      </c>
      <c r="D2374" s="176">
        <v>847.3</v>
      </c>
      <c r="E2374" s="151">
        <v>44797</v>
      </c>
      <c r="F2374" s="176">
        <v>847.3</v>
      </c>
      <c r="G2374" s="177">
        <f>Tabla19[[#This Row],[Importe]]-Tabla19[[#This Row],[Pagado]]</f>
        <v>0</v>
      </c>
      <c r="H2374" s="75" t="s">
        <v>10</v>
      </c>
    </row>
    <row r="2375" spans="1:8" x14ac:dyDescent="0.25">
      <c r="A2375" s="148">
        <v>44797</v>
      </c>
      <c r="B2375" s="149" t="s">
        <v>27123</v>
      </c>
      <c r="C2375" s="153" t="s">
        <v>131</v>
      </c>
      <c r="D2375" s="178">
        <v>3965.5</v>
      </c>
      <c r="E2375" s="155">
        <v>44797</v>
      </c>
      <c r="F2375" s="178">
        <v>3965.5</v>
      </c>
      <c r="G2375" s="179">
        <f>Tabla19[[#This Row],[Importe]]-Tabla19[[#This Row],[Pagado]]</f>
        <v>0</v>
      </c>
      <c r="H2375" s="153" t="s">
        <v>10</v>
      </c>
    </row>
    <row r="2376" spans="1:8" x14ac:dyDescent="0.25">
      <c r="A2376" s="73">
        <v>44797</v>
      </c>
      <c r="B2376" s="74" t="s">
        <v>27124</v>
      </c>
      <c r="C2376" s="75" t="s">
        <v>95</v>
      </c>
      <c r="D2376" s="176">
        <v>27085.4</v>
      </c>
      <c r="E2376" s="151">
        <v>44797</v>
      </c>
      <c r="F2376" s="176">
        <v>27085.4</v>
      </c>
      <c r="G2376" s="177">
        <f>Tabla19[[#This Row],[Importe]]-Tabla19[[#This Row],[Pagado]]</f>
        <v>0</v>
      </c>
      <c r="H2376" s="75" t="s">
        <v>10</v>
      </c>
    </row>
    <row r="2377" spans="1:8" x14ac:dyDescent="0.25">
      <c r="A2377" s="148">
        <v>44797</v>
      </c>
      <c r="B2377" s="149" t="s">
        <v>27125</v>
      </c>
      <c r="C2377" s="153" t="s">
        <v>83</v>
      </c>
      <c r="D2377" s="178">
        <v>6108</v>
      </c>
      <c r="E2377" s="155">
        <v>44797</v>
      </c>
      <c r="F2377" s="178">
        <v>6108</v>
      </c>
      <c r="G2377" s="179">
        <f>Tabla19[[#This Row],[Importe]]-Tabla19[[#This Row],[Pagado]]</f>
        <v>0</v>
      </c>
      <c r="H2377" s="153" t="s">
        <v>10</v>
      </c>
    </row>
    <row r="2378" spans="1:8" x14ac:dyDescent="0.25">
      <c r="A2378" s="73">
        <v>44797</v>
      </c>
      <c r="B2378" s="74" t="s">
        <v>27126</v>
      </c>
      <c r="C2378" s="75" t="s">
        <v>9</v>
      </c>
      <c r="D2378" s="176">
        <v>8373.1</v>
      </c>
      <c r="E2378" s="151">
        <v>44797</v>
      </c>
      <c r="F2378" s="176">
        <v>8373.1</v>
      </c>
      <c r="G2378" s="177">
        <f>Tabla19[[#This Row],[Importe]]-Tabla19[[#This Row],[Pagado]]</f>
        <v>0</v>
      </c>
      <c r="H2378" s="75" t="s">
        <v>10</v>
      </c>
    </row>
    <row r="2379" spans="1:8" x14ac:dyDescent="0.25">
      <c r="A2379" s="148">
        <v>44797</v>
      </c>
      <c r="B2379" s="149" t="s">
        <v>27127</v>
      </c>
      <c r="C2379" s="153" t="s">
        <v>87</v>
      </c>
      <c r="D2379" s="178">
        <v>2259.1999999999998</v>
      </c>
      <c r="E2379" s="155">
        <v>44797</v>
      </c>
      <c r="F2379" s="178">
        <v>2259.1999999999998</v>
      </c>
      <c r="G2379" s="179">
        <f>Tabla19[[#This Row],[Importe]]-Tabla19[[#This Row],[Pagado]]</f>
        <v>0</v>
      </c>
      <c r="H2379" s="153" t="s">
        <v>10</v>
      </c>
    </row>
    <row r="2380" spans="1:8" x14ac:dyDescent="0.25">
      <c r="A2380" s="73">
        <v>44797</v>
      </c>
      <c r="B2380" s="74" t="s">
        <v>27128</v>
      </c>
      <c r="C2380" s="75" t="s">
        <v>135</v>
      </c>
      <c r="D2380" s="176">
        <v>2172.5</v>
      </c>
      <c r="E2380" s="151">
        <v>44797</v>
      </c>
      <c r="F2380" s="176">
        <v>2172.5</v>
      </c>
      <c r="G2380" s="177">
        <f>Tabla19[[#This Row],[Importe]]-Tabla19[[#This Row],[Pagado]]</f>
        <v>0</v>
      </c>
      <c r="H2380" s="75" t="s">
        <v>10</v>
      </c>
    </row>
    <row r="2381" spans="1:8" x14ac:dyDescent="0.25">
      <c r="A2381" s="148">
        <v>44797</v>
      </c>
      <c r="B2381" s="149" t="s">
        <v>27129</v>
      </c>
      <c r="C2381" s="153" t="s">
        <v>1187</v>
      </c>
      <c r="D2381" s="178">
        <v>2827.4</v>
      </c>
      <c r="E2381" s="155">
        <v>44797</v>
      </c>
      <c r="F2381" s="178">
        <v>2827.4</v>
      </c>
      <c r="G2381" s="179">
        <f>Tabla19[[#This Row],[Importe]]-Tabla19[[#This Row],[Pagado]]</f>
        <v>0</v>
      </c>
      <c r="H2381" s="153" t="s">
        <v>10</v>
      </c>
    </row>
    <row r="2382" spans="1:8" x14ac:dyDescent="0.25">
      <c r="A2382" s="73">
        <v>44797</v>
      </c>
      <c r="B2382" s="74" t="s">
        <v>27130</v>
      </c>
      <c r="C2382" s="75" t="s">
        <v>31</v>
      </c>
      <c r="D2382" s="176">
        <v>3936.8</v>
      </c>
      <c r="E2382" s="151">
        <v>44797</v>
      </c>
      <c r="F2382" s="176">
        <v>3936.8</v>
      </c>
      <c r="G2382" s="177">
        <f>Tabla19[[#This Row],[Importe]]-Tabla19[[#This Row],[Pagado]]</f>
        <v>0</v>
      </c>
      <c r="H2382" s="75" t="s">
        <v>10</v>
      </c>
    </row>
    <row r="2383" spans="1:8" x14ac:dyDescent="0.25">
      <c r="A2383" s="148">
        <v>44797</v>
      </c>
      <c r="B2383" s="149" t="s">
        <v>27131</v>
      </c>
      <c r="C2383" s="153" t="s">
        <v>16</v>
      </c>
      <c r="D2383" s="178">
        <v>6082.4</v>
      </c>
      <c r="E2383" s="155">
        <v>44797</v>
      </c>
      <c r="F2383" s="178">
        <v>6082.4</v>
      </c>
      <c r="G2383" s="179">
        <f>Tabla19[[#This Row],[Importe]]-Tabla19[[#This Row],[Pagado]]</f>
        <v>0</v>
      </c>
      <c r="H2383" s="153" t="s">
        <v>10</v>
      </c>
    </row>
    <row r="2384" spans="1:8" x14ac:dyDescent="0.25">
      <c r="A2384" s="73">
        <v>44797</v>
      </c>
      <c r="B2384" s="74" t="s">
        <v>27132</v>
      </c>
      <c r="C2384" s="75" t="s">
        <v>466</v>
      </c>
      <c r="D2384" s="176">
        <v>5500</v>
      </c>
      <c r="E2384" s="151">
        <v>44797</v>
      </c>
      <c r="F2384" s="176">
        <v>5500</v>
      </c>
      <c r="G2384" s="177">
        <f>Tabla19[[#This Row],[Importe]]-Tabla19[[#This Row],[Pagado]]</f>
        <v>0</v>
      </c>
      <c r="H2384" s="75" t="s">
        <v>10</v>
      </c>
    </row>
    <row r="2385" spans="1:8" x14ac:dyDescent="0.25">
      <c r="A2385" s="148">
        <v>44797</v>
      </c>
      <c r="B2385" s="149" t="s">
        <v>27133</v>
      </c>
      <c r="C2385" s="153" t="s">
        <v>11033</v>
      </c>
      <c r="D2385" s="178">
        <v>1777.5</v>
      </c>
      <c r="E2385" s="155">
        <v>44797</v>
      </c>
      <c r="F2385" s="178">
        <v>1777.5</v>
      </c>
      <c r="G2385" s="179">
        <f>Tabla19[[#This Row],[Importe]]-Tabla19[[#This Row],[Pagado]]</f>
        <v>0</v>
      </c>
      <c r="H2385" s="153" t="s">
        <v>10</v>
      </c>
    </row>
    <row r="2386" spans="1:8" x14ac:dyDescent="0.25">
      <c r="A2386" s="73">
        <v>44797</v>
      </c>
      <c r="B2386" s="74" t="s">
        <v>27134</v>
      </c>
      <c r="C2386" s="75" t="s">
        <v>196</v>
      </c>
      <c r="D2386" s="176">
        <v>131246.78</v>
      </c>
      <c r="E2386" s="151">
        <v>44799</v>
      </c>
      <c r="F2386" s="176">
        <v>131246.78</v>
      </c>
      <c r="G2386" s="177">
        <f>Tabla19[[#This Row],[Importe]]-Tabla19[[#This Row],[Pagado]]</f>
        <v>0</v>
      </c>
      <c r="H2386" s="75" t="s">
        <v>10</v>
      </c>
    </row>
    <row r="2387" spans="1:8" x14ac:dyDescent="0.25">
      <c r="A2387" s="148">
        <v>44797</v>
      </c>
      <c r="B2387" s="149" t="s">
        <v>27135</v>
      </c>
      <c r="C2387" s="153" t="s">
        <v>27136</v>
      </c>
      <c r="D2387" s="178">
        <v>0</v>
      </c>
      <c r="E2387" s="158" t="s">
        <v>189</v>
      </c>
      <c r="F2387" s="178">
        <v>0</v>
      </c>
      <c r="G2387" s="179">
        <f>Tabla19[[#This Row],[Importe]]-Tabla19[[#This Row],[Pagado]]</f>
        <v>0</v>
      </c>
      <c r="H2387" s="153" t="s">
        <v>189</v>
      </c>
    </row>
    <row r="2388" spans="1:8" x14ac:dyDescent="0.25">
      <c r="A2388" s="73">
        <v>44797</v>
      </c>
      <c r="B2388" s="74" t="s">
        <v>27137</v>
      </c>
      <c r="C2388" s="75" t="s">
        <v>56</v>
      </c>
      <c r="D2388" s="176">
        <v>6273.9</v>
      </c>
      <c r="E2388" s="151">
        <v>44797</v>
      </c>
      <c r="F2388" s="176">
        <v>6273.9</v>
      </c>
      <c r="G2388" s="177">
        <f>Tabla19[[#This Row],[Importe]]-Tabla19[[#This Row],[Pagado]]</f>
        <v>0</v>
      </c>
      <c r="H2388" s="75" t="s">
        <v>10</v>
      </c>
    </row>
    <row r="2389" spans="1:8" x14ac:dyDescent="0.25">
      <c r="A2389" s="148">
        <v>44797</v>
      </c>
      <c r="B2389" s="149" t="s">
        <v>27138</v>
      </c>
      <c r="C2389" s="153" t="s">
        <v>484</v>
      </c>
      <c r="D2389" s="178">
        <v>3884.4</v>
      </c>
      <c r="E2389" s="155">
        <v>44797</v>
      </c>
      <c r="F2389" s="178">
        <v>3884.4</v>
      </c>
      <c r="G2389" s="179">
        <f>Tabla19[[#This Row],[Importe]]-Tabla19[[#This Row],[Pagado]]</f>
        <v>0</v>
      </c>
      <c r="H2389" s="153" t="s">
        <v>10</v>
      </c>
    </row>
    <row r="2390" spans="1:8" x14ac:dyDescent="0.25">
      <c r="A2390" s="73">
        <v>44797</v>
      </c>
      <c r="B2390" s="74" t="s">
        <v>27139</v>
      </c>
      <c r="C2390" s="75" t="s">
        <v>133</v>
      </c>
      <c r="D2390" s="176">
        <v>18600</v>
      </c>
      <c r="E2390" s="151">
        <v>44798</v>
      </c>
      <c r="F2390" s="176">
        <v>18600</v>
      </c>
      <c r="G2390" s="177">
        <f>Tabla19[[#This Row],[Importe]]-Tabla19[[#This Row],[Pagado]]</f>
        <v>0</v>
      </c>
      <c r="H2390" s="75" t="s">
        <v>10</v>
      </c>
    </row>
    <row r="2391" spans="1:8" x14ac:dyDescent="0.25">
      <c r="A2391" s="148">
        <v>44797</v>
      </c>
      <c r="B2391" s="149" t="s">
        <v>27140</v>
      </c>
      <c r="C2391" s="153" t="s">
        <v>348</v>
      </c>
      <c r="D2391" s="178">
        <v>2617.1999999999998</v>
      </c>
      <c r="E2391" s="155">
        <v>44797</v>
      </c>
      <c r="F2391" s="178">
        <v>2617.1999999999998</v>
      </c>
      <c r="G2391" s="179">
        <f>Tabla19[[#This Row],[Importe]]-Tabla19[[#This Row],[Pagado]]</f>
        <v>0</v>
      </c>
      <c r="H2391" s="153" t="s">
        <v>10</v>
      </c>
    </row>
    <row r="2392" spans="1:8" x14ac:dyDescent="0.25">
      <c r="A2392" s="73">
        <v>44797</v>
      </c>
      <c r="B2392" s="74" t="s">
        <v>27141</v>
      </c>
      <c r="C2392" s="75" t="s">
        <v>45</v>
      </c>
      <c r="D2392" s="176">
        <v>11726.4</v>
      </c>
      <c r="E2392" s="151">
        <v>44797</v>
      </c>
      <c r="F2392" s="176">
        <v>11726.4</v>
      </c>
      <c r="G2392" s="177">
        <f>Tabla19[[#This Row],[Importe]]-Tabla19[[#This Row],[Pagado]]</f>
        <v>0</v>
      </c>
      <c r="H2392" s="75" t="s">
        <v>10</v>
      </c>
    </row>
    <row r="2393" spans="1:8" x14ac:dyDescent="0.25">
      <c r="A2393" s="148">
        <v>44797</v>
      </c>
      <c r="B2393" s="149" t="s">
        <v>27142</v>
      </c>
      <c r="C2393" s="153" t="s">
        <v>53</v>
      </c>
      <c r="D2393" s="178">
        <v>630.79999999999995</v>
      </c>
      <c r="E2393" s="155">
        <v>44797</v>
      </c>
      <c r="F2393" s="178">
        <v>630.79999999999995</v>
      </c>
      <c r="G2393" s="179">
        <f>Tabla19[[#This Row],[Importe]]-Tabla19[[#This Row],[Pagado]]</f>
        <v>0</v>
      </c>
      <c r="H2393" s="153" t="s">
        <v>10</v>
      </c>
    </row>
    <row r="2394" spans="1:8" x14ac:dyDescent="0.25">
      <c r="A2394" s="73">
        <v>44797</v>
      </c>
      <c r="B2394" s="74" t="s">
        <v>27143</v>
      </c>
      <c r="C2394" s="75" t="s">
        <v>206</v>
      </c>
      <c r="D2394" s="176">
        <v>28185.599999999999</v>
      </c>
      <c r="E2394" s="151">
        <v>44800</v>
      </c>
      <c r="F2394" s="176">
        <v>28185.599999999999</v>
      </c>
      <c r="G2394" s="177">
        <f>Tabla19[[#This Row],[Importe]]-Tabla19[[#This Row],[Pagado]]</f>
        <v>0</v>
      </c>
      <c r="H2394" s="75" t="s">
        <v>10</v>
      </c>
    </row>
    <row r="2395" spans="1:8" x14ac:dyDescent="0.25">
      <c r="A2395" s="148">
        <v>44797</v>
      </c>
      <c r="B2395" s="149" t="s">
        <v>27144</v>
      </c>
      <c r="C2395" s="153" t="s">
        <v>218</v>
      </c>
      <c r="D2395" s="178">
        <v>22162.7</v>
      </c>
      <c r="E2395" s="155">
        <v>44799</v>
      </c>
      <c r="F2395" s="178">
        <v>22162.7</v>
      </c>
      <c r="G2395" s="179">
        <f>Tabla19[[#This Row],[Importe]]-Tabla19[[#This Row],[Pagado]]</f>
        <v>0</v>
      </c>
      <c r="H2395" s="153" t="s">
        <v>10</v>
      </c>
    </row>
    <row r="2396" spans="1:8" x14ac:dyDescent="0.25">
      <c r="A2396" s="73">
        <v>44797</v>
      </c>
      <c r="B2396" s="74" t="s">
        <v>27145</v>
      </c>
      <c r="C2396" s="75" t="s">
        <v>154</v>
      </c>
      <c r="D2396" s="176">
        <v>20622.099999999999</v>
      </c>
      <c r="E2396" s="151">
        <v>44800</v>
      </c>
      <c r="F2396" s="176">
        <v>20622.099999999999</v>
      </c>
      <c r="G2396" s="177">
        <f>Tabla19[[#This Row],[Importe]]-Tabla19[[#This Row],[Pagado]]</f>
        <v>0</v>
      </c>
      <c r="H2396" s="75" t="s">
        <v>10</v>
      </c>
    </row>
    <row r="2397" spans="1:8" x14ac:dyDescent="0.25">
      <c r="A2397" s="148">
        <v>44797</v>
      </c>
      <c r="B2397" s="149" t="s">
        <v>27146</v>
      </c>
      <c r="C2397" s="153" t="s">
        <v>212</v>
      </c>
      <c r="D2397" s="178">
        <v>10778</v>
      </c>
      <c r="E2397" s="155">
        <v>44799</v>
      </c>
      <c r="F2397" s="178">
        <v>10778</v>
      </c>
      <c r="G2397" s="179">
        <f>Tabla19[[#This Row],[Importe]]-Tabla19[[#This Row],[Pagado]]</f>
        <v>0</v>
      </c>
      <c r="H2397" s="153" t="s">
        <v>10</v>
      </c>
    </row>
    <row r="2398" spans="1:8" x14ac:dyDescent="0.25">
      <c r="A2398" s="73">
        <v>44797</v>
      </c>
      <c r="B2398" s="74" t="s">
        <v>27147</v>
      </c>
      <c r="C2398" s="75" t="s">
        <v>1644</v>
      </c>
      <c r="D2398" s="176">
        <v>11595</v>
      </c>
      <c r="E2398" s="151">
        <v>44798</v>
      </c>
      <c r="F2398" s="176">
        <v>11595</v>
      </c>
      <c r="G2398" s="177">
        <f>Tabla19[[#This Row],[Importe]]-Tabla19[[#This Row],[Pagado]]</f>
        <v>0</v>
      </c>
      <c r="H2398" s="75" t="s">
        <v>10</v>
      </c>
    </row>
    <row r="2399" spans="1:8" x14ac:dyDescent="0.25">
      <c r="A2399" s="148">
        <v>44797</v>
      </c>
      <c r="B2399" s="149" t="s">
        <v>27148</v>
      </c>
      <c r="C2399" s="153" t="s">
        <v>173</v>
      </c>
      <c r="D2399" s="178">
        <v>16442.400000000001</v>
      </c>
      <c r="E2399" s="155">
        <v>44798</v>
      </c>
      <c r="F2399" s="178">
        <v>16442.400000000001</v>
      </c>
      <c r="G2399" s="179">
        <f>Tabla19[[#This Row],[Importe]]-Tabla19[[#This Row],[Pagado]]</f>
        <v>0</v>
      </c>
      <c r="H2399" s="153" t="s">
        <v>10</v>
      </c>
    </row>
    <row r="2400" spans="1:8" x14ac:dyDescent="0.25">
      <c r="A2400" s="73">
        <v>44797</v>
      </c>
      <c r="B2400" s="74" t="s">
        <v>27149</v>
      </c>
      <c r="C2400" s="75" t="s">
        <v>541</v>
      </c>
      <c r="D2400" s="176">
        <v>9629.2000000000007</v>
      </c>
      <c r="E2400" s="151">
        <v>44798</v>
      </c>
      <c r="F2400" s="176">
        <v>9629.2000000000007</v>
      </c>
      <c r="G2400" s="177">
        <f>Tabla19[[#This Row],[Importe]]-Tabla19[[#This Row],[Pagado]]</f>
        <v>0</v>
      </c>
      <c r="H2400" s="75" t="s">
        <v>10</v>
      </c>
    </row>
    <row r="2401" spans="1:8" x14ac:dyDescent="0.25">
      <c r="A2401" s="148">
        <v>44797</v>
      </c>
      <c r="B2401" s="149" t="s">
        <v>27150</v>
      </c>
      <c r="C2401" s="153" t="s">
        <v>31</v>
      </c>
      <c r="D2401" s="178">
        <v>1000</v>
      </c>
      <c r="E2401" s="155">
        <v>44797</v>
      </c>
      <c r="F2401" s="178">
        <v>1000</v>
      </c>
      <c r="G2401" s="179">
        <f>Tabla19[[#This Row],[Importe]]-Tabla19[[#This Row],[Pagado]]</f>
        <v>0</v>
      </c>
      <c r="H2401" s="153" t="s">
        <v>10</v>
      </c>
    </row>
    <row r="2402" spans="1:8" x14ac:dyDescent="0.25">
      <c r="A2402" s="73">
        <v>44797</v>
      </c>
      <c r="B2402" s="74" t="s">
        <v>27151</v>
      </c>
      <c r="C2402" s="75" t="s">
        <v>555</v>
      </c>
      <c r="D2402" s="176">
        <v>25670.240000000002</v>
      </c>
      <c r="E2402" s="151">
        <v>44797</v>
      </c>
      <c r="F2402" s="176">
        <v>25670.240000000002</v>
      </c>
      <c r="G2402" s="177">
        <f>Tabla19[[#This Row],[Importe]]-Tabla19[[#This Row],[Pagado]]</f>
        <v>0</v>
      </c>
      <c r="H2402" s="75" t="s">
        <v>10</v>
      </c>
    </row>
    <row r="2403" spans="1:8" x14ac:dyDescent="0.25">
      <c r="A2403" s="148">
        <v>44797</v>
      </c>
      <c r="B2403" s="149" t="s">
        <v>27152</v>
      </c>
      <c r="C2403" s="153" t="s">
        <v>154</v>
      </c>
      <c r="D2403" s="178">
        <v>4320</v>
      </c>
      <c r="E2403" s="155">
        <v>44800</v>
      </c>
      <c r="F2403" s="178">
        <v>4320</v>
      </c>
      <c r="G2403" s="179">
        <f>Tabla19[[#This Row],[Importe]]-Tabla19[[#This Row],[Pagado]]</f>
        <v>0</v>
      </c>
      <c r="H2403" s="153" t="s">
        <v>10</v>
      </c>
    </row>
    <row r="2404" spans="1:8" x14ac:dyDescent="0.25">
      <c r="A2404" s="73">
        <v>44797</v>
      </c>
      <c r="B2404" s="74" t="s">
        <v>27153</v>
      </c>
      <c r="C2404" s="75" t="s">
        <v>27154</v>
      </c>
      <c r="D2404" s="176">
        <v>22410</v>
      </c>
      <c r="E2404" s="151">
        <v>44798</v>
      </c>
      <c r="F2404" s="176">
        <v>22410</v>
      </c>
      <c r="G2404" s="177">
        <f>Tabla19[[#This Row],[Importe]]-Tabla19[[#This Row],[Pagado]]</f>
        <v>0</v>
      </c>
      <c r="H2404" s="75" t="s">
        <v>10</v>
      </c>
    </row>
    <row r="2405" spans="1:8" x14ac:dyDescent="0.25">
      <c r="A2405" s="148">
        <v>44797</v>
      </c>
      <c r="B2405" s="149" t="s">
        <v>27155</v>
      </c>
      <c r="C2405" s="153" t="s">
        <v>31</v>
      </c>
      <c r="D2405" s="178">
        <v>1368</v>
      </c>
      <c r="E2405" s="155">
        <v>44797</v>
      </c>
      <c r="F2405" s="178">
        <v>1368</v>
      </c>
      <c r="G2405" s="179">
        <f>Tabla19[[#This Row],[Importe]]-Tabla19[[#This Row],[Pagado]]</f>
        <v>0</v>
      </c>
      <c r="H2405" s="153" t="s">
        <v>10</v>
      </c>
    </row>
    <row r="2406" spans="1:8" x14ac:dyDescent="0.25">
      <c r="A2406" s="73">
        <v>44797</v>
      </c>
      <c r="B2406" s="74" t="s">
        <v>27156</v>
      </c>
      <c r="C2406" s="75" t="s">
        <v>31</v>
      </c>
      <c r="D2406" s="176">
        <v>3864</v>
      </c>
      <c r="E2406" s="151">
        <v>44797</v>
      </c>
      <c r="F2406" s="176">
        <v>3864</v>
      </c>
      <c r="G2406" s="177">
        <f>Tabla19[[#This Row],[Importe]]-Tabla19[[#This Row],[Pagado]]</f>
        <v>0</v>
      </c>
      <c r="H2406" s="75" t="s">
        <v>10</v>
      </c>
    </row>
    <row r="2407" spans="1:8" x14ac:dyDescent="0.25">
      <c r="A2407" s="148">
        <v>44797</v>
      </c>
      <c r="B2407" s="149" t="s">
        <v>27157</v>
      </c>
      <c r="C2407" s="153" t="s">
        <v>382</v>
      </c>
      <c r="D2407" s="178">
        <v>7980</v>
      </c>
      <c r="E2407" s="155">
        <v>44797</v>
      </c>
      <c r="F2407" s="178">
        <v>7980</v>
      </c>
      <c r="G2407" s="179">
        <f>Tabla19[[#This Row],[Importe]]-Tabla19[[#This Row],[Pagado]]</f>
        <v>0</v>
      </c>
      <c r="H2407" s="153" t="s">
        <v>10</v>
      </c>
    </row>
    <row r="2408" spans="1:8" x14ac:dyDescent="0.25">
      <c r="A2408" s="73">
        <v>44797</v>
      </c>
      <c r="B2408" s="74" t="s">
        <v>27158</v>
      </c>
      <c r="C2408" s="75" t="s">
        <v>312</v>
      </c>
      <c r="D2408" s="176">
        <v>5710.5</v>
      </c>
      <c r="E2408" s="151">
        <v>44797</v>
      </c>
      <c r="F2408" s="176">
        <v>5710.5</v>
      </c>
      <c r="G2408" s="177">
        <f>Tabla19[[#This Row],[Importe]]-Tabla19[[#This Row],[Pagado]]</f>
        <v>0</v>
      </c>
      <c r="H2408" s="75" t="s">
        <v>10</v>
      </c>
    </row>
    <row r="2409" spans="1:8" x14ac:dyDescent="0.25">
      <c r="A2409" s="148">
        <v>44797</v>
      </c>
      <c r="B2409" s="149" t="s">
        <v>27159</v>
      </c>
      <c r="C2409" s="153" t="s">
        <v>357</v>
      </c>
      <c r="D2409" s="178">
        <v>1173</v>
      </c>
      <c r="E2409" s="155">
        <v>44797</v>
      </c>
      <c r="F2409" s="178">
        <v>1173</v>
      </c>
      <c r="G2409" s="179">
        <f>Tabla19[[#This Row],[Importe]]-Tabla19[[#This Row],[Pagado]]</f>
        <v>0</v>
      </c>
      <c r="H2409" s="153" t="s">
        <v>10</v>
      </c>
    </row>
    <row r="2410" spans="1:8" x14ac:dyDescent="0.25">
      <c r="A2410" s="73">
        <v>44797</v>
      </c>
      <c r="B2410" s="74" t="s">
        <v>27160</v>
      </c>
      <c r="C2410" s="75" t="s">
        <v>140</v>
      </c>
      <c r="D2410" s="176">
        <v>5092.5</v>
      </c>
      <c r="E2410" s="151">
        <v>44797</v>
      </c>
      <c r="F2410" s="176">
        <v>5092.5</v>
      </c>
      <c r="G2410" s="177">
        <f>Tabla19[[#This Row],[Importe]]-Tabla19[[#This Row],[Pagado]]</f>
        <v>0</v>
      </c>
      <c r="H2410" s="75" t="s">
        <v>10</v>
      </c>
    </row>
    <row r="2411" spans="1:8" x14ac:dyDescent="0.25">
      <c r="A2411" s="148">
        <v>44797</v>
      </c>
      <c r="B2411" s="149" t="s">
        <v>27161</v>
      </c>
      <c r="C2411" s="153" t="s">
        <v>31</v>
      </c>
      <c r="D2411" s="178">
        <v>3856</v>
      </c>
      <c r="E2411" s="155">
        <v>44797</v>
      </c>
      <c r="F2411" s="178">
        <v>3856</v>
      </c>
      <c r="G2411" s="179">
        <f>Tabla19[[#This Row],[Importe]]-Tabla19[[#This Row],[Pagado]]</f>
        <v>0</v>
      </c>
      <c r="H2411" s="153" t="s">
        <v>10</v>
      </c>
    </row>
    <row r="2412" spans="1:8" x14ac:dyDescent="0.25">
      <c r="A2412" s="73">
        <v>44797</v>
      </c>
      <c r="B2412" s="74" t="s">
        <v>27162</v>
      </c>
      <c r="C2412" s="75" t="s">
        <v>129</v>
      </c>
      <c r="D2412" s="176">
        <v>6879.3</v>
      </c>
      <c r="E2412" s="151">
        <v>44797</v>
      </c>
      <c r="F2412" s="176">
        <v>6879.3</v>
      </c>
      <c r="G2412" s="177">
        <f>Tabla19[[#This Row],[Importe]]-Tabla19[[#This Row],[Pagado]]</f>
        <v>0</v>
      </c>
      <c r="H2412" s="75" t="s">
        <v>10</v>
      </c>
    </row>
    <row r="2413" spans="1:8" x14ac:dyDescent="0.25">
      <c r="A2413" s="148">
        <v>44797</v>
      </c>
      <c r="B2413" s="149" t="s">
        <v>27163</v>
      </c>
      <c r="C2413" s="153" t="s">
        <v>127</v>
      </c>
      <c r="D2413" s="178">
        <v>5598.8</v>
      </c>
      <c r="E2413" s="155">
        <v>44797</v>
      </c>
      <c r="F2413" s="178">
        <v>5598.8</v>
      </c>
      <c r="G2413" s="179">
        <f>Tabla19[[#This Row],[Importe]]-Tabla19[[#This Row],[Pagado]]</f>
        <v>0</v>
      </c>
      <c r="H2413" s="153" t="s">
        <v>10</v>
      </c>
    </row>
    <row r="2414" spans="1:8" x14ac:dyDescent="0.25">
      <c r="A2414" s="73">
        <v>44797</v>
      </c>
      <c r="B2414" s="74" t="s">
        <v>27164</v>
      </c>
      <c r="C2414" s="75" t="s">
        <v>9666</v>
      </c>
      <c r="D2414" s="176">
        <v>0</v>
      </c>
      <c r="E2414" s="157" t="s">
        <v>189</v>
      </c>
      <c r="F2414" s="176">
        <v>0</v>
      </c>
      <c r="G2414" s="177">
        <f>Tabla19[[#This Row],[Importe]]-Tabla19[[#This Row],[Pagado]]</f>
        <v>0</v>
      </c>
      <c r="H2414" s="161" t="s">
        <v>27092</v>
      </c>
    </row>
    <row r="2415" spans="1:8" x14ac:dyDescent="0.25">
      <c r="A2415" s="148">
        <v>44797</v>
      </c>
      <c r="B2415" s="149" t="s">
        <v>27165</v>
      </c>
      <c r="C2415" s="153" t="s">
        <v>169</v>
      </c>
      <c r="D2415" s="178">
        <v>3890.9</v>
      </c>
      <c r="E2415" s="155">
        <v>44797</v>
      </c>
      <c r="F2415" s="178">
        <v>3890.9</v>
      </c>
      <c r="G2415" s="179">
        <f>Tabla19[[#This Row],[Importe]]-Tabla19[[#This Row],[Pagado]]</f>
        <v>0</v>
      </c>
      <c r="H2415" s="153" t="s">
        <v>10</v>
      </c>
    </row>
    <row r="2416" spans="1:8" x14ac:dyDescent="0.25">
      <c r="A2416" s="73">
        <v>44797</v>
      </c>
      <c r="B2416" s="74" t="s">
        <v>27166</v>
      </c>
      <c r="C2416" s="75" t="s">
        <v>407</v>
      </c>
      <c r="D2416" s="176">
        <v>10778.4</v>
      </c>
      <c r="E2416" s="151">
        <v>44812</v>
      </c>
      <c r="F2416" s="176">
        <v>10778.4</v>
      </c>
      <c r="G2416" s="177">
        <f>Tabla19[[#This Row],[Importe]]-Tabla19[[#This Row],[Pagado]]</f>
        <v>0</v>
      </c>
      <c r="H2416" s="75" t="s">
        <v>10</v>
      </c>
    </row>
    <row r="2417" spans="1:8" x14ac:dyDescent="0.25">
      <c r="A2417" s="148">
        <v>44797</v>
      </c>
      <c r="B2417" s="149" t="s">
        <v>27167</v>
      </c>
      <c r="C2417" s="153" t="s">
        <v>58</v>
      </c>
      <c r="D2417" s="178">
        <v>4485.6000000000004</v>
      </c>
      <c r="E2417" s="155">
        <v>44797</v>
      </c>
      <c r="F2417" s="178">
        <v>4485.6000000000004</v>
      </c>
      <c r="G2417" s="179">
        <f>Tabla19[[#This Row],[Importe]]-Tabla19[[#This Row],[Pagado]]</f>
        <v>0</v>
      </c>
      <c r="H2417" s="153" t="s">
        <v>10</v>
      </c>
    </row>
    <row r="2418" spans="1:8" x14ac:dyDescent="0.25">
      <c r="A2418" s="73">
        <v>44797</v>
      </c>
      <c r="B2418" s="74" t="s">
        <v>27168</v>
      </c>
      <c r="C2418" s="75" t="s">
        <v>142</v>
      </c>
      <c r="D2418" s="176">
        <v>35648.26</v>
      </c>
      <c r="E2418" s="151">
        <v>44842</v>
      </c>
      <c r="F2418" s="176">
        <v>35648.26</v>
      </c>
      <c r="G2418" s="177">
        <f>Tabla19[[#This Row],[Importe]]-Tabla19[[#This Row],[Pagado]]</f>
        <v>0</v>
      </c>
      <c r="H2418" s="75" t="s">
        <v>10</v>
      </c>
    </row>
    <row r="2419" spans="1:8" x14ac:dyDescent="0.25">
      <c r="A2419" s="148">
        <v>44797</v>
      </c>
      <c r="B2419" s="149" t="s">
        <v>27169</v>
      </c>
      <c r="C2419" s="153" t="s">
        <v>587</v>
      </c>
      <c r="D2419" s="178">
        <v>5480.86</v>
      </c>
      <c r="E2419" s="155">
        <v>44797</v>
      </c>
      <c r="F2419" s="178">
        <v>5480.86</v>
      </c>
      <c r="G2419" s="179">
        <f>Tabla19[[#This Row],[Importe]]-Tabla19[[#This Row],[Pagado]]</f>
        <v>0</v>
      </c>
      <c r="H2419" s="153" t="s">
        <v>10</v>
      </c>
    </row>
    <row r="2420" spans="1:8" x14ac:dyDescent="0.25">
      <c r="A2420" s="73">
        <v>44797</v>
      </c>
      <c r="B2420" s="74" t="s">
        <v>27170</v>
      </c>
      <c r="C2420" s="75" t="s">
        <v>27171</v>
      </c>
      <c r="D2420" s="176">
        <v>33000</v>
      </c>
      <c r="E2420" s="151">
        <v>44797</v>
      </c>
      <c r="F2420" s="176">
        <v>33000</v>
      </c>
      <c r="G2420" s="177">
        <f>Tabla19[[#This Row],[Importe]]-Tabla19[[#This Row],[Pagado]]</f>
        <v>0</v>
      </c>
      <c r="H2420" s="75" t="s">
        <v>10</v>
      </c>
    </row>
    <row r="2421" spans="1:8" x14ac:dyDescent="0.25">
      <c r="A2421" s="148">
        <v>44797</v>
      </c>
      <c r="B2421" s="149" t="s">
        <v>27172</v>
      </c>
      <c r="C2421" s="153" t="s">
        <v>9827</v>
      </c>
      <c r="D2421" s="178">
        <v>3534</v>
      </c>
      <c r="E2421" s="155">
        <v>44797</v>
      </c>
      <c r="F2421" s="178">
        <v>3534</v>
      </c>
      <c r="G2421" s="179">
        <f>Tabla19[[#This Row],[Importe]]-Tabla19[[#This Row],[Pagado]]</f>
        <v>0</v>
      </c>
      <c r="H2421" s="153" t="s">
        <v>10</v>
      </c>
    </row>
    <row r="2422" spans="1:8" x14ac:dyDescent="0.25">
      <c r="A2422" s="73">
        <v>44797</v>
      </c>
      <c r="B2422" s="74" t="s">
        <v>27173</v>
      </c>
      <c r="C2422" s="75" t="s">
        <v>31</v>
      </c>
      <c r="D2422" s="176">
        <v>316</v>
      </c>
      <c r="E2422" s="151">
        <v>44797</v>
      </c>
      <c r="F2422" s="176">
        <v>316</v>
      </c>
      <c r="G2422" s="177">
        <f>Tabla19[[#This Row],[Importe]]-Tabla19[[#This Row],[Pagado]]</f>
        <v>0</v>
      </c>
      <c r="H2422" s="75" t="s">
        <v>10</v>
      </c>
    </row>
    <row r="2423" spans="1:8" x14ac:dyDescent="0.25">
      <c r="A2423" s="148">
        <v>44797</v>
      </c>
      <c r="B2423" s="149" t="s">
        <v>27174</v>
      </c>
      <c r="C2423" s="153" t="s">
        <v>146</v>
      </c>
      <c r="D2423" s="178">
        <v>5362.5</v>
      </c>
      <c r="E2423" s="155">
        <v>44797</v>
      </c>
      <c r="F2423" s="178">
        <v>5362.5</v>
      </c>
      <c r="G2423" s="179">
        <f>Tabla19[[#This Row],[Importe]]-Tabla19[[#This Row],[Pagado]]</f>
        <v>0</v>
      </c>
      <c r="H2423" s="153" t="s">
        <v>10</v>
      </c>
    </row>
    <row r="2424" spans="1:8" x14ac:dyDescent="0.25">
      <c r="A2424" s="73">
        <v>44797</v>
      </c>
      <c r="B2424" s="74" t="s">
        <v>27175</v>
      </c>
      <c r="C2424" s="75" t="s">
        <v>24284</v>
      </c>
      <c r="D2424" s="176">
        <v>638.4</v>
      </c>
      <c r="E2424" s="151">
        <v>44797</v>
      </c>
      <c r="F2424" s="176">
        <v>638.4</v>
      </c>
      <c r="G2424" s="177">
        <f>Tabla19[[#This Row],[Importe]]-Tabla19[[#This Row],[Pagado]]</f>
        <v>0</v>
      </c>
      <c r="H2424" s="75" t="s">
        <v>10</v>
      </c>
    </row>
    <row r="2425" spans="1:8" x14ac:dyDescent="0.25">
      <c r="A2425" s="148">
        <v>44797</v>
      </c>
      <c r="B2425" s="149" t="s">
        <v>27176</v>
      </c>
      <c r="C2425" s="153" t="s">
        <v>409</v>
      </c>
      <c r="D2425" s="178">
        <v>9021</v>
      </c>
      <c r="E2425" s="155">
        <v>44800</v>
      </c>
      <c r="F2425" s="178">
        <v>9021</v>
      </c>
      <c r="G2425" s="179">
        <f>Tabla19[[#This Row],[Importe]]-Tabla19[[#This Row],[Pagado]]</f>
        <v>0</v>
      </c>
      <c r="H2425" s="153" t="s">
        <v>10</v>
      </c>
    </row>
    <row r="2426" spans="1:8" x14ac:dyDescent="0.25">
      <c r="A2426" s="73">
        <v>44797</v>
      </c>
      <c r="B2426" s="74" t="s">
        <v>27177</v>
      </c>
      <c r="C2426" s="75" t="s">
        <v>419</v>
      </c>
      <c r="D2426" s="176">
        <v>7265.4</v>
      </c>
      <c r="E2426" s="151">
        <v>44797</v>
      </c>
      <c r="F2426" s="176">
        <v>7265.4</v>
      </c>
      <c r="G2426" s="177">
        <f>Tabla19[[#This Row],[Importe]]-Tabla19[[#This Row],[Pagado]]</f>
        <v>0</v>
      </c>
      <c r="H2426" s="75" t="s">
        <v>10</v>
      </c>
    </row>
    <row r="2427" spans="1:8" x14ac:dyDescent="0.25">
      <c r="A2427" s="148">
        <v>44797</v>
      </c>
      <c r="B2427" s="149" t="s">
        <v>27178</v>
      </c>
      <c r="C2427" s="153" t="s">
        <v>475</v>
      </c>
      <c r="D2427" s="178">
        <v>9507.6</v>
      </c>
      <c r="E2427" s="155">
        <v>44798</v>
      </c>
      <c r="F2427" s="178">
        <v>9507.6</v>
      </c>
      <c r="G2427" s="179">
        <f>Tabla19[[#This Row],[Importe]]-Tabla19[[#This Row],[Pagado]]</f>
        <v>0</v>
      </c>
      <c r="H2427" s="153" t="s">
        <v>10</v>
      </c>
    </row>
    <row r="2428" spans="1:8" x14ac:dyDescent="0.25">
      <c r="A2428" s="73">
        <v>44797</v>
      </c>
      <c r="B2428" s="74" t="s">
        <v>27179</v>
      </c>
      <c r="C2428" s="75" t="s">
        <v>214</v>
      </c>
      <c r="D2428" s="176">
        <v>251</v>
      </c>
      <c r="E2428" s="151">
        <v>44797</v>
      </c>
      <c r="F2428" s="176">
        <v>251</v>
      </c>
      <c r="G2428" s="177">
        <f>Tabla19[[#This Row],[Importe]]-Tabla19[[#This Row],[Pagado]]</f>
        <v>0</v>
      </c>
      <c r="H2428" s="75" t="s">
        <v>10</v>
      </c>
    </row>
    <row r="2429" spans="1:8" x14ac:dyDescent="0.25">
      <c r="A2429" s="148">
        <v>44797</v>
      </c>
      <c r="B2429" s="149" t="s">
        <v>27180</v>
      </c>
      <c r="C2429" s="153" t="s">
        <v>214</v>
      </c>
      <c r="D2429" s="178">
        <v>1368</v>
      </c>
      <c r="E2429" s="155">
        <v>44797</v>
      </c>
      <c r="F2429" s="178">
        <v>1368</v>
      </c>
      <c r="G2429" s="179">
        <f>Tabla19[[#This Row],[Importe]]-Tabla19[[#This Row],[Pagado]]</f>
        <v>0</v>
      </c>
      <c r="H2429" s="153" t="s">
        <v>10</v>
      </c>
    </row>
    <row r="2430" spans="1:8" x14ac:dyDescent="0.25">
      <c r="A2430" s="73">
        <v>44797</v>
      </c>
      <c r="B2430" s="74" t="s">
        <v>27181</v>
      </c>
      <c r="C2430" s="75" t="s">
        <v>107</v>
      </c>
      <c r="D2430" s="176">
        <v>11186.1</v>
      </c>
      <c r="E2430" s="151">
        <v>44797</v>
      </c>
      <c r="F2430" s="176">
        <v>11186.1</v>
      </c>
      <c r="G2430" s="177">
        <f>Tabla19[[#This Row],[Importe]]-Tabla19[[#This Row],[Pagado]]</f>
        <v>0</v>
      </c>
      <c r="H2430" s="75" t="s">
        <v>10</v>
      </c>
    </row>
    <row r="2431" spans="1:8" x14ac:dyDescent="0.25">
      <c r="A2431" s="148">
        <v>44797</v>
      </c>
      <c r="B2431" s="149" t="s">
        <v>27182</v>
      </c>
      <c r="C2431" s="153" t="s">
        <v>9577</v>
      </c>
      <c r="D2431" s="178">
        <v>27114.400000000001</v>
      </c>
      <c r="E2431" s="155">
        <v>44797</v>
      </c>
      <c r="F2431" s="178">
        <v>27114.400000000001</v>
      </c>
      <c r="G2431" s="179">
        <f>Tabla19[[#This Row],[Importe]]-Tabla19[[#This Row],[Pagado]]</f>
        <v>0</v>
      </c>
      <c r="H2431" s="153" t="s">
        <v>10</v>
      </c>
    </row>
    <row r="2432" spans="1:8" x14ac:dyDescent="0.25">
      <c r="A2432" s="73">
        <v>44797</v>
      </c>
      <c r="B2432" s="74" t="s">
        <v>27183</v>
      </c>
      <c r="C2432" s="75" t="s">
        <v>31</v>
      </c>
      <c r="D2432" s="176">
        <v>10993.6</v>
      </c>
      <c r="E2432" s="151">
        <v>44797</v>
      </c>
      <c r="F2432" s="176">
        <v>10993.6</v>
      </c>
      <c r="G2432" s="177">
        <f>Tabla19[[#This Row],[Importe]]-Tabla19[[#This Row],[Pagado]]</f>
        <v>0</v>
      </c>
      <c r="H2432" s="75" t="s">
        <v>10</v>
      </c>
    </row>
    <row r="2433" spans="1:8" ht="31.5" x14ac:dyDescent="0.25">
      <c r="A2433" s="148">
        <v>44797</v>
      </c>
      <c r="B2433" s="149" t="s">
        <v>27184</v>
      </c>
      <c r="C2433" s="153" t="s">
        <v>275</v>
      </c>
      <c r="D2433" s="178">
        <v>127209.54</v>
      </c>
      <c r="E2433" s="150" t="s">
        <v>28008</v>
      </c>
      <c r="F2433" s="178">
        <f>67499.81+59709.73</f>
        <v>127209.54000000001</v>
      </c>
      <c r="G2433" s="179">
        <f>Tabla19[[#This Row],[Importe]]-Tabla19[[#This Row],[Pagado]]</f>
        <v>0</v>
      </c>
      <c r="H2433" s="153" t="s">
        <v>10</v>
      </c>
    </row>
    <row r="2434" spans="1:8" x14ac:dyDescent="0.25">
      <c r="A2434" s="73">
        <v>44797</v>
      </c>
      <c r="B2434" s="74" t="s">
        <v>27185</v>
      </c>
      <c r="C2434" s="75" t="s">
        <v>414</v>
      </c>
      <c r="D2434" s="176">
        <v>23332</v>
      </c>
      <c r="E2434" s="151">
        <v>44809</v>
      </c>
      <c r="F2434" s="176">
        <v>23332</v>
      </c>
      <c r="G2434" s="177">
        <f>Tabla19[[#This Row],[Importe]]-Tabla19[[#This Row],[Pagado]]</f>
        <v>0</v>
      </c>
      <c r="H2434" s="75" t="s">
        <v>10</v>
      </c>
    </row>
    <row r="2435" spans="1:8" x14ac:dyDescent="0.25">
      <c r="A2435" s="148">
        <v>44797</v>
      </c>
      <c r="B2435" s="149" t="s">
        <v>27186</v>
      </c>
      <c r="C2435" s="153" t="s">
        <v>698</v>
      </c>
      <c r="D2435" s="178">
        <v>9051</v>
      </c>
      <c r="E2435" s="155">
        <v>44797</v>
      </c>
      <c r="F2435" s="178">
        <v>9051</v>
      </c>
      <c r="G2435" s="179">
        <f>Tabla19[[#This Row],[Importe]]-Tabla19[[#This Row],[Pagado]]</f>
        <v>0</v>
      </c>
      <c r="H2435" s="153" t="s">
        <v>10</v>
      </c>
    </row>
    <row r="2436" spans="1:8" x14ac:dyDescent="0.25">
      <c r="A2436" s="73">
        <v>44797</v>
      </c>
      <c r="B2436" s="74" t="s">
        <v>27187</v>
      </c>
      <c r="C2436" s="75" t="s">
        <v>14</v>
      </c>
      <c r="D2436" s="176">
        <v>24476.5</v>
      </c>
      <c r="E2436" s="151">
        <v>44797</v>
      </c>
      <c r="F2436" s="176">
        <v>24476.5</v>
      </c>
      <c r="G2436" s="177">
        <f>Tabla19[[#This Row],[Importe]]-Tabla19[[#This Row],[Pagado]]</f>
        <v>0</v>
      </c>
      <c r="H2436" s="75" t="s">
        <v>10</v>
      </c>
    </row>
    <row r="2437" spans="1:8" x14ac:dyDescent="0.25">
      <c r="A2437" s="148">
        <v>44797</v>
      </c>
      <c r="B2437" s="149" t="s">
        <v>27188</v>
      </c>
      <c r="C2437" s="153" t="s">
        <v>275</v>
      </c>
      <c r="D2437" s="178">
        <v>8115</v>
      </c>
      <c r="E2437" s="155">
        <v>44823</v>
      </c>
      <c r="F2437" s="178">
        <v>8115</v>
      </c>
      <c r="G2437" s="179">
        <f>Tabla19[[#This Row],[Importe]]-Tabla19[[#This Row],[Pagado]]</f>
        <v>0</v>
      </c>
      <c r="H2437" s="153" t="s">
        <v>10</v>
      </c>
    </row>
    <row r="2438" spans="1:8" x14ac:dyDescent="0.25">
      <c r="A2438" s="73">
        <v>44797</v>
      </c>
      <c r="B2438" s="74" t="s">
        <v>27189</v>
      </c>
      <c r="C2438" s="75" t="s">
        <v>31</v>
      </c>
      <c r="D2438" s="176">
        <v>630.79999999999995</v>
      </c>
      <c r="E2438" s="151">
        <v>44797</v>
      </c>
      <c r="F2438" s="176">
        <v>630.79999999999995</v>
      </c>
      <c r="G2438" s="177">
        <f>Tabla19[[#This Row],[Importe]]-Tabla19[[#This Row],[Pagado]]</f>
        <v>0</v>
      </c>
      <c r="H2438" s="75" t="s">
        <v>10</v>
      </c>
    </row>
    <row r="2439" spans="1:8" x14ac:dyDescent="0.25">
      <c r="A2439" s="148">
        <v>44797</v>
      </c>
      <c r="B2439" s="149" t="s">
        <v>27190</v>
      </c>
      <c r="C2439" s="153" t="s">
        <v>284</v>
      </c>
      <c r="D2439" s="178">
        <v>7478.4</v>
      </c>
      <c r="E2439" s="155">
        <v>44798</v>
      </c>
      <c r="F2439" s="178">
        <v>7478.4</v>
      </c>
      <c r="G2439" s="179">
        <f>Tabla19[[#This Row],[Importe]]-Tabla19[[#This Row],[Pagado]]</f>
        <v>0</v>
      </c>
      <c r="H2439" s="153" t="s">
        <v>10</v>
      </c>
    </row>
    <row r="2440" spans="1:8" x14ac:dyDescent="0.25">
      <c r="A2440" s="73">
        <v>44797</v>
      </c>
      <c r="B2440" s="74" t="s">
        <v>27191</v>
      </c>
      <c r="C2440" s="75" t="s">
        <v>473</v>
      </c>
      <c r="D2440" s="176">
        <v>5888</v>
      </c>
      <c r="E2440" s="151">
        <v>44798</v>
      </c>
      <c r="F2440" s="176">
        <v>5888</v>
      </c>
      <c r="G2440" s="177">
        <f>Tabla19[[#This Row],[Importe]]-Tabla19[[#This Row],[Pagado]]</f>
        <v>0</v>
      </c>
      <c r="H2440" s="75" t="s">
        <v>10</v>
      </c>
    </row>
    <row r="2441" spans="1:8" x14ac:dyDescent="0.25">
      <c r="A2441" s="148">
        <v>44797</v>
      </c>
      <c r="B2441" s="149" t="s">
        <v>27192</v>
      </c>
      <c r="C2441" s="153" t="s">
        <v>426</v>
      </c>
      <c r="D2441" s="178">
        <v>4536.2</v>
      </c>
      <c r="E2441" s="155">
        <v>44798</v>
      </c>
      <c r="F2441" s="178">
        <v>4536.2</v>
      </c>
      <c r="G2441" s="179">
        <f>Tabla19[[#This Row],[Importe]]-Tabla19[[#This Row],[Pagado]]</f>
        <v>0</v>
      </c>
      <c r="H2441" s="153" t="s">
        <v>10</v>
      </c>
    </row>
    <row r="2442" spans="1:8" x14ac:dyDescent="0.25">
      <c r="A2442" s="73">
        <v>44797</v>
      </c>
      <c r="B2442" s="74" t="s">
        <v>27193</v>
      </c>
      <c r="C2442" s="75" t="s">
        <v>75</v>
      </c>
      <c r="D2442" s="176">
        <v>3579.6</v>
      </c>
      <c r="E2442" s="151">
        <v>44798</v>
      </c>
      <c r="F2442" s="176">
        <v>3579.6</v>
      </c>
      <c r="G2442" s="177">
        <f>Tabla19[[#This Row],[Importe]]-Tabla19[[#This Row],[Pagado]]</f>
        <v>0</v>
      </c>
      <c r="H2442" s="75" t="s">
        <v>10</v>
      </c>
    </row>
    <row r="2443" spans="1:8" x14ac:dyDescent="0.25">
      <c r="A2443" s="148">
        <v>44797</v>
      </c>
      <c r="B2443" s="149" t="s">
        <v>27194</v>
      </c>
      <c r="C2443" s="153" t="s">
        <v>282</v>
      </c>
      <c r="D2443" s="178">
        <v>1626.4</v>
      </c>
      <c r="E2443" s="155">
        <v>44798</v>
      </c>
      <c r="F2443" s="178">
        <v>1626.4</v>
      </c>
      <c r="G2443" s="179">
        <f>Tabla19[[#This Row],[Importe]]-Tabla19[[#This Row],[Pagado]]</f>
        <v>0</v>
      </c>
      <c r="H2443" s="153" t="s">
        <v>10</v>
      </c>
    </row>
    <row r="2444" spans="1:8" x14ac:dyDescent="0.25">
      <c r="A2444" s="73">
        <v>44797</v>
      </c>
      <c r="B2444" s="74" t="s">
        <v>27195</v>
      </c>
      <c r="C2444" s="75" t="s">
        <v>5345</v>
      </c>
      <c r="D2444" s="176">
        <v>1428.8</v>
      </c>
      <c r="E2444" s="151">
        <v>44798</v>
      </c>
      <c r="F2444" s="176">
        <v>1428.8</v>
      </c>
      <c r="G2444" s="177">
        <f>Tabla19[[#This Row],[Importe]]-Tabla19[[#This Row],[Pagado]]</f>
        <v>0</v>
      </c>
      <c r="H2444" s="75" t="s">
        <v>10</v>
      </c>
    </row>
    <row r="2445" spans="1:8" x14ac:dyDescent="0.25">
      <c r="A2445" s="148">
        <v>44797</v>
      </c>
      <c r="B2445" s="149" t="s">
        <v>27196</v>
      </c>
      <c r="C2445" s="153" t="s">
        <v>280</v>
      </c>
      <c r="D2445" s="178">
        <v>1368</v>
      </c>
      <c r="E2445" s="155">
        <v>44798</v>
      </c>
      <c r="F2445" s="178">
        <v>1368</v>
      </c>
      <c r="G2445" s="179">
        <f>Tabla19[[#This Row],[Importe]]-Tabla19[[#This Row],[Pagado]]</f>
        <v>0</v>
      </c>
      <c r="H2445" s="153" t="s">
        <v>10</v>
      </c>
    </row>
    <row r="2446" spans="1:8" x14ac:dyDescent="0.25">
      <c r="A2446" s="73">
        <v>44797</v>
      </c>
      <c r="B2446" s="74" t="s">
        <v>27197</v>
      </c>
      <c r="C2446" s="75" t="s">
        <v>473</v>
      </c>
      <c r="D2446" s="176">
        <v>2724.6</v>
      </c>
      <c r="E2446" s="151">
        <v>44798</v>
      </c>
      <c r="F2446" s="176">
        <v>2724.6</v>
      </c>
      <c r="G2446" s="177">
        <f>Tabla19[[#This Row],[Importe]]-Tabla19[[#This Row],[Pagado]]</f>
        <v>0</v>
      </c>
      <c r="H2446" s="75" t="s">
        <v>10</v>
      </c>
    </row>
    <row r="2447" spans="1:8" x14ac:dyDescent="0.25">
      <c r="A2447" s="148">
        <v>44797</v>
      </c>
      <c r="B2447" s="149" t="s">
        <v>27198</v>
      </c>
      <c r="C2447" s="153" t="s">
        <v>10819</v>
      </c>
      <c r="D2447" s="178">
        <v>699.2</v>
      </c>
      <c r="E2447" s="155">
        <v>44798</v>
      </c>
      <c r="F2447" s="178">
        <v>699.2</v>
      </c>
      <c r="G2447" s="179">
        <f>Tabla19[[#This Row],[Importe]]-Tabla19[[#This Row],[Pagado]]</f>
        <v>0</v>
      </c>
      <c r="H2447" s="153" t="s">
        <v>10</v>
      </c>
    </row>
    <row r="2448" spans="1:8" x14ac:dyDescent="0.25">
      <c r="A2448" s="73">
        <v>44797</v>
      </c>
      <c r="B2448" s="74" t="s">
        <v>27199</v>
      </c>
      <c r="C2448" s="75" t="s">
        <v>181</v>
      </c>
      <c r="D2448" s="176">
        <v>14463.8</v>
      </c>
      <c r="E2448" s="151">
        <v>44798</v>
      </c>
      <c r="F2448" s="176">
        <v>14463.8</v>
      </c>
      <c r="G2448" s="177">
        <f>Tabla19[[#This Row],[Importe]]-Tabla19[[#This Row],[Pagado]]</f>
        <v>0</v>
      </c>
      <c r="H2448" s="75" t="s">
        <v>10</v>
      </c>
    </row>
    <row r="2449" spans="1:8" x14ac:dyDescent="0.25">
      <c r="A2449" s="148">
        <v>44797</v>
      </c>
      <c r="B2449" s="149" t="s">
        <v>27200</v>
      </c>
      <c r="C2449" s="153" t="s">
        <v>200</v>
      </c>
      <c r="D2449" s="178">
        <v>1200.8</v>
      </c>
      <c r="E2449" s="155">
        <v>44798</v>
      </c>
      <c r="F2449" s="178">
        <v>1200.8</v>
      </c>
      <c r="G2449" s="179">
        <f>Tabla19[[#This Row],[Importe]]-Tabla19[[#This Row],[Pagado]]</f>
        <v>0</v>
      </c>
      <c r="H2449" s="153" t="s">
        <v>10</v>
      </c>
    </row>
    <row r="2450" spans="1:8" x14ac:dyDescent="0.25">
      <c r="A2450" s="73">
        <v>44797</v>
      </c>
      <c r="B2450" s="74" t="s">
        <v>27201</v>
      </c>
      <c r="C2450" s="75" t="s">
        <v>5694</v>
      </c>
      <c r="D2450" s="176">
        <v>14143.6</v>
      </c>
      <c r="E2450" s="151">
        <v>44797</v>
      </c>
      <c r="F2450" s="176">
        <v>14143.6</v>
      </c>
      <c r="G2450" s="177">
        <f>Tabla19[[#This Row],[Importe]]-Tabla19[[#This Row],[Pagado]]</f>
        <v>0</v>
      </c>
      <c r="H2450" s="75" t="s">
        <v>10</v>
      </c>
    </row>
    <row r="2451" spans="1:8" x14ac:dyDescent="0.25">
      <c r="A2451" s="148">
        <v>44797</v>
      </c>
      <c r="B2451" s="149" t="s">
        <v>27202</v>
      </c>
      <c r="C2451" s="153" t="s">
        <v>149</v>
      </c>
      <c r="D2451" s="178">
        <v>3059</v>
      </c>
      <c r="E2451" s="155">
        <v>44797</v>
      </c>
      <c r="F2451" s="178">
        <v>3059</v>
      </c>
      <c r="G2451" s="179">
        <f>Tabla19[[#This Row],[Importe]]-Tabla19[[#This Row],[Pagado]]</f>
        <v>0</v>
      </c>
      <c r="H2451" s="153" t="s">
        <v>10</v>
      </c>
    </row>
    <row r="2452" spans="1:8" x14ac:dyDescent="0.25">
      <c r="A2452" s="73">
        <v>44797</v>
      </c>
      <c r="B2452" s="74" t="s">
        <v>27203</v>
      </c>
      <c r="C2452" s="75" t="s">
        <v>175</v>
      </c>
      <c r="D2452" s="176">
        <v>10798.3</v>
      </c>
      <c r="E2452" s="151">
        <v>44798</v>
      </c>
      <c r="F2452" s="176">
        <v>10798.3</v>
      </c>
      <c r="G2452" s="177">
        <f>Tabla19[[#This Row],[Importe]]-Tabla19[[#This Row],[Pagado]]</f>
        <v>0</v>
      </c>
      <c r="H2452" s="75" t="s">
        <v>10</v>
      </c>
    </row>
    <row r="2453" spans="1:8" ht="31.5" x14ac:dyDescent="0.25">
      <c r="A2453" s="148">
        <v>44797</v>
      </c>
      <c r="B2453" s="149" t="s">
        <v>27204</v>
      </c>
      <c r="C2453" s="153" t="s">
        <v>142</v>
      </c>
      <c r="D2453" s="178">
        <v>104295.06</v>
      </c>
      <c r="E2453" s="150" t="s">
        <v>31546</v>
      </c>
      <c r="F2453" s="178">
        <f>6215.75+98079.31</f>
        <v>104295.06</v>
      </c>
      <c r="G2453" s="179">
        <f>Tabla19[[#This Row],[Importe]]-Tabla19[[#This Row],[Pagado]]</f>
        <v>0</v>
      </c>
      <c r="H2453" s="153" t="s">
        <v>10</v>
      </c>
    </row>
    <row r="2454" spans="1:8" x14ac:dyDescent="0.25">
      <c r="A2454" s="73">
        <v>44797</v>
      </c>
      <c r="B2454" s="74" t="s">
        <v>27205</v>
      </c>
      <c r="C2454" s="75" t="s">
        <v>167</v>
      </c>
      <c r="D2454" s="176">
        <v>116388.6</v>
      </c>
      <c r="E2454" s="151">
        <v>44797</v>
      </c>
      <c r="F2454" s="176">
        <v>116388.6</v>
      </c>
      <c r="G2454" s="177">
        <f>Tabla19[[#This Row],[Importe]]-Tabla19[[#This Row],[Pagado]]</f>
        <v>0</v>
      </c>
      <c r="H2454" s="75" t="s">
        <v>10</v>
      </c>
    </row>
    <row r="2455" spans="1:8" x14ac:dyDescent="0.25">
      <c r="A2455" s="148">
        <v>44797</v>
      </c>
      <c r="B2455" s="149" t="s">
        <v>27206</v>
      </c>
      <c r="C2455" s="153" t="s">
        <v>1008</v>
      </c>
      <c r="D2455" s="178">
        <v>2572.7199999999998</v>
      </c>
      <c r="E2455" s="155">
        <v>44797</v>
      </c>
      <c r="F2455" s="178">
        <v>2572.7199999999998</v>
      </c>
      <c r="G2455" s="179">
        <f>Tabla19[[#This Row],[Importe]]-Tabla19[[#This Row],[Pagado]]</f>
        <v>0</v>
      </c>
      <c r="H2455" s="153" t="s">
        <v>10</v>
      </c>
    </row>
    <row r="2456" spans="1:8" x14ac:dyDescent="0.25">
      <c r="A2456" s="73">
        <v>44797</v>
      </c>
      <c r="B2456" s="74" t="s">
        <v>27207</v>
      </c>
      <c r="C2456" s="75" t="s">
        <v>51</v>
      </c>
      <c r="D2456" s="176">
        <v>731.5</v>
      </c>
      <c r="E2456" s="151">
        <v>44797</v>
      </c>
      <c r="F2456" s="176">
        <v>731.5</v>
      </c>
      <c r="G2456" s="177">
        <f>Tabla19[[#This Row],[Importe]]-Tabla19[[#This Row],[Pagado]]</f>
        <v>0</v>
      </c>
      <c r="H2456" s="75" t="s">
        <v>10</v>
      </c>
    </row>
    <row r="2457" spans="1:8" x14ac:dyDescent="0.25">
      <c r="A2457" s="148">
        <v>44797</v>
      </c>
      <c r="B2457" s="149" t="s">
        <v>27208</v>
      </c>
      <c r="C2457" s="153" t="s">
        <v>24</v>
      </c>
      <c r="D2457" s="178">
        <v>1500</v>
      </c>
      <c r="E2457" s="155">
        <v>44797</v>
      </c>
      <c r="F2457" s="178">
        <v>1500</v>
      </c>
      <c r="G2457" s="179">
        <f>Tabla19[[#This Row],[Importe]]-Tabla19[[#This Row],[Pagado]]</f>
        <v>0</v>
      </c>
      <c r="H2457" s="153" t="s">
        <v>10</v>
      </c>
    </row>
    <row r="2458" spans="1:8" x14ac:dyDescent="0.25">
      <c r="A2458" s="73">
        <v>44797</v>
      </c>
      <c r="B2458" s="74" t="s">
        <v>27209</v>
      </c>
      <c r="C2458" s="75" t="s">
        <v>53</v>
      </c>
      <c r="D2458" s="176">
        <v>731.5</v>
      </c>
      <c r="E2458" s="151">
        <v>44797</v>
      </c>
      <c r="F2458" s="176">
        <v>731.5</v>
      </c>
      <c r="G2458" s="177">
        <f>Tabla19[[#This Row],[Importe]]-Tabla19[[#This Row],[Pagado]]</f>
        <v>0</v>
      </c>
      <c r="H2458" s="75" t="s">
        <v>10</v>
      </c>
    </row>
    <row r="2459" spans="1:8" x14ac:dyDescent="0.25">
      <c r="A2459" s="148">
        <v>44797</v>
      </c>
      <c r="B2459" s="149" t="s">
        <v>27210</v>
      </c>
      <c r="C2459" s="153" t="s">
        <v>69</v>
      </c>
      <c r="D2459" s="178">
        <v>1560</v>
      </c>
      <c r="E2459" s="155">
        <v>44797</v>
      </c>
      <c r="F2459" s="178">
        <v>1560</v>
      </c>
      <c r="G2459" s="179">
        <f>Tabla19[[#This Row],[Importe]]-Tabla19[[#This Row],[Pagado]]</f>
        <v>0</v>
      </c>
      <c r="H2459" s="153" t="s">
        <v>10</v>
      </c>
    </row>
    <row r="2460" spans="1:8" x14ac:dyDescent="0.25">
      <c r="A2460" s="73">
        <v>44797</v>
      </c>
      <c r="B2460" s="74" t="s">
        <v>27211</v>
      </c>
      <c r="C2460" s="75" t="s">
        <v>56</v>
      </c>
      <c r="D2460" s="176">
        <v>1411.8</v>
      </c>
      <c r="E2460" s="151">
        <v>44797</v>
      </c>
      <c r="F2460" s="176">
        <v>1411.8</v>
      </c>
      <c r="G2460" s="177">
        <f>Tabla19[[#This Row],[Importe]]-Tabla19[[#This Row],[Pagado]]</f>
        <v>0</v>
      </c>
      <c r="H2460" s="75" t="s">
        <v>10</v>
      </c>
    </row>
    <row r="2461" spans="1:8" x14ac:dyDescent="0.25">
      <c r="A2461" s="148">
        <v>44797</v>
      </c>
      <c r="B2461" s="149" t="s">
        <v>27212</v>
      </c>
      <c r="C2461" s="153" t="s">
        <v>612</v>
      </c>
      <c r="D2461" s="178">
        <v>551</v>
      </c>
      <c r="E2461" s="155">
        <v>44797</v>
      </c>
      <c r="F2461" s="178">
        <v>551</v>
      </c>
      <c r="G2461" s="179">
        <f>Tabla19[[#This Row],[Importe]]-Tabla19[[#This Row],[Pagado]]</f>
        <v>0</v>
      </c>
      <c r="H2461" s="153" t="s">
        <v>10</v>
      </c>
    </row>
    <row r="2462" spans="1:8" x14ac:dyDescent="0.25">
      <c r="A2462" s="73">
        <v>44797</v>
      </c>
      <c r="B2462" s="74" t="s">
        <v>27213</v>
      </c>
      <c r="C2462" s="75" t="s">
        <v>27214</v>
      </c>
      <c r="D2462" s="176">
        <v>0</v>
      </c>
      <c r="E2462" s="157" t="s">
        <v>189</v>
      </c>
      <c r="F2462" s="176">
        <v>0</v>
      </c>
      <c r="G2462" s="177">
        <f>Tabla19[[#This Row],[Importe]]-Tabla19[[#This Row],[Pagado]]</f>
        <v>0</v>
      </c>
      <c r="H2462" s="161" t="s">
        <v>27092</v>
      </c>
    </row>
    <row r="2463" spans="1:8" x14ac:dyDescent="0.25">
      <c r="A2463" s="148">
        <v>44797</v>
      </c>
      <c r="B2463" s="149" t="s">
        <v>27215</v>
      </c>
      <c r="C2463" s="153" t="s">
        <v>296</v>
      </c>
      <c r="D2463" s="178">
        <v>1763.3</v>
      </c>
      <c r="E2463" s="155">
        <v>44797</v>
      </c>
      <c r="F2463" s="178">
        <v>1763.3</v>
      </c>
      <c r="G2463" s="179">
        <f>Tabla19[[#This Row],[Importe]]-Tabla19[[#This Row],[Pagado]]</f>
        <v>0</v>
      </c>
      <c r="H2463" s="153" t="s">
        <v>10</v>
      </c>
    </row>
    <row r="2464" spans="1:8" x14ac:dyDescent="0.25">
      <c r="A2464" s="73">
        <v>44797</v>
      </c>
      <c r="B2464" s="74" t="s">
        <v>27216</v>
      </c>
      <c r="C2464" s="75" t="s">
        <v>5694</v>
      </c>
      <c r="D2464" s="176">
        <v>7562</v>
      </c>
      <c r="E2464" s="151">
        <v>44797</v>
      </c>
      <c r="F2464" s="176">
        <v>7562</v>
      </c>
      <c r="G2464" s="177">
        <f>Tabla19[[#This Row],[Importe]]-Tabla19[[#This Row],[Pagado]]</f>
        <v>0</v>
      </c>
      <c r="H2464" s="75" t="s">
        <v>10</v>
      </c>
    </row>
    <row r="2465" spans="1:8" x14ac:dyDescent="0.25">
      <c r="A2465" s="148">
        <v>44797</v>
      </c>
      <c r="B2465" s="149" t="s">
        <v>27217</v>
      </c>
      <c r="C2465" s="153" t="s">
        <v>610</v>
      </c>
      <c r="D2465" s="178">
        <v>24258.400000000001</v>
      </c>
      <c r="E2465" s="155">
        <v>44797</v>
      </c>
      <c r="F2465" s="178">
        <v>24258.400000000001</v>
      </c>
      <c r="G2465" s="179">
        <f>Tabla19[[#This Row],[Importe]]-Tabla19[[#This Row],[Pagado]]</f>
        <v>0</v>
      </c>
      <c r="H2465" s="153" t="s">
        <v>10</v>
      </c>
    </row>
    <row r="2466" spans="1:8" x14ac:dyDescent="0.25">
      <c r="A2466" s="73">
        <v>44797</v>
      </c>
      <c r="B2466" s="74" t="s">
        <v>27218</v>
      </c>
      <c r="C2466" s="75" t="s">
        <v>179</v>
      </c>
      <c r="D2466" s="176">
        <v>1550.4</v>
      </c>
      <c r="E2466" s="151">
        <v>44798</v>
      </c>
      <c r="F2466" s="176">
        <v>1550.4</v>
      </c>
      <c r="G2466" s="177">
        <f>Tabla19[[#This Row],[Importe]]-Tabla19[[#This Row],[Pagado]]</f>
        <v>0</v>
      </c>
      <c r="H2466" s="75" t="s">
        <v>10</v>
      </c>
    </row>
    <row r="2467" spans="1:8" x14ac:dyDescent="0.25">
      <c r="A2467" s="148">
        <v>44798</v>
      </c>
      <c r="B2467" s="149" t="s">
        <v>27219</v>
      </c>
      <c r="C2467" s="153" t="s">
        <v>475</v>
      </c>
      <c r="D2467" s="178">
        <v>52053.9</v>
      </c>
      <c r="E2467" s="155">
        <v>44799</v>
      </c>
      <c r="F2467" s="178">
        <v>52053.9</v>
      </c>
      <c r="G2467" s="179">
        <f>Tabla19[[#This Row],[Importe]]-Tabla19[[#This Row],[Pagado]]</f>
        <v>0</v>
      </c>
      <c r="H2467" s="153" t="s">
        <v>10</v>
      </c>
    </row>
    <row r="2468" spans="1:8" x14ac:dyDescent="0.25">
      <c r="A2468" s="73">
        <v>44798</v>
      </c>
      <c r="B2468" s="74" t="s">
        <v>27220</v>
      </c>
      <c r="C2468" s="75" t="s">
        <v>887</v>
      </c>
      <c r="D2468" s="176">
        <v>10445.5</v>
      </c>
      <c r="E2468" s="151">
        <v>44798</v>
      </c>
      <c r="F2468" s="176">
        <v>10445.5</v>
      </c>
      <c r="G2468" s="177">
        <f>Tabla19[[#This Row],[Importe]]-Tabla19[[#This Row],[Pagado]]</f>
        <v>0</v>
      </c>
      <c r="H2468" s="75" t="s">
        <v>10</v>
      </c>
    </row>
    <row r="2469" spans="1:8" x14ac:dyDescent="0.25">
      <c r="A2469" s="148">
        <v>44798</v>
      </c>
      <c r="B2469" s="149" t="s">
        <v>27221</v>
      </c>
      <c r="C2469" s="153" t="s">
        <v>12</v>
      </c>
      <c r="D2469" s="178">
        <v>16959.900000000001</v>
      </c>
      <c r="E2469" s="155">
        <v>44798</v>
      </c>
      <c r="F2469" s="178">
        <v>16959.900000000001</v>
      </c>
      <c r="G2469" s="179">
        <f>Tabla19[[#This Row],[Importe]]-Tabla19[[#This Row],[Pagado]]</f>
        <v>0</v>
      </c>
      <c r="H2469" s="153" t="s">
        <v>10</v>
      </c>
    </row>
    <row r="2470" spans="1:8" x14ac:dyDescent="0.25">
      <c r="A2470" s="73">
        <v>44798</v>
      </c>
      <c r="B2470" s="74" t="s">
        <v>27222</v>
      </c>
      <c r="C2470" s="75" t="s">
        <v>31</v>
      </c>
      <c r="D2470" s="176">
        <v>3845.6</v>
      </c>
      <c r="E2470" s="151">
        <v>44798</v>
      </c>
      <c r="F2470" s="176">
        <v>3845.6</v>
      </c>
      <c r="G2470" s="177">
        <f>Tabla19[[#This Row],[Importe]]-Tabla19[[#This Row],[Pagado]]</f>
        <v>0</v>
      </c>
      <c r="H2470" s="75" t="s">
        <v>10</v>
      </c>
    </row>
    <row r="2471" spans="1:8" x14ac:dyDescent="0.25">
      <c r="A2471" s="148">
        <v>44798</v>
      </c>
      <c r="B2471" s="149" t="s">
        <v>27223</v>
      </c>
      <c r="C2471" s="153" t="s">
        <v>20</v>
      </c>
      <c r="D2471" s="178">
        <v>3032</v>
      </c>
      <c r="E2471" s="155">
        <v>44798</v>
      </c>
      <c r="F2471" s="178">
        <v>3032</v>
      </c>
      <c r="G2471" s="179">
        <f>Tabla19[[#This Row],[Importe]]-Tabla19[[#This Row],[Pagado]]</f>
        <v>0</v>
      </c>
      <c r="H2471" s="153" t="s">
        <v>10</v>
      </c>
    </row>
    <row r="2472" spans="1:8" x14ac:dyDescent="0.25">
      <c r="A2472" s="73">
        <v>44798</v>
      </c>
      <c r="B2472" s="74" t="s">
        <v>27224</v>
      </c>
      <c r="C2472" s="75" t="s">
        <v>79</v>
      </c>
      <c r="D2472" s="176">
        <v>5692.4</v>
      </c>
      <c r="E2472" s="151">
        <v>44798</v>
      </c>
      <c r="F2472" s="176">
        <v>5692.4</v>
      </c>
      <c r="G2472" s="177">
        <f>Tabla19[[#This Row],[Importe]]-Tabla19[[#This Row],[Pagado]]</f>
        <v>0</v>
      </c>
      <c r="H2472" s="75" t="s">
        <v>10</v>
      </c>
    </row>
    <row r="2473" spans="1:8" x14ac:dyDescent="0.25">
      <c r="A2473" s="148">
        <v>44798</v>
      </c>
      <c r="B2473" s="149" t="s">
        <v>27225</v>
      </c>
      <c r="C2473" s="153" t="s">
        <v>481</v>
      </c>
      <c r="D2473" s="178">
        <v>631.4</v>
      </c>
      <c r="E2473" s="155">
        <v>44798</v>
      </c>
      <c r="F2473" s="178">
        <v>631.4</v>
      </c>
      <c r="G2473" s="179">
        <f>Tabla19[[#This Row],[Importe]]-Tabla19[[#This Row],[Pagado]]</f>
        <v>0</v>
      </c>
      <c r="H2473" s="153" t="s">
        <v>10</v>
      </c>
    </row>
    <row r="2474" spans="1:8" x14ac:dyDescent="0.25">
      <c r="A2474" s="73">
        <v>44798</v>
      </c>
      <c r="B2474" s="74" t="s">
        <v>27226</v>
      </c>
      <c r="C2474" s="75" t="s">
        <v>647</v>
      </c>
      <c r="D2474" s="176">
        <v>6035.3</v>
      </c>
      <c r="E2474" s="151">
        <v>44798</v>
      </c>
      <c r="F2474" s="176">
        <v>6035.3</v>
      </c>
      <c r="G2474" s="177">
        <f>Tabla19[[#This Row],[Importe]]-Tabla19[[#This Row],[Pagado]]</f>
        <v>0</v>
      </c>
      <c r="H2474" s="75" t="s">
        <v>10</v>
      </c>
    </row>
    <row r="2475" spans="1:8" x14ac:dyDescent="0.25">
      <c r="A2475" s="148">
        <v>44798</v>
      </c>
      <c r="B2475" s="149" t="s">
        <v>27227</v>
      </c>
      <c r="C2475" s="153" t="s">
        <v>9</v>
      </c>
      <c r="D2475" s="178">
        <v>8648.2000000000007</v>
      </c>
      <c r="E2475" s="155">
        <v>44798</v>
      </c>
      <c r="F2475" s="178">
        <v>8648.2000000000007</v>
      </c>
      <c r="G2475" s="179">
        <f>Tabla19[[#This Row],[Importe]]-Tabla19[[#This Row],[Pagado]]</f>
        <v>0</v>
      </c>
      <c r="H2475" s="153" t="s">
        <v>10</v>
      </c>
    </row>
    <row r="2476" spans="1:8" x14ac:dyDescent="0.25">
      <c r="A2476" s="73">
        <v>44798</v>
      </c>
      <c r="B2476" s="74" t="s">
        <v>27228</v>
      </c>
      <c r="C2476" s="75" t="s">
        <v>64</v>
      </c>
      <c r="D2476" s="176">
        <v>5343</v>
      </c>
      <c r="E2476" s="151">
        <v>44799</v>
      </c>
      <c r="F2476" s="176">
        <v>5343</v>
      </c>
      <c r="G2476" s="177">
        <f>Tabla19[[#This Row],[Importe]]-Tabla19[[#This Row],[Pagado]]</f>
        <v>0</v>
      </c>
      <c r="H2476" s="75" t="s">
        <v>10</v>
      </c>
    </row>
    <row r="2477" spans="1:8" x14ac:dyDescent="0.25">
      <c r="A2477" s="148">
        <v>44798</v>
      </c>
      <c r="B2477" s="149" t="s">
        <v>27229</v>
      </c>
      <c r="C2477" s="153" t="s">
        <v>4221</v>
      </c>
      <c r="D2477" s="178">
        <v>0</v>
      </c>
      <c r="E2477" s="158" t="s">
        <v>189</v>
      </c>
      <c r="F2477" s="178">
        <v>0</v>
      </c>
      <c r="G2477" s="179">
        <f>Tabla19[[#This Row],[Importe]]-Tabla19[[#This Row],[Pagado]]</f>
        <v>0</v>
      </c>
      <c r="H2477" s="159" t="s">
        <v>27230</v>
      </c>
    </row>
    <row r="2478" spans="1:8" x14ac:dyDescent="0.25">
      <c r="A2478" s="73">
        <v>44798</v>
      </c>
      <c r="B2478" s="74" t="s">
        <v>27231</v>
      </c>
      <c r="C2478" s="75" t="s">
        <v>111</v>
      </c>
      <c r="D2478" s="176">
        <v>5651.1</v>
      </c>
      <c r="E2478" s="151">
        <v>44800</v>
      </c>
      <c r="F2478" s="176">
        <v>5651.1</v>
      </c>
      <c r="G2478" s="177">
        <f>Tabla19[[#This Row],[Importe]]-Tabla19[[#This Row],[Pagado]]</f>
        <v>0</v>
      </c>
      <c r="H2478" s="75" t="s">
        <v>10</v>
      </c>
    </row>
    <row r="2479" spans="1:8" x14ac:dyDescent="0.25">
      <c r="A2479" s="148">
        <v>44798</v>
      </c>
      <c r="B2479" s="149" t="s">
        <v>27232</v>
      </c>
      <c r="C2479" s="153" t="s">
        <v>93</v>
      </c>
      <c r="D2479" s="178">
        <v>7961.6</v>
      </c>
      <c r="E2479" s="155">
        <v>44800</v>
      </c>
      <c r="F2479" s="178">
        <v>7961.6</v>
      </c>
      <c r="G2479" s="179">
        <f>Tabla19[[#This Row],[Importe]]-Tabla19[[#This Row],[Pagado]]</f>
        <v>0</v>
      </c>
      <c r="H2479" s="153" t="s">
        <v>10</v>
      </c>
    </row>
    <row r="2480" spans="1:8" x14ac:dyDescent="0.25">
      <c r="A2480" s="73">
        <v>44798</v>
      </c>
      <c r="B2480" s="74" t="s">
        <v>27233</v>
      </c>
      <c r="C2480" s="75" t="s">
        <v>114</v>
      </c>
      <c r="D2480" s="176">
        <v>6626.2</v>
      </c>
      <c r="E2480" s="151">
        <v>44799</v>
      </c>
      <c r="F2480" s="176">
        <v>6626.2</v>
      </c>
      <c r="G2480" s="177">
        <f>Tabla19[[#This Row],[Importe]]-Tabla19[[#This Row],[Pagado]]</f>
        <v>0</v>
      </c>
      <c r="H2480" s="75" t="s">
        <v>10</v>
      </c>
    </row>
    <row r="2481" spans="1:8" x14ac:dyDescent="0.25">
      <c r="A2481" s="148">
        <v>44798</v>
      </c>
      <c r="B2481" s="149" t="s">
        <v>27234</v>
      </c>
      <c r="C2481" s="153" t="s">
        <v>105</v>
      </c>
      <c r="D2481" s="178">
        <v>8494.5</v>
      </c>
      <c r="E2481" s="155">
        <v>44799</v>
      </c>
      <c r="F2481" s="178">
        <v>8494.5</v>
      </c>
      <c r="G2481" s="179">
        <f>Tabla19[[#This Row],[Importe]]-Tabla19[[#This Row],[Pagado]]</f>
        <v>0</v>
      </c>
      <c r="H2481" s="153" t="s">
        <v>10</v>
      </c>
    </row>
    <row r="2482" spans="1:8" x14ac:dyDescent="0.25">
      <c r="A2482" s="73">
        <v>44798</v>
      </c>
      <c r="B2482" s="74" t="s">
        <v>27235</v>
      </c>
      <c r="C2482" s="75" t="s">
        <v>2151</v>
      </c>
      <c r="D2482" s="176">
        <v>22633.1</v>
      </c>
      <c r="E2482" s="151">
        <v>44798</v>
      </c>
      <c r="F2482" s="176">
        <v>22633.1</v>
      </c>
      <c r="G2482" s="177">
        <f>Tabla19[[#This Row],[Importe]]-Tabla19[[#This Row],[Pagado]]</f>
        <v>0</v>
      </c>
      <c r="H2482" s="75" t="s">
        <v>10</v>
      </c>
    </row>
    <row r="2483" spans="1:8" x14ac:dyDescent="0.25">
      <c r="A2483" s="148">
        <v>44798</v>
      </c>
      <c r="B2483" s="149" t="s">
        <v>27236</v>
      </c>
      <c r="C2483" s="153" t="s">
        <v>326</v>
      </c>
      <c r="D2483" s="178">
        <v>11147.5</v>
      </c>
      <c r="E2483" s="155">
        <v>44800</v>
      </c>
      <c r="F2483" s="178">
        <v>11147.5</v>
      </c>
      <c r="G2483" s="179">
        <f>Tabla19[[#This Row],[Importe]]-Tabla19[[#This Row],[Pagado]]</f>
        <v>0</v>
      </c>
      <c r="H2483" s="153" t="s">
        <v>10</v>
      </c>
    </row>
    <row r="2484" spans="1:8" x14ac:dyDescent="0.25">
      <c r="A2484" s="73">
        <v>44798</v>
      </c>
      <c r="B2484" s="74" t="s">
        <v>27237</v>
      </c>
      <c r="C2484" s="75" t="s">
        <v>348</v>
      </c>
      <c r="D2484" s="176">
        <v>3839.9</v>
      </c>
      <c r="E2484" s="151">
        <v>44798</v>
      </c>
      <c r="F2484" s="176">
        <v>3839.9</v>
      </c>
      <c r="G2484" s="177">
        <f>Tabla19[[#This Row],[Importe]]-Tabla19[[#This Row],[Pagado]]</f>
        <v>0</v>
      </c>
      <c r="H2484" s="75" t="s">
        <v>10</v>
      </c>
    </row>
    <row r="2485" spans="1:8" x14ac:dyDescent="0.25">
      <c r="A2485" s="148">
        <v>44798</v>
      </c>
      <c r="B2485" s="149" t="s">
        <v>27238</v>
      </c>
      <c r="C2485" s="153" t="s">
        <v>22</v>
      </c>
      <c r="D2485" s="178">
        <v>40566.9</v>
      </c>
      <c r="E2485" s="155">
        <v>44799</v>
      </c>
      <c r="F2485" s="178">
        <v>40566.9</v>
      </c>
      <c r="G2485" s="179">
        <f>Tabla19[[#This Row],[Importe]]-Tabla19[[#This Row],[Pagado]]</f>
        <v>0</v>
      </c>
      <c r="H2485" s="153" t="s">
        <v>10</v>
      </c>
    </row>
    <row r="2486" spans="1:8" x14ac:dyDescent="0.25">
      <c r="A2486" s="73">
        <v>44798</v>
      </c>
      <c r="B2486" s="74" t="s">
        <v>27239</v>
      </c>
      <c r="C2486" s="75" t="s">
        <v>2151</v>
      </c>
      <c r="D2486" s="176">
        <v>511</v>
      </c>
      <c r="E2486" s="151">
        <v>44798</v>
      </c>
      <c r="F2486" s="176">
        <v>511</v>
      </c>
      <c r="G2486" s="177">
        <f>Tabla19[[#This Row],[Importe]]-Tabla19[[#This Row],[Pagado]]</f>
        <v>0</v>
      </c>
      <c r="H2486" s="75" t="s">
        <v>10</v>
      </c>
    </row>
    <row r="2487" spans="1:8" x14ac:dyDescent="0.25">
      <c r="A2487" s="148">
        <v>44798</v>
      </c>
      <c r="B2487" s="149" t="s">
        <v>27240</v>
      </c>
      <c r="C2487" s="153" t="s">
        <v>89</v>
      </c>
      <c r="D2487" s="178">
        <v>3858.9</v>
      </c>
      <c r="E2487" s="155">
        <v>44799</v>
      </c>
      <c r="F2487" s="178">
        <v>3858.9</v>
      </c>
      <c r="G2487" s="179">
        <f>Tabla19[[#This Row],[Importe]]-Tabla19[[#This Row],[Pagado]]</f>
        <v>0</v>
      </c>
      <c r="H2487" s="153" t="s">
        <v>10</v>
      </c>
    </row>
    <row r="2488" spans="1:8" x14ac:dyDescent="0.25">
      <c r="A2488" s="73">
        <v>44798</v>
      </c>
      <c r="B2488" s="74" t="s">
        <v>27241</v>
      </c>
      <c r="C2488" s="75" t="s">
        <v>181</v>
      </c>
      <c r="D2488" s="176">
        <v>8162.6</v>
      </c>
      <c r="E2488" s="151">
        <v>44799</v>
      </c>
      <c r="F2488" s="176">
        <v>8162.6</v>
      </c>
      <c r="G2488" s="177">
        <f>Tabla19[[#This Row],[Importe]]-Tabla19[[#This Row],[Pagado]]</f>
        <v>0</v>
      </c>
      <c r="H2488" s="75" t="s">
        <v>10</v>
      </c>
    </row>
    <row r="2489" spans="1:8" x14ac:dyDescent="0.25">
      <c r="A2489" s="148">
        <v>44798</v>
      </c>
      <c r="B2489" s="149" t="s">
        <v>27242</v>
      </c>
      <c r="C2489" s="153" t="s">
        <v>924</v>
      </c>
      <c r="D2489" s="178">
        <v>10537.6</v>
      </c>
      <c r="E2489" s="155">
        <v>44798</v>
      </c>
      <c r="F2489" s="178">
        <v>10537.6</v>
      </c>
      <c r="G2489" s="179">
        <f>Tabla19[[#This Row],[Importe]]-Tabla19[[#This Row],[Pagado]]</f>
        <v>0</v>
      </c>
      <c r="H2489" s="153" t="s">
        <v>10</v>
      </c>
    </row>
    <row r="2490" spans="1:8" x14ac:dyDescent="0.25">
      <c r="A2490" s="73">
        <v>44798</v>
      </c>
      <c r="B2490" s="74" t="s">
        <v>27243</v>
      </c>
      <c r="C2490" s="75" t="s">
        <v>131</v>
      </c>
      <c r="D2490" s="176">
        <v>5025</v>
      </c>
      <c r="E2490" s="151">
        <v>44798</v>
      </c>
      <c r="F2490" s="176">
        <v>5025</v>
      </c>
      <c r="G2490" s="177">
        <f>Tabla19[[#This Row],[Importe]]-Tabla19[[#This Row],[Pagado]]</f>
        <v>0</v>
      </c>
      <c r="H2490" s="75" t="s">
        <v>10</v>
      </c>
    </row>
    <row r="2491" spans="1:8" x14ac:dyDescent="0.25">
      <c r="A2491" s="148">
        <v>44798</v>
      </c>
      <c r="B2491" s="149" t="s">
        <v>27244</v>
      </c>
      <c r="C2491" s="153" t="s">
        <v>618</v>
      </c>
      <c r="D2491" s="178">
        <v>12272.1</v>
      </c>
      <c r="E2491" s="155">
        <v>44799</v>
      </c>
      <c r="F2491" s="178">
        <v>12272.1</v>
      </c>
      <c r="G2491" s="179">
        <f>Tabla19[[#This Row],[Importe]]-Tabla19[[#This Row],[Pagado]]</f>
        <v>0</v>
      </c>
      <c r="H2491" s="153" t="s">
        <v>10</v>
      </c>
    </row>
    <row r="2492" spans="1:8" x14ac:dyDescent="0.25">
      <c r="A2492" s="73">
        <v>44798</v>
      </c>
      <c r="B2492" s="74" t="s">
        <v>27245</v>
      </c>
      <c r="C2492" s="75" t="s">
        <v>452</v>
      </c>
      <c r="D2492" s="176">
        <v>4128</v>
      </c>
      <c r="E2492" s="151">
        <v>44798</v>
      </c>
      <c r="F2492" s="176">
        <v>4128</v>
      </c>
      <c r="G2492" s="177">
        <f>Tabla19[[#This Row],[Importe]]-Tabla19[[#This Row],[Pagado]]</f>
        <v>0</v>
      </c>
      <c r="H2492" s="75" t="s">
        <v>10</v>
      </c>
    </row>
    <row r="2493" spans="1:8" x14ac:dyDescent="0.25">
      <c r="A2493" s="148">
        <v>44798</v>
      </c>
      <c r="B2493" s="149" t="s">
        <v>27246</v>
      </c>
      <c r="C2493" s="153" t="s">
        <v>75</v>
      </c>
      <c r="D2493" s="178">
        <v>8288</v>
      </c>
      <c r="E2493" s="155">
        <v>44799</v>
      </c>
      <c r="F2493" s="178">
        <v>8288</v>
      </c>
      <c r="G2493" s="179">
        <f>Tabla19[[#This Row],[Importe]]-Tabla19[[#This Row],[Pagado]]</f>
        <v>0</v>
      </c>
      <c r="H2493" s="153" t="s">
        <v>10</v>
      </c>
    </row>
    <row r="2494" spans="1:8" x14ac:dyDescent="0.25">
      <c r="A2494" s="73">
        <v>44798</v>
      </c>
      <c r="B2494" s="74" t="s">
        <v>27247</v>
      </c>
      <c r="C2494" s="75" t="s">
        <v>175</v>
      </c>
      <c r="D2494" s="176">
        <v>23001.3</v>
      </c>
      <c r="E2494" s="151">
        <v>44799</v>
      </c>
      <c r="F2494" s="176">
        <v>23001.3</v>
      </c>
      <c r="G2494" s="177">
        <f>Tabla19[[#This Row],[Importe]]-Tabla19[[#This Row],[Pagado]]</f>
        <v>0</v>
      </c>
      <c r="H2494" s="75" t="s">
        <v>10</v>
      </c>
    </row>
    <row r="2495" spans="1:8" x14ac:dyDescent="0.25">
      <c r="A2495" s="148">
        <v>44798</v>
      </c>
      <c r="B2495" s="149" t="s">
        <v>27248</v>
      </c>
      <c r="C2495" s="153" t="s">
        <v>200</v>
      </c>
      <c r="D2495" s="178">
        <v>1626.4</v>
      </c>
      <c r="E2495" s="155">
        <v>44799</v>
      </c>
      <c r="F2495" s="178">
        <v>1626.4</v>
      </c>
      <c r="G2495" s="179">
        <f>Tabla19[[#This Row],[Importe]]-Tabla19[[#This Row],[Pagado]]</f>
        <v>0</v>
      </c>
      <c r="H2495" s="153" t="s">
        <v>10</v>
      </c>
    </row>
    <row r="2496" spans="1:8" x14ac:dyDescent="0.25">
      <c r="A2496" s="73">
        <v>44798</v>
      </c>
      <c r="B2496" s="74" t="s">
        <v>27249</v>
      </c>
      <c r="C2496" s="75" t="s">
        <v>473</v>
      </c>
      <c r="D2496" s="176">
        <v>7204.9</v>
      </c>
      <c r="E2496" s="151">
        <v>44799</v>
      </c>
      <c r="F2496" s="176">
        <v>7204.9</v>
      </c>
      <c r="G2496" s="177">
        <f>Tabla19[[#This Row],[Importe]]-Tabla19[[#This Row],[Pagado]]</f>
        <v>0</v>
      </c>
      <c r="H2496" s="75" t="s">
        <v>10</v>
      </c>
    </row>
    <row r="2497" spans="1:8" x14ac:dyDescent="0.25">
      <c r="A2497" s="148">
        <v>44798</v>
      </c>
      <c r="B2497" s="149" t="s">
        <v>27250</v>
      </c>
      <c r="C2497" s="153" t="s">
        <v>179</v>
      </c>
      <c r="D2497" s="178">
        <v>1554</v>
      </c>
      <c r="E2497" s="155">
        <v>44799</v>
      </c>
      <c r="F2497" s="178">
        <v>1554</v>
      </c>
      <c r="G2497" s="179">
        <f>Tabla19[[#This Row],[Importe]]-Tabla19[[#This Row],[Pagado]]</f>
        <v>0</v>
      </c>
      <c r="H2497" s="153" t="s">
        <v>10</v>
      </c>
    </row>
    <row r="2498" spans="1:8" x14ac:dyDescent="0.25">
      <c r="A2498" s="73">
        <v>44798</v>
      </c>
      <c r="B2498" s="74" t="s">
        <v>27251</v>
      </c>
      <c r="C2498" s="75" t="s">
        <v>45</v>
      </c>
      <c r="D2498" s="176">
        <v>14367.9</v>
      </c>
      <c r="E2498" s="151">
        <v>44798</v>
      </c>
      <c r="F2498" s="176">
        <v>14367.9</v>
      </c>
      <c r="G2498" s="177">
        <f>Tabla19[[#This Row],[Importe]]-Tabla19[[#This Row],[Pagado]]</f>
        <v>0</v>
      </c>
      <c r="H2498" s="75" t="s">
        <v>10</v>
      </c>
    </row>
    <row r="2499" spans="1:8" x14ac:dyDescent="0.25">
      <c r="A2499" s="148">
        <v>44798</v>
      </c>
      <c r="B2499" s="149" t="s">
        <v>27252</v>
      </c>
      <c r="C2499" s="153" t="s">
        <v>284</v>
      </c>
      <c r="D2499" s="178">
        <v>7429.6</v>
      </c>
      <c r="E2499" s="155">
        <v>44799</v>
      </c>
      <c r="F2499" s="178">
        <v>7429.6</v>
      </c>
      <c r="G2499" s="179">
        <f>Tabla19[[#This Row],[Importe]]-Tabla19[[#This Row],[Pagado]]</f>
        <v>0</v>
      </c>
      <c r="H2499" s="153" t="s">
        <v>10</v>
      </c>
    </row>
    <row r="2500" spans="1:8" x14ac:dyDescent="0.25">
      <c r="A2500" s="73">
        <v>44798</v>
      </c>
      <c r="B2500" s="74" t="s">
        <v>27253</v>
      </c>
      <c r="C2500" s="75" t="s">
        <v>280</v>
      </c>
      <c r="D2500" s="176">
        <v>747.4</v>
      </c>
      <c r="E2500" s="151">
        <v>44799</v>
      </c>
      <c r="F2500" s="176">
        <v>747.4</v>
      </c>
      <c r="G2500" s="177">
        <f>Tabla19[[#This Row],[Importe]]-Tabla19[[#This Row],[Pagado]]</f>
        <v>0</v>
      </c>
      <c r="H2500" s="75" t="s">
        <v>10</v>
      </c>
    </row>
    <row r="2501" spans="1:8" x14ac:dyDescent="0.25">
      <c r="A2501" s="148">
        <v>44798</v>
      </c>
      <c r="B2501" s="149" t="s">
        <v>27254</v>
      </c>
      <c r="C2501" s="153" t="s">
        <v>222</v>
      </c>
      <c r="D2501" s="178">
        <v>10061.799999999999</v>
      </c>
      <c r="E2501" s="155">
        <v>44798</v>
      </c>
      <c r="F2501" s="178">
        <v>10061.799999999999</v>
      </c>
      <c r="G2501" s="179">
        <f>Tabla19[[#This Row],[Importe]]-Tabla19[[#This Row],[Pagado]]</f>
        <v>0</v>
      </c>
      <c r="H2501" s="153" t="s">
        <v>10</v>
      </c>
    </row>
    <row r="2502" spans="1:8" x14ac:dyDescent="0.25">
      <c r="A2502" s="73">
        <v>44798</v>
      </c>
      <c r="B2502" s="74" t="s">
        <v>27255</v>
      </c>
      <c r="C2502" s="75" t="s">
        <v>10819</v>
      </c>
      <c r="D2502" s="176">
        <v>717.8</v>
      </c>
      <c r="E2502" s="151">
        <v>44799</v>
      </c>
      <c r="F2502" s="176">
        <v>717.8</v>
      </c>
      <c r="G2502" s="177">
        <f>Tabla19[[#This Row],[Importe]]-Tabla19[[#This Row],[Pagado]]</f>
        <v>0</v>
      </c>
      <c r="H2502" s="75" t="s">
        <v>10</v>
      </c>
    </row>
    <row r="2503" spans="1:8" x14ac:dyDescent="0.25">
      <c r="A2503" s="148">
        <v>44798</v>
      </c>
      <c r="B2503" s="149" t="s">
        <v>27256</v>
      </c>
      <c r="C2503" s="153" t="s">
        <v>282</v>
      </c>
      <c r="D2503" s="178">
        <v>3011.8</v>
      </c>
      <c r="E2503" s="155">
        <v>44799</v>
      </c>
      <c r="F2503" s="178">
        <v>3011.8</v>
      </c>
      <c r="G2503" s="179">
        <f>Tabla19[[#This Row],[Importe]]-Tabla19[[#This Row],[Pagado]]</f>
        <v>0</v>
      </c>
      <c r="H2503" s="153" t="s">
        <v>10</v>
      </c>
    </row>
    <row r="2504" spans="1:8" x14ac:dyDescent="0.25">
      <c r="A2504" s="73">
        <v>44798</v>
      </c>
      <c r="B2504" s="74" t="s">
        <v>27257</v>
      </c>
      <c r="C2504" s="75" t="s">
        <v>431</v>
      </c>
      <c r="D2504" s="176">
        <v>1761.2</v>
      </c>
      <c r="E2504" s="151">
        <v>44799</v>
      </c>
      <c r="F2504" s="176">
        <v>1761.2</v>
      </c>
      <c r="G2504" s="177">
        <f>Tabla19[[#This Row],[Importe]]-Tabla19[[#This Row],[Pagado]]</f>
        <v>0</v>
      </c>
      <c r="H2504" s="75" t="s">
        <v>10</v>
      </c>
    </row>
    <row r="2505" spans="1:8" x14ac:dyDescent="0.25">
      <c r="A2505" s="148">
        <v>44798</v>
      </c>
      <c r="B2505" s="149" t="s">
        <v>27258</v>
      </c>
      <c r="C2505" s="153" t="s">
        <v>804</v>
      </c>
      <c r="D2505" s="178">
        <v>12590.6</v>
      </c>
      <c r="E2505" s="155">
        <v>44798</v>
      </c>
      <c r="F2505" s="178">
        <v>12590.6</v>
      </c>
      <c r="G2505" s="179">
        <f>Tabla19[[#This Row],[Importe]]-Tabla19[[#This Row],[Pagado]]</f>
        <v>0</v>
      </c>
      <c r="H2505" s="153" t="s">
        <v>10</v>
      </c>
    </row>
    <row r="2506" spans="1:8" x14ac:dyDescent="0.25">
      <c r="A2506" s="73">
        <v>44798</v>
      </c>
      <c r="B2506" s="74" t="s">
        <v>27259</v>
      </c>
      <c r="C2506" s="75" t="s">
        <v>365</v>
      </c>
      <c r="D2506" s="176">
        <v>1166.2</v>
      </c>
      <c r="E2506" s="151">
        <v>44798</v>
      </c>
      <c r="F2506" s="176">
        <v>1166.2</v>
      </c>
      <c r="G2506" s="177">
        <f>Tabla19[[#This Row],[Importe]]-Tabla19[[#This Row],[Pagado]]</f>
        <v>0</v>
      </c>
      <c r="H2506" s="75" t="s">
        <v>10</v>
      </c>
    </row>
    <row r="2507" spans="1:8" x14ac:dyDescent="0.25">
      <c r="A2507" s="148">
        <v>44798</v>
      </c>
      <c r="B2507" s="149" t="s">
        <v>27260</v>
      </c>
      <c r="C2507" s="153" t="s">
        <v>142</v>
      </c>
      <c r="D2507" s="178">
        <v>7764.05</v>
      </c>
      <c r="E2507" s="155">
        <v>44845</v>
      </c>
      <c r="F2507" s="178">
        <v>7764.05</v>
      </c>
      <c r="G2507" s="179">
        <f>Tabla19[[#This Row],[Importe]]-Tabla19[[#This Row],[Pagado]]</f>
        <v>0</v>
      </c>
      <c r="H2507" s="153" t="s">
        <v>10</v>
      </c>
    </row>
    <row r="2508" spans="1:8" x14ac:dyDescent="0.25">
      <c r="A2508" s="73">
        <v>44798</v>
      </c>
      <c r="B2508" s="74" t="s">
        <v>27261</v>
      </c>
      <c r="C2508" s="75" t="s">
        <v>19637</v>
      </c>
      <c r="D2508" s="176">
        <v>3262.7</v>
      </c>
      <c r="E2508" s="151">
        <v>44805</v>
      </c>
      <c r="F2508" s="176">
        <v>3262.7</v>
      </c>
      <c r="G2508" s="177">
        <f>Tabla19[[#This Row],[Importe]]-Tabla19[[#This Row],[Pagado]]</f>
        <v>0</v>
      </c>
      <c r="H2508" s="75" t="s">
        <v>10</v>
      </c>
    </row>
    <row r="2509" spans="1:8" x14ac:dyDescent="0.25">
      <c r="A2509" s="148">
        <v>44798</v>
      </c>
      <c r="B2509" s="149" t="s">
        <v>27262</v>
      </c>
      <c r="C2509" s="153" t="s">
        <v>151</v>
      </c>
      <c r="D2509" s="178">
        <v>6213</v>
      </c>
      <c r="E2509" s="155">
        <v>44798</v>
      </c>
      <c r="F2509" s="178">
        <v>6213</v>
      </c>
      <c r="G2509" s="179">
        <f>Tabla19[[#This Row],[Importe]]-Tabla19[[#This Row],[Pagado]]</f>
        <v>0</v>
      </c>
      <c r="H2509" s="153" t="s">
        <v>10</v>
      </c>
    </row>
    <row r="2510" spans="1:8" x14ac:dyDescent="0.25">
      <c r="A2510" s="73">
        <v>44798</v>
      </c>
      <c r="B2510" s="74" t="s">
        <v>27263</v>
      </c>
      <c r="C2510" s="75" t="s">
        <v>518</v>
      </c>
      <c r="D2510" s="176">
        <v>1643.6</v>
      </c>
      <c r="E2510" s="151">
        <v>44798</v>
      </c>
      <c r="F2510" s="176">
        <v>1643.6</v>
      </c>
      <c r="G2510" s="177">
        <f>Tabla19[[#This Row],[Importe]]-Tabla19[[#This Row],[Pagado]]</f>
        <v>0</v>
      </c>
      <c r="H2510" s="75" t="s">
        <v>10</v>
      </c>
    </row>
    <row r="2511" spans="1:8" x14ac:dyDescent="0.25">
      <c r="A2511" s="148">
        <v>44798</v>
      </c>
      <c r="B2511" s="149" t="s">
        <v>27264</v>
      </c>
      <c r="C2511" s="153" t="s">
        <v>525</v>
      </c>
      <c r="D2511" s="178">
        <v>404</v>
      </c>
      <c r="E2511" s="155">
        <v>44798</v>
      </c>
      <c r="F2511" s="178">
        <v>404</v>
      </c>
      <c r="G2511" s="179">
        <f>Tabla19[[#This Row],[Importe]]-Tabla19[[#This Row],[Pagado]]</f>
        <v>0</v>
      </c>
      <c r="H2511" s="153" t="s">
        <v>10</v>
      </c>
    </row>
    <row r="2512" spans="1:8" x14ac:dyDescent="0.25">
      <c r="A2512" s="73">
        <v>44798</v>
      </c>
      <c r="B2512" s="74" t="s">
        <v>27265</v>
      </c>
      <c r="C2512" s="75" t="s">
        <v>484</v>
      </c>
      <c r="D2512" s="176">
        <v>3825.9</v>
      </c>
      <c r="E2512" s="151">
        <v>44798</v>
      </c>
      <c r="F2512" s="176">
        <v>3825.9</v>
      </c>
      <c r="G2512" s="177">
        <f>Tabla19[[#This Row],[Importe]]-Tabla19[[#This Row],[Pagado]]</f>
        <v>0</v>
      </c>
      <c r="H2512" s="75" t="s">
        <v>10</v>
      </c>
    </row>
    <row r="2513" spans="1:8" x14ac:dyDescent="0.25">
      <c r="A2513" s="148">
        <v>44798</v>
      </c>
      <c r="B2513" s="149" t="s">
        <v>27266</v>
      </c>
      <c r="C2513" s="153" t="s">
        <v>31</v>
      </c>
      <c r="D2513" s="178">
        <v>1955.9</v>
      </c>
      <c r="E2513" s="155">
        <v>44798</v>
      </c>
      <c r="F2513" s="178">
        <v>1955.9</v>
      </c>
      <c r="G2513" s="179">
        <f>Tabla19[[#This Row],[Importe]]-Tabla19[[#This Row],[Pagado]]</f>
        <v>0</v>
      </c>
      <c r="H2513" s="153" t="s">
        <v>10</v>
      </c>
    </row>
    <row r="2514" spans="1:8" x14ac:dyDescent="0.25">
      <c r="A2514" s="73">
        <v>44798</v>
      </c>
      <c r="B2514" s="74" t="s">
        <v>27267</v>
      </c>
      <c r="C2514" s="75" t="s">
        <v>45</v>
      </c>
      <c r="D2514" s="176">
        <v>1727.5</v>
      </c>
      <c r="E2514" s="151">
        <v>44798</v>
      </c>
      <c r="F2514" s="176">
        <v>1727.5</v>
      </c>
      <c r="G2514" s="177">
        <f>Tabla19[[#This Row],[Importe]]-Tabla19[[#This Row],[Pagado]]</f>
        <v>0</v>
      </c>
      <c r="H2514" s="75" t="s">
        <v>10</v>
      </c>
    </row>
    <row r="2515" spans="1:8" x14ac:dyDescent="0.25">
      <c r="A2515" s="148">
        <v>44798</v>
      </c>
      <c r="B2515" s="149" t="s">
        <v>27268</v>
      </c>
      <c r="C2515" s="153" t="s">
        <v>319</v>
      </c>
      <c r="D2515" s="178">
        <v>11051.9</v>
      </c>
      <c r="E2515" s="155">
        <v>44798</v>
      </c>
      <c r="F2515" s="178">
        <v>11051.9</v>
      </c>
      <c r="G2515" s="179">
        <f>Tabla19[[#This Row],[Importe]]-Tabla19[[#This Row],[Pagado]]</f>
        <v>0</v>
      </c>
      <c r="H2515" s="153" t="s">
        <v>10</v>
      </c>
    </row>
    <row r="2516" spans="1:8" x14ac:dyDescent="0.25">
      <c r="A2516" s="73">
        <v>44798</v>
      </c>
      <c r="B2516" s="74" t="s">
        <v>27269</v>
      </c>
      <c r="C2516" s="75" t="s">
        <v>159</v>
      </c>
      <c r="D2516" s="176">
        <v>2197.1999999999998</v>
      </c>
      <c r="E2516" s="151">
        <v>44798</v>
      </c>
      <c r="F2516" s="176">
        <v>2197.1999999999998</v>
      </c>
      <c r="G2516" s="177">
        <f>Tabla19[[#This Row],[Importe]]-Tabla19[[#This Row],[Pagado]]</f>
        <v>0</v>
      </c>
      <c r="H2516" s="75" t="s">
        <v>10</v>
      </c>
    </row>
    <row r="2517" spans="1:8" x14ac:dyDescent="0.25">
      <c r="A2517" s="148">
        <v>44798</v>
      </c>
      <c r="B2517" s="149" t="s">
        <v>27270</v>
      </c>
      <c r="C2517" s="153" t="s">
        <v>698</v>
      </c>
      <c r="D2517" s="178">
        <v>2079.4</v>
      </c>
      <c r="E2517" s="155">
        <v>44798</v>
      </c>
      <c r="F2517" s="178">
        <v>2079.4</v>
      </c>
      <c r="G2517" s="179">
        <f>Tabla19[[#This Row],[Importe]]-Tabla19[[#This Row],[Pagado]]</f>
        <v>0</v>
      </c>
      <c r="H2517" s="153" t="s">
        <v>10</v>
      </c>
    </row>
    <row r="2518" spans="1:8" x14ac:dyDescent="0.25">
      <c r="A2518" s="73">
        <v>44798</v>
      </c>
      <c r="B2518" s="74" t="s">
        <v>27271</v>
      </c>
      <c r="C2518" s="75" t="s">
        <v>966</v>
      </c>
      <c r="D2518" s="176">
        <v>4406.6000000000004</v>
      </c>
      <c r="E2518" s="151">
        <v>44798</v>
      </c>
      <c r="F2518" s="176">
        <v>4406.6000000000004</v>
      </c>
      <c r="G2518" s="177">
        <f>Tabla19[[#This Row],[Importe]]-Tabla19[[#This Row],[Pagado]]</f>
        <v>0</v>
      </c>
      <c r="H2518" s="75" t="s">
        <v>10</v>
      </c>
    </row>
    <row r="2519" spans="1:8" x14ac:dyDescent="0.25">
      <c r="A2519" s="148">
        <v>44798</v>
      </c>
      <c r="B2519" s="149" t="s">
        <v>27272</v>
      </c>
      <c r="C2519" s="153" t="s">
        <v>157</v>
      </c>
      <c r="D2519" s="178">
        <v>5887.1</v>
      </c>
      <c r="E2519" s="155">
        <v>44798</v>
      </c>
      <c r="F2519" s="178">
        <v>5887.1</v>
      </c>
      <c r="G2519" s="179">
        <f>Tabla19[[#This Row],[Importe]]-Tabla19[[#This Row],[Pagado]]</f>
        <v>0</v>
      </c>
      <c r="H2519" s="153" t="s">
        <v>10</v>
      </c>
    </row>
    <row r="2520" spans="1:8" x14ac:dyDescent="0.25">
      <c r="A2520" s="73">
        <v>44798</v>
      </c>
      <c r="B2520" s="74" t="s">
        <v>27273</v>
      </c>
      <c r="C2520" s="75" t="s">
        <v>56</v>
      </c>
      <c r="D2520" s="176">
        <v>4588.5</v>
      </c>
      <c r="E2520" s="151">
        <v>44798</v>
      </c>
      <c r="F2520" s="176">
        <v>4588.5</v>
      </c>
      <c r="G2520" s="177">
        <f>Tabla19[[#This Row],[Importe]]-Tabla19[[#This Row],[Pagado]]</f>
        <v>0</v>
      </c>
      <c r="H2520" s="75" t="s">
        <v>10</v>
      </c>
    </row>
    <row r="2521" spans="1:8" x14ac:dyDescent="0.25">
      <c r="A2521" s="148">
        <v>44798</v>
      </c>
      <c r="B2521" s="149" t="s">
        <v>27274</v>
      </c>
      <c r="C2521" s="153" t="s">
        <v>520</v>
      </c>
      <c r="D2521" s="178">
        <v>6685.4</v>
      </c>
      <c r="E2521" s="155">
        <v>44798</v>
      </c>
      <c r="F2521" s="178">
        <v>6685.4</v>
      </c>
      <c r="G2521" s="179">
        <f>Tabla19[[#This Row],[Importe]]-Tabla19[[#This Row],[Pagado]]</f>
        <v>0</v>
      </c>
      <c r="H2521" s="153" t="s">
        <v>10</v>
      </c>
    </row>
    <row r="2522" spans="1:8" x14ac:dyDescent="0.25">
      <c r="A2522" s="73">
        <v>44798</v>
      </c>
      <c r="B2522" s="74" t="s">
        <v>27275</v>
      </c>
      <c r="C2522" s="75" t="s">
        <v>151</v>
      </c>
      <c r="D2522" s="176">
        <v>5457.18</v>
      </c>
      <c r="E2522" s="151">
        <v>44798</v>
      </c>
      <c r="F2522" s="176">
        <v>5457.18</v>
      </c>
      <c r="G2522" s="177">
        <f>Tabla19[[#This Row],[Importe]]-Tabla19[[#This Row],[Pagado]]</f>
        <v>0</v>
      </c>
      <c r="H2522" s="75" t="s">
        <v>10</v>
      </c>
    </row>
    <row r="2523" spans="1:8" x14ac:dyDescent="0.25">
      <c r="A2523" s="148">
        <v>44798</v>
      </c>
      <c r="B2523" s="149" t="s">
        <v>27276</v>
      </c>
      <c r="C2523" s="153" t="s">
        <v>49</v>
      </c>
      <c r="D2523" s="178">
        <v>4727.8999999999996</v>
      </c>
      <c r="E2523" s="155">
        <v>44798</v>
      </c>
      <c r="F2523" s="178">
        <v>4727.8999999999996</v>
      </c>
      <c r="G2523" s="179">
        <f>Tabla19[[#This Row],[Importe]]-Tabla19[[#This Row],[Pagado]]</f>
        <v>0</v>
      </c>
      <c r="H2523" s="153" t="s">
        <v>10</v>
      </c>
    </row>
    <row r="2524" spans="1:8" x14ac:dyDescent="0.25">
      <c r="A2524" s="73">
        <v>44798</v>
      </c>
      <c r="B2524" s="74" t="s">
        <v>27277</v>
      </c>
      <c r="C2524" s="75" t="s">
        <v>127</v>
      </c>
      <c r="D2524" s="176">
        <v>6367.3</v>
      </c>
      <c r="E2524" s="151">
        <v>44798</v>
      </c>
      <c r="F2524" s="176">
        <v>6367.3</v>
      </c>
      <c r="G2524" s="177">
        <f>Tabla19[[#This Row],[Importe]]-Tabla19[[#This Row],[Pagado]]</f>
        <v>0</v>
      </c>
      <c r="H2524" s="75" t="s">
        <v>10</v>
      </c>
    </row>
    <row r="2525" spans="1:8" x14ac:dyDescent="0.25">
      <c r="A2525" s="148">
        <v>44798</v>
      </c>
      <c r="B2525" s="149" t="s">
        <v>27278</v>
      </c>
      <c r="C2525" s="153" t="s">
        <v>357</v>
      </c>
      <c r="D2525" s="178">
        <v>616</v>
      </c>
      <c r="E2525" s="155">
        <v>44798</v>
      </c>
      <c r="F2525" s="178">
        <v>616</v>
      </c>
      <c r="G2525" s="179">
        <f>Tabla19[[#This Row],[Importe]]-Tabla19[[#This Row],[Pagado]]</f>
        <v>0</v>
      </c>
      <c r="H2525" s="153" t="s">
        <v>10</v>
      </c>
    </row>
    <row r="2526" spans="1:8" x14ac:dyDescent="0.25">
      <c r="A2526" s="73">
        <v>44798</v>
      </c>
      <c r="B2526" s="74" t="s">
        <v>27279</v>
      </c>
      <c r="C2526" s="75" t="s">
        <v>140</v>
      </c>
      <c r="D2526" s="176">
        <v>1239.7</v>
      </c>
      <c r="E2526" s="151">
        <v>44798</v>
      </c>
      <c r="F2526" s="176">
        <v>1239.7</v>
      </c>
      <c r="G2526" s="177">
        <f>Tabla19[[#This Row],[Importe]]-Tabla19[[#This Row],[Pagado]]</f>
        <v>0</v>
      </c>
      <c r="H2526" s="75" t="s">
        <v>10</v>
      </c>
    </row>
    <row r="2527" spans="1:8" x14ac:dyDescent="0.25">
      <c r="A2527" s="148">
        <v>44798</v>
      </c>
      <c r="B2527" s="149" t="s">
        <v>27280</v>
      </c>
      <c r="C2527" s="153" t="s">
        <v>129</v>
      </c>
      <c r="D2527" s="178">
        <v>1778.7</v>
      </c>
      <c r="E2527" s="155">
        <v>44798</v>
      </c>
      <c r="F2527" s="178">
        <v>1778.7</v>
      </c>
      <c r="G2527" s="179">
        <f>Tabla19[[#This Row],[Importe]]-Tabla19[[#This Row],[Pagado]]</f>
        <v>0</v>
      </c>
      <c r="H2527" s="153" t="s">
        <v>10</v>
      </c>
    </row>
    <row r="2528" spans="1:8" x14ac:dyDescent="0.25">
      <c r="A2528" s="73">
        <v>44798</v>
      </c>
      <c r="B2528" s="74" t="s">
        <v>27281</v>
      </c>
      <c r="C2528" s="75" t="s">
        <v>339</v>
      </c>
      <c r="D2528" s="176">
        <v>585.20000000000005</v>
      </c>
      <c r="E2528" s="151">
        <v>44798</v>
      </c>
      <c r="F2528" s="176">
        <v>585.20000000000005</v>
      </c>
      <c r="G2528" s="177">
        <f>Tabla19[[#This Row],[Importe]]-Tabla19[[#This Row],[Pagado]]</f>
        <v>0</v>
      </c>
      <c r="H2528" s="75" t="s">
        <v>10</v>
      </c>
    </row>
    <row r="2529" spans="1:8" x14ac:dyDescent="0.25">
      <c r="A2529" s="148">
        <v>44798</v>
      </c>
      <c r="B2529" s="149" t="s">
        <v>27282</v>
      </c>
      <c r="C2529" s="153" t="s">
        <v>83</v>
      </c>
      <c r="D2529" s="178">
        <v>9911.4</v>
      </c>
      <c r="E2529" s="155">
        <v>44798</v>
      </c>
      <c r="F2529" s="178">
        <v>9911.4</v>
      </c>
      <c r="G2529" s="179">
        <f>Tabla19[[#This Row],[Importe]]-Tabla19[[#This Row],[Pagado]]</f>
        <v>0</v>
      </c>
      <c r="H2529" s="153" t="s">
        <v>10</v>
      </c>
    </row>
    <row r="2530" spans="1:8" x14ac:dyDescent="0.25">
      <c r="A2530" s="73">
        <v>44798</v>
      </c>
      <c r="B2530" s="74" t="s">
        <v>27283</v>
      </c>
      <c r="C2530" s="75" t="s">
        <v>191</v>
      </c>
      <c r="D2530" s="176">
        <v>2613.6</v>
      </c>
      <c r="E2530" s="151">
        <v>44798</v>
      </c>
      <c r="F2530" s="176">
        <v>2613.6</v>
      </c>
      <c r="G2530" s="177">
        <f>Tabla19[[#This Row],[Importe]]-Tabla19[[#This Row],[Pagado]]</f>
        <v>0</v>
      </c>
      <c r="H2530" s="75" t="s">
        <v>10</v>
      </c>
    </row>
    <row r="2531" spans="1:8" x14ac:dyDescent="0.25">
      <c r="A2531" s="148">
        <v>44798</v>
      </c>
      <c r="B2531" s="149" t="s">
        <v>27284</v>
      </c>
      <c r="C2531" s="153" t="s">
        <v>333</v>
      </c>
      <c r="D2531" s="178">
        <v>1178.0999999999999</v>
      </c>
      <c r="E2531" s="155">
        <v>44798</v>
      </c>
      <c r="F2531" s="178">
        <v>1178.0999999999999</v>
      </c>
      <c r="G2531" s="179">
        <f>Tabla19[[#This Row],[Importe]]-Tabla19[[#This Row],[Pagado]]</f>
        <v>0</v>
      </c>
      <c r="H2531" s="153" t="s">
        <v>10</v>
      </c>
    </row>
    <row r="2532" spans="1:8" x14ac:dyDescent="0.25">
      <c r="A2532" s="73">
        <v>44798</v>
      </c>
      <c r="B2532" s="74" t="s">
        <v>27285</v>
      </c>
      <c r="C2532" s="75" t="s">
        <v>58</v>
      </c>
      <c r="D2532" s="176">
        <v>4260</v>
      </c>
      <c r="E2532" s="151">
        <v>44798</v>
      </c>
      <c r="F2532" s="176">
        <v>4260</v>
      </c>
      <c r="G2532" s="177">
        <f>Tabla19[[#This Row],[Importe]]-Tabla19[[#This Row],[Pagado]]</f>
        <v>0</v>
      </c>
      <c r="H2532" s="75" t="s">
        <v>10</v>
      </c>
    </row>
    <row r="2533" spans="1:8" x14ac:dyDescent="0.25">
      <c r="A2533" s="148">
        <v>44798</v>
      </c>
      <c r="B2533" s="149" t="s">
        <v>27286</v>
      </c>
      <c r="C2533" s="153" t="s">
        <v>107</v>
      </c>
      <c r="D2533" s="178">
        <v>17505</v>
      </c>
      <c r="E2533" s="155">
        <v>44798</v>
      </c>
      <c r="F2533" s="178">
        <v>17505</v>
      </c>
      <c r="G2533" s="179">
        <f>Tabla19[[#This Row],[Importe]]-Tabla19[[#This Row],[Pagado]]</f>
        <v>0</v>
      </c>
      <c r="H2533" s="153" t="s">
        <v>10</v>
      </c>
    </row>
    <row r="2534" spans="1:8" x14ac:dyDescent="0.25">
      <c r="A2534" s="73">
        <v>44798</v>
      </c>
      <c r="B2534" s="74" t="s">
        <v>27287</v>
      </c>
      <c r="C2534" s="75" t="s">
        <v>146</v>
      </c>
      <c r="D2534" s="176">
        <v>5791.2</v>
      </c>
      <c r="E2534" s="151">
        <v>44798</v>
      </c>
      <c r="F2534" s="176">
        <v>5791.2</v>
      </c>
      <c r="G2534" s="177">
        <f>Tabla19[[#This Row],[Importe]]-Tabla19[[#This Row],[Pagado]]</f>
        <v>0</v>
      </c>
      <c r="H2534" s="75" t="s">
        <v>10</v>
      </c>
    </row>
    <row r="2535" spans="1:8" x14ac:dyDescent="0.25">
      <c r="A2535" s="148">
        <v>44798</v>
      </c>
      <c r="B2535" s="149" t="s">
        <v>27288</v>
      </c>
      <c r="C2535" s="153" t="s">
        <v>62</v>
      </c>
      <c r="D2535" s="178">
        <v>4915.6000000000004</v>
      </c>
      <c r="E2535" s="155">
        <v>44798</v>
      </c>
      <c r="F2535" s="178">
        <v>4915.6000000000004</v>
      </c>
      <c r="G2535" s="179">
        <f>Tabla19[[#This Row],[Importe]]-Tabla19[[#This Row],[Pagado]]</f>
        <v>0</v>
      </c>
      <c r="H2535" s="153" t="s">
        <v>10</v>
      </c>
    </row>
    <row r="2536" spans="1:8" x14ac:dyDescent="0.25">
      <c r="A2536" s="73">
        <v>44798</v>
      </c>
      <c r="B2536" s="74" t="s">
        <v>27289</v>
      </c>
      <c r="C2536" s="75" t="s">
        <v>1265</v>
      </c>
      <c r="D2536" s="176">
        <v>562.1</v>
      </c>
      <c r="E2536" s="151">
        <v>44798</v>
      </c>
      <c r="F2536" s="176">
        <v>562.1</v>
      </c>
      <c r="G2536" s="177">
        <f>Tabla19[[#This Row],[Importe]]-Tabla19[[#This Row],[Pagado]]</f>
        <v>0</v>
      </c>
      <c r="H2536" s="75" t="s">
        <v>10</v>
      </c>
    </row>
    <row r="2537" spans="1:8" x14ac:dyDescent="0.25">
      <c r="A2537" s="148">
        <v>44798</v>
      </c>
      <c r="B2537" s="149" t="s">
        <v>27290</v>
      </c>
      <c r="C2537" s="153" t="s">
        <v>24</v>
      </c>
      <c r="D2537" s="178">
        <v>2001.5</v>
      </c>
      <c r="E2537" s="155">
        <v>44798</v>
      </c>
      <c r="F2537" s="178">
        <v>2001.5</v>
      </c>
      <c r="G2537" s="179">
        <f>Tabla19[[#This Row],[Importe]]-Tabla19[[#This Row],[Pagado]]</f>
        <v>0</v>
      </c>
      <c r="H2537" s="153" t="s">
        <v>10</v>
      </c>
    </row>
    <row r="2538" spans="1:8" x14ac:dyDescent="0.25">
      <c r="A2538" s="73">
        <v>44798</v>
      </c>
      <c r="B2538" s="74" t="s">
        <v>27291</v>
      </c>
      <c r="C2538" s="75" t="s">
        <v>24</v>
      </c>
      <c r="D2538" s="176">
        <v>809.4</v>
      </c>
      <c r="E2538" s="151">
        <v>44798</v>
      </c>
      <c r="F2538" s="176">
        <v>809.4</v>
      </c>
      <c r="G2538" s="177">
        <f>Tabla19[[#This Row],[Importe]]-Tabla19[[#This Row],[Pagado]]</f>
        <v>0</v>
      </c>
      <c r="H2538" s="75" t="s">
        <v>10</v>
      </c>
    </row>
    <row r="2539" spans="1:8" x14ac:dyDescent="0.25">
      <c r="A2539" s="148">
        <v>44798</v>
      </c>
      <c r="B2539" s="149" t="s">
        <v>27292</v>
      </c>
      <c r="C2539" s="153" t="s">
        <v>1362</v>
      </c>
      <c r="D2539" s="178">
        <v>4681.6000000000004</v>
      </c>
      <c r="E2539" s="155">
        <v>44798</v>
      </c>
      <c r="F2539" s="178">
        <v>4681.6000000000004</v>
      </c>
      <c r="G2539" s="179">
        <f>Tabla19[[#This Row],[Importe]]-Tabla19[[#This Row],[Pagado]]</f>
        <v>0</v>
      </c>
      <c r="H2539" s="153" t="s">
        <v>10</v>
      </c>
    </row>
    <row r="2540" spans="1:8" x14ac:dyDescent="0.25">
      <c r="A2540" s="73">
        <v>44798</v>
      </c>
      <c r="B2540" s="74" t="s">
        <v>27293</v>
      </c>
      <c r="C2540" s="75" t="s">
        <v>291</v>
      </c>
      <c r="D2540" s="176">
        <v>3559</v>
      </c>
      <c r="E2540" s="151">
        <v>44798</v>
      </c>
      <c r="F2540" s="176">
        <v>3559</v>
      </c>
      <c r="G2540" s="177">
        <f>Tabla19[[#This Row],[Importe]]-Tabla19[[#This Row],[Pagado]]</f>
        <v>0</v>
      </c>
      <c r="H2540" s="75" t="s">
        <v>10</v>
      </c>
    </row>
    <row r="2541" spans="1:8" x14ac:dyDescent="0.25">
      <c r="A2541" s="148">
        <v>44798</v>
      </c>
      <c r="B2541" s="149" t="s">
        <v>27294</v>
      </c>
      <c r="C2541" s="153" t="s">
        <v>1505</v>
      </c>
      <c r="D2541" s="178">
        <v>6424.4</v>
      </c>
      <c r="E2541" s="155">
        <v>44798</v>
      </c>
      <c r="F2541" s="178">
        <v>6424.4</v>
      </c>
      <c r="G2541" s="179">
        <f>Tabla19[[#This Row],[Importe]]-Tabla19[[#This Row],[Pagado]]</f>
        <v>0</v>
      </c>
      <c r="H2541" s="153" t="s">
        <v>10</v>
      </c>
    </row>
    <row r="2542" spans="1:8" x14ac:dyDescent="0.25">
      <c r="A2542" s="73">
        <v>44798</v>
      </c>
      <c r="B2542" s="74" t="s">
        <v>27295</v>
      </c>
      <c r="C2542" s="75" t="s">
        <v>291</v>
      </c>
      <c r="D2542" s="176">
        <v>744</v>
      </c>
      <c r="E2542" s="151">
        <v>44798</v>
      </c>
      <c r="F2542" s="176">
        <v>744</v>
      </c>
      <c r="G2542" s="177">
        <f>Tabla19[[#This Row],[Importe]]-Tabla19[[#This Row],[Pagado]]</f>
        <v>0</v>
      </c>
      <c r="H2542" s="75" t="s">
        <v>10</v>
      </c>
    </row>
    <row r="2543" spans="1:8" x14ac:dyDescent="0.25">
      <c r="A2543" s="148">
        <v>44798</v>
      </c>
      <c r="B2543" s="149" t="s">
        <v>27296</v>
      </c>
      <c r="C2543" s="153" t="s">
        <v>29</v>
      </c>
      <c r="D2543" s="178">
        <v>4166.2</v>
      </c>
      <c r="E2543" s="155">
        <v>44798</v>
      </c>
      <c r="F2543" s="178">
        <v>4166.2</v>
      </c>
      <c r="G2543" s="179">
        <f>Tabla19[[#This Row],[Importe]]-Tabla19[[#This Row],[Pagado]]</f>
        <v>0</v>
      </c>
      <c r="H2543" s="153" t="s">
        <v>10</v>
      </c>
    </row>
    <row r="2544" spans="1:8" x14ac:dyDescent="0.25">
      <c r="A2544" s="73">
        <v>44798</v>
      </c>
      <c r="B2544" s="74" t="s">
        <v>27297</v>
      </c>
      <c r="C2544" s="75" t="s">
        <v>12</v>
      </c>
      <c r="D2544" s="176">
        <v>4541.8</v>
      </c>
      <c r="E2544" s="151">
        <v>44798</v>
      </c>
      <c r="F2544" s="176">
        <v>4541.8</v>
      </c>
      <c r="G2544" s="177">
        <f>Tabla19[[#This Row],[Importe]]-Tabla19[[#This Row],[Pagado]]</f>
        <v>0</v>
      </c>
      <c r="H2544" s="75" t="s">
        <v>10</v>
      </c>
    </row>
    <row r="2545" spans="1:8" x14ac:dyDescent="0.25">
      <c r="A2545" s="148">
        <v>44798</v>
      </c>
      <c r="B2545" s="149" t="s">
        <v>27298</v>
      </c>
      <c r="C2545" s="153" t="s">
        <v>670</v>
      </c>
      <c r="D2545" s="178">
        <v>5073.5</v>
      </c>
      <c r="E2545" s="155">
        <v>44799</v>
      </c>
      <c r="F2545" s="178">
        <v>5073.5</v>
      </c>
      <c r="G2545" s="179">
        <f>Tabla19[[#This Row],[Importe]]-Tabla19[[#This Row],[Pagado]]</f>
        <v>0</v>
      </c>
      <c r="H2545" s="153" t="s">
        <v>10</v>
      </c>
    </row>
    <row r="2546" spans="1:8" x14ac:dyDescent="0.25">
      <c r="A2546" s="73">
        <v>44798</v>
      </c>
      <c r="B2546" s="74" t="s">
        <v>27299</v>
      </c>
      <c r="C2546" s="75" t="s">
        <v>53</v>
      </c>
      <c r="D2546" s="176">
        <v>1339.8</v>
      </c>
      <c r="E2546" s="151">
        <v>44798</v>
      </c>
      <c r="F2546" s="176">
        <v>1339.8</v>
      </c>
      <c r="G2546" s="177">
        <f>Tabla19[[#This Row],[Importe]]-Tabla19[[#This Row],[Pagado]]</f>
        <v>0</v>
      </c>
      <c r="H2546" s="75" t="s">
        <v>10</v>
      </c>
    </row>
    <row r="2547" spans="1:8" x14ac:dyDescent="0.25">
      <c r="A2547" s="148">
        <v>44798</v>
      </c>
      <c r="B2547" s="149" t="s">
        <v>27300</v>
      </c>
      <c r="C2547" s="153" t="s">
        <v>484</v>
      </c>
      <c r="D2547" s="178">
        <v>8018.4</v>
      </c>
      <c r="E2547" s="155">
        <v>44798</v>
      </c>
      <c r="F2547" s="178">
        <v>8018.4</v>
      </c>
      <c r="G2547" s="179">
        <f>Tabla19[[#This Row],[Importe]]-Tabla19[[#This Row],[Pagado]]</f>
        <v>0</v>
      </c>
      <c r="H2547" s="153" t="s">
        <v>10</v>
      </c>
    </row>
    <row r="2548" spans="1:8" x14ac:dyDescent="0.25">
      <c r="A2548" s="73">
        <v>44798</v>
      </c>
      <c r="B2548" s="74" t="s">
        <v>27301</v>
      </c>
      <c r="C2548" s="75" t="s">
        <v>31</v>
      </c>
      <c r="D2548" s="176">
        <v>1780</v>
      </c>
      <c r="E2548" s="151">
        <v>44798</v>
      </c>
      <c r="F2548" s="176">
        <v>1780</v>
      </c>
      <c r="G2548" s="177">
        <f>Tabla19[[#This Row],[Importe]]-Tabla19[[#This Row],[Pagado]]</f>
        <v>0</v>
      </c>
      <c r="H2548" s="75" t="s">
        <v>10</v>
      </c>
    </row>
    <row r="2549" spans="1:8" x14ac:dyDescent="0.25">
      <c r="A2549" s="148">
        <v>44798</v>
      </c>
      <c r="B2549" s="149" t="s">
        <v>27302</v>
      </c>
      <c r="C2549" s="153" t="s">
        <v>296</v>
      </c>
      <c r="D2549" s="178">
        <v>4072.2</v>
      </c>
      <c r="E2549" s="155">
        <v>44798</v>
      </c>
      <c r="F2549" s="178">
        <v>4072.2</v>
      </c>
      <c r="G2549" s="179">
        <f>Tabla19[[#This Row],[Importe]]-Tabla19[[#This Row],[Pagado]]</f>
        <v>0</v>
      </c>
      <c r="H2549" s="153" t="s">
        <v>10</v>
      </c>
    </row>
    <row r="2550" spans="1:8" x14ac:dyDescent="0.25">
      <c r="A2550" s="73">
        <v>44798</v>
      </c>
      <c r="B2550" s="74" t="s">
        <v>27303</v>
      </c>
      <c r="C2550" s="75" t="s">
        <v>31</v>
      </c>
      <c r="D2550" s="176">
        <v>390</v>
      </c>
      <c r="E2550" s="151">
        <v>44798</v>
      </c>
      <c r="F2550" s="176">
        <v>390</v>
      </c>
      <c r="G2550" s="177">
        <f>Tabla19[[#This Row],[Importe]]-Tabla19[[#This Row],[Pagado]]</f>
        <v>0</v>
      </c>
      <c r="H2550" s="75" t="s">
        <v>10</v>
      </c>
    </row>
    <row r="2551" spans="1:8" x14ac:dyDescent="0.25">
      <c r="A2551" s="148">
        <v>44798</v>
      </c>
      <c r="B2551" s="149" t="s">
        <v>27304</v>
      </c>
      <c r="C2551" s="153" t="s">
        <v>296</v>
      </c>
      <c r="D2551" s="178">
        <v>2527.1999999999998</v>
      </c>
      <c r="E2551" s="155">
        <v>44798</v>
      </c>
      <c r="F2551" s="178">
        <v>2527.1999999999998</v>
      </c>
      <c r="G2551" s="179">
        <f>Tabla19[[#This Row],[Importe]]-Tabla19[[#This Row],[Pagado]]</f>
        <v>0</v>
      </c>
      <c r="H2551" s="153" t="s">
        <v>10</v>
      </c>
    </row>
    <row r="2552" spans="1:8" x14ac:dyDescent="0.25">
      <c r="A2552" s="73">
        <v>44798</v>
      </c>
      <c r="B2552" s="74" t="s">
        <v>27305</v>
      </c>
      <c r="C2552" s="75" t="s">
        <v>24284</v>
      </c>
      <c r="D2552" s="176">
        <v>606.79999999999995</v>
      </c>
      <c r="E2552" s="151">
        <v>44798</v>
      </c>
      <c r="F2552" s="176">
        <v>606.79999999999995</v>
      </c>
      <c r="G2552" s="177">
        <f>Tabla19[[#This Row],[Importe]]-Tabla19[[#This Row],[Pagado]]</f>
        <v>0</v>
      </c>
      <c r="H2552" s="75" t="s">
        <v>10</v>
      </c>
    </row>
    <row r="2553" spans="1:8" x14ac:dyDescent="0.25">
      <c r="A2553" s="148">
        <v>44798</v>
      </c>
      <c r="B2553" s="149" t="s">
        <v>27306</v>
      </c>
      <c r="C2553" s="153" t="s">
        <v>9827</v>
      </c>
      <c r="D2553" s="178">
        <v>2797.2</v>
      </c>
      <c r="E2553" s="155">
        <v>44798</v>
      </c>
      <c r="F2553" s="178">
        <v>2797.2</v>
      </c>
      <c r="G2553" s="179">
        <f>Tabla19[[#This Row],[Importe]]-Tabla19[[#This Row],[Pagado]]</f>
        <v>0</v>
      </c>
      <c r="H2553" s="153" t="s">
        <v>10</v>
      </c>
    </row>
    <row r="2554" spans="1:8" x14ac:dyDescent="0.25">
      <c r="A2554" s="73">
        <v>44798</v>
      </c>
      <c r="B2554" s="74" t="s">
        <v>27307</v>
      </c>
      <c r="C2554" s="75" t="s">
        <v>9827</v>
      </c>
      <c r="D2554" s="176">
        <v>1003.4</v>
      </c>
      <c r="E2554" s="151">
        <v>44798</v>
      </c>
      <c r="F2554" s="176">
        <v>1003.4</v>
      </c>
      <c r="G2554" s="177">
        <f>Tabla19[[#This Row],[Importe]]-Tabla19[[#This Row],[Pagado]]</f>
        <v>0</v>
      </c>
      <c r="H2554" s="75" t="s">
        <v>10</v>
      </c>
    </row>
    <row r="2555" spans="1:8" x14ac:dyDescent="0.25">
      <c r="A2555" s="148">
        <v>44798</v>
      </c>
      <c r="B2555" s="149" t="s">
        <v>27308</v>
      </c>
      <c r="C2555" s="153" t="s">
        <v>857</v>
      </c>
      <c r="D2555" s="178">
        <v>618.20000000000005</v>
      </c>
      <c r="E2555" s="155">
        <v>44798</v>
      </c>
      <c r="F2555" s="178">
        <v>618.20000000000005</v>
      </c>
      <c r="G2555" s="179">
        <f>Tabla19[[#This Row],[Importe]]-Tabla19[[#This Row],[Pagado]]</f>
        <v>0</v>
      </c>
      <c r="H2555" s="153" t="s">
        <v>10</v>
      </c>
    </row>
    <row r="2556" spans="1:8" x14ac:dyDescent="0.25">
      <c r="A2556" s="73">
        <v>44798</v>
      </c>
      <c r="B2556" s="74" t="s">
        <v>27309</v>
      </c>
      <c r="C2556" s="75" t="s">
        <v>31</v>
      </c>
      <c r="D2556" s="176">
        <v>4000</v>
      </c>
      <c r="E2556" s="151">
        <v>44798</v>
      </c>
      <c r="F2556" s="176">
        <v>4000</v>
      </c>
      <c r="G2556" s="177">
        <f>Tabla19[[#This Row],[Importe]]-Tabla19[[#This Row],[Pagado]]</f>
        <v>0</v>
      </c>
      <c r="H2556" s="75" t="s">
        <v>10</v>
      </c>
    </row>
    <row r="2557" spans="1:8" x14ac:dyDescent="0.25">
      <c r="A2557" s="148">
        <v>44798</v>
      </c>
      <c r="B2557" s="149" t="s">
        <v>27310</v>
      </c>
      <c r="C2557" s="153" t="s">
        <v>67</v>
      </c>
      <c r="D2557" s="178">
        <v>2026.9</v>
      </c>
      <c r="E2557" s="155">
        <v>44798</v>
      </c>
      <c r="F2557" s="178">
        <v>2026.9</v>
      </c>
      <c r="G2557" s="179">
        <f>Tabla19[[#This Row],[Importe]]-Tabla19[[#This Row],[Pagado]]</f>
        <v>0</v>
      </c>
      <c r="H2557" s="153" t="s">
        <v>10</v>
      </c>
    </row>
    <row r="2558" spans="1:8" ht="31.5" x14ac:dyDescent="0.25">
      <c r="A2558" s="73">
        <v>44798</v>
      </c>
      <c r="B2558" s="74" t="s">
        <v>27311</v>
      </c>
      <c r="C2558" s="75" t="s">
        <v>99</v>
      </c>
      <c r="D2558" s="176">
        <v>7179.3</v>
      </c>
      <c r="E2558" s="147" t="s">
        <v>27312</v>
      </c>
      <c r="F2558" s="176">
        <f>2000+5179.3</f>
        <v>7179.3</v>
      </c>
      <c r="G2558" s="177">
        <f>Tabla19[[#This Row],[Importe]]-Tabla19[[#This Row],[Pagado]]</f>
        <v>0</v>
      </c>
      <c r="H2558" s="75" t="s">
        <v>10</v>
      </c>
    </row>
    <row r="2559" spans="1:8" x14ac:dyDescent="0.25">
      <c r="A2559" s="148">
        <v>44798</v>
      </c>
      <c r="B2559" s="149" t="s">
        <v>27313</v>
      </c>
      <c r="C2559" s="153" t="s">
        <v>1174</v>
      </c>
      <c r="D2559" s="178">
        <v>18240</v>
      </c>
      <c r="E2559" s="155">
        <v>44798</v>
      </c>
      <c r="F2559" s="178">
        <v>18240</v>
      </c>
      <c r="G2559" s="179">
        <f>Tabla19[[#This Row],[Importe]]-Tabla19[[#This Row],[Pagado]]</f>
        <v>0</v>
      </c>
      <c r="H2559" s="153" t="s">
        <v>10</v>
      </c>
    </row>
    <row r="2560" spans="1:8" x14ac:dyDescent="0.25">
      <c r="A2560" s="73">
        <v>44798</v>
      </c>
      <c r="B2560" s="74" t="s">
        <v>27314</v>
      </c>
      <c r="C2560" s="75" t="s">
        <v>994</v>
      </c>
      <c r="D2560" s="176">
        <v>1528.8</v>
      </c>
      <c r="E2560" s="151">
        <v>44798</v>
      </c>
      <c r="F2560" s="176">
        <v>1528.8</v>
      </c>
      <c r="G2560" s="177">
        <f>Tabla19[[#This Row],[Importe]]-Tabla19[[#This Row],[Pagado]]</f>
        <v>0</v>
      </c>
      <c r="H2560" s="75" t="s">
        <v>10</v>
      </c>
    </row>
    <row r="2561" spans="1:8" x14ac:dyDescent="0.25">
      <c r="A2561" s="148">
        <v>44798</v>
      </c>
      <c r="B2561" s="149" t="s">
        <v>27315</v>
      </c>
      <c r="C2561" s="153" t="s">
        <v>9</v>
      </c>
      <c r="D2561" s="178">
        <v>4312.5</v>
      </c>
      <c r="E2561" s="155">
        <v>44798</v>
      </c>
      <c r="F2561" s="178">
        <v>4312.5</v>
      </c>
      <c r="G2561" s="179">
        <f>Tabla19[[#This Row],[Importe]]-Tabla19[[#This Row],[Pagado]]</f>
        <v>0</v>
      </c>
      <c r="H2561" s="153" t="s">
        <v>10</v>
      </c>
    </row>
    <row r="2562" spans="1:8" x14ac:dyDescent="0.25">
      <c r="A2562" s="73">
        <v>44798</v>
      </c>
      <c r="B2562" s="74" t="s">
        <v>27316</v>
      </c>
      <c r="C2562" s="75" t="s">
        <v>2020</v>
      </c>
      <c r="D2562" s="176">
        <v>20150</v>
      </c>
      <c r="E2562" s="151">
        <v>44798</v>
      </c>
      <c r="F2562" s="176">
        <v>20150</v>
      </c>
      <c r="G2562" s="177">
        <f>Tabla19[[#This Row],[Importe]]-Tabla19[[#This Row],[Pagado]]</f>
        <v>0</v>
      </c>
      <c r="H2562" s="75" t="s">
        <v>10</v>
      </c>
    </row>
    <row r="2563" spans="1:8" x14ac:dyDescent="0.25">
      <c r="A2563" s="148">
        <v>44798</v>
      </c>
      <c r="B2563" s="149" t="s">
        <v>27317</v>
      </c>
      <c r="C2563" s="153" t="s">
        <v>612</v>
      </c>
      <c r="D2563" s="178">
        <v>510</v>
      </c>
      <c r="E2563" s="155">
        <v>44798</v>
      </c>
      <c r="F2563" s="178">
        <v>510</v>
      </c>
      <c r="G2563" s="179">
        <f>Tabla19[[#This Row],[Importe]]-Tabla19[[#This Row],[Pagado]]</f>
        <v>0</v>
      </c>
      <c r="H2563" s="153" t="s">
        <v>10</v>
      </c>
    </row>
    <row r="2564" spans="1:8" x14ac:dyDescent="0.25">
      <c r="A2564" s="73">
        <v>44798</v>
      </c>
      <c r="B2564" s="74" t="s">
        <v>27318</v>
      </c>
      <c r="C2564" s="75" t="s">
        <v>6112</v>
      </c>
      <c r="D2564" s="176">
        <v>5855</v>
      </c>
      <c r="E2564" s="151">
        <v>44798</v>
      </c>
      <c r="F2564" s="176">
        <v>5855</v>
      </c>
      <c r="G2564" s="177">
        <f>Tabla19[[#This Row],[Importe]]-Tabla19[[#This Row],[Pagado]]</f>
        <v>0</v>
      </c>
      <c r="H2564" s="75" t="s">
        <v>10</v>
      </c>
    </row>
    <row r="2565" spans="1:8" x14ac:dyDescent="0.25">
      <c r="A2565" s="148">
        <v>44798</v>
      </c>
      <c r="B2565" s="149" t="s">
        <v>27319</v>
      </c>
      <c r="C2565" s="153" t="s">
        <v>654</v>
      </c>
      <c r="D2565" s="178">
        <v>847</v>
      </c>
      <c r="E2565" s="155">
        <v>44798</v>
      </c>
      <c r="F2565" s="178">
        <v>847</v>
      </c>
      <c r="G2565" s="179">
        <f>Tabla19[[#This Row],[Importe]]-Tabla19[[#This Row],[Pagado]]</f>
        <v>0</v>
      </c>
      <c r="H2565" s="153" t="s">
        <v>10</v>
      </c>
    </row>
    <row r="2566" spans="1:8" x14ac:dyDescent="0.25">
      <c r="A2566" s="73">
        <v>44798</v>
      </c>
      <c r="B2566" s="74" t="s">
        <v>27320</v>
      </c>
      <c r="C2566" s="75" t="s">
        <v>31</v>
      </c>
      <c r="D2566" s="176">
        <v>116</v>
      </c>
      <c r="E2566" s="151">
        <v>44798</v>
      </c>
      <c r="F2566" s="176">
        <v>116</v>
      </c>
      <c r="G2566" s="177">
        <f>Tabla19[[#This Row],[Importe]]-Tabla19[[#This Row],[Pagado]]</f>
        <v>0</v>
      </c>
      <c r="H2566" s="75" t="s">
        <v>10</v>
      </c>
    </row>
    <row r="2567" spans="1:8" x14ac:dyDescent="0.25">
      <c r="A2567" s="148">
        <v>44798</v>
      </c>
      <c r="B2567" s="149" t="s">
        <v>27321</v>
      </c>
      <c r="C2567" s="153" t="s">
        <v>56</v>
      </c>
      <c r="D2567" s="178">
        <v>6528.9</v>
      </c>
      <c r="E2567" s="155">
        <v>44798</v>
      </c>
      <c r="F2567" s="178">
        <v>6528.9</v>
      </c>
      <c r="G2567" s="179">
        <f>Tabla19[[#This Row],[Importe]]-Tabla19[[#This Row],[Pagado]]</f>
        <v>0</v>
      </c>
      <c r="H2567" s="153" t="s">
        <v>10</v>
      </c>
    </row>
    <row r="2568" spans="1:8" x14ac:dyDescent="0.25">
      <c r="A2568" s="73">
        <v>44798</v>
      </c>
      <c r="B2568" s="74" t="s">
        <v>27322</v>
      </c>
      <c r="C2568" s="75" t="s">
        <v>450</v>
      </c>
      <c r="D2568" s="176">
        <v>8095.6</v>
      </c>
      <c r="E2568" s="151">
        <v>44798</v>
      </c>
      <c r="F2568" s="176">
        <v>8095.6</v>
      </c>
      <c r="G2568" s="177">
        <f>Tabla19[[#This Row],[Importe]]-Tabla19[[#This Row],[Pagado]]</f>
        <v>0</v>
      </c>
      <c r="H2568" s="75" t="s">
        <v>10</v>
      </c>
    </row>
    <row r="2569" spans="1:8" x14ac:dyDescent="0.25">
      <c r="A2569" s="148">
        <v>44798</v>
      </c>
      <c r="B2569" s="149" t="s">
        <v>27323</v>
      </c>
      <c r="C2569" s="153" t="s">
        <v>24</v>
      </c>
      <c r="D2569" s="178">
        <v>1859</v>
      </c>
      <c r="E2569" s="155">
        <v>44798</v>
      </c>
      <c r="F2569" s="178">
        <v>1859</v>
      </c>
      <c r="G2569" s="179">
        <f>Tabla19[[#This Row],[Importe]]-Tabla19[[#This Row],[Pagado]]</f>
        <v>0</v>
      </c>
      <c r="H2569" s="153" t="s">
        <v>10</v>
      </c>
    </row>
    <row r="2570" spans="1:8" x14ac:dyDescent="0.25">
      <c r="A2570" s="73">
        <v>44798</v>
      </c>
      <c r="B2570" s="74" t="s">
        <v>27324</v>
      </c>
      <c r="C2570" s="75" t="s">
        <v>275</v>
      </c>
      <c r="D2570" s="176">
        <v>39851.4</v>
      </c>
      <c r="E2570" s="151">
        <v>44823</v>
      </c>
      <c r="F2570" s="176">
        <v>39851.4</v>
      </c>
      <c r="G2570" s="177">
        <f>Tabla19[[#This Row],[Importe]]-Tabla19[[#This Row],[Pagado]]</f>
        <v>0</v>
      </c>
      <c r="H2570" s="75" t="s">
        <v>10</v>
      </c>
    </row>
    <row r="2571" spans="1:8" x14ac:dyDescent="0.25">
      <c r="A2571" s="148">
        <v>44798</v>
      </c>
      <c r="B2571" s="149" t="s">
        <v>27325</v>
      </c>
      <c r="C2571" s="153" t="s">
        <v>58</v>
      </c>
      <c r="D2571" s="178">
        <v>1482</v>
      </c>
      <c r="E2571" s="155">
        <v>44798</v>
      </c>
      <c r="F2571" s="178">
        <v>1482</v>
      </c>
      <c r="G2571" s="179">
        <f>Tabla19[[#This Row],[Importe]]-Tabla19[[#This Row],[Pagado]]</f>
        <v>0</v>
      </c>
      <c r="H2571" s="153" t="s">
        <v>10</v>
      </c>
    </row>
    <row r="2572" spans="1:8" x14ac:dyDescent="0.25">
      <c r="A2572" s="73">
        <v>44798</v>
      </c>
      <c r="B2572" s="74" t="s">
        <v>27326</v>
      </c>
      <c r="C2572" s="75" t="s">
        <v>196</v>
      </c>
      <c r="D2572" s="176">
        <v>137590.51999999999</v>
      </c>
      <c r="E2572" s="151">
        <v>44799</v>
      </c>
      <c r="F2572" s="176">
        <v>137590.51999999999</v>
      </c>
      <c r="G2572" s="177">
        <f>Tabla19[[#This Row],[Importe]]-Tabla19[[#This Row],[Pagado]]</f>
        <v>0</v>
      </c>
      <c r="H2572" s="75" t="s">
        <v>10</v>
      </c>
    </row>
    <row r="2573" spans="1:8" x14ac:dyDescent="0.25">
      <c r="A2573" s="148">
        <v>44798</v>
      </c>
      <c r="B2573" s="149" t="s">
        <v>27327</v>
      </c>
      <c r="C2573" s="153" t="s">
        <v>10678</v>
      </c>
      <c r="D2573" s="178">
        <v>5285.8</v>
      </c>
      <c r="E2573" s="155">
        <v>44798</v>
      </c>
      <c r="F2573" s="178">
        <v>5285.8</v>
      </c>
      <c r="G2573" s="179">
        <f>Tabla19[[#This Row],[Importe]]-Tabla19[[#This Row],[Pagado]]</f>
        <v>0</v>
      </c>
      <c r="H2573" s="153" t="s">
        <v>10</v>
      </c>
    </row>
    <row r="2574" spans="1:8" x14ac:dyDescent="0.25">
      <c r="A2574" s="73">
        <v>44798</v>
      </c>
      <c r="B2574" s="74" t="s">
        <v>27328</v>
      </c>
      <c r="C2574" s="75" t="s">
        <v>31</v>
      </c>
      <c r="D2574" s="176">
        <v>4377.6000000000004</v>
      </c>
      <c r="E2574" s="151">
        <v>44798</v>
      </c>
      <c r="F2574" s="176">
        <v>4377.6000000000004</v>
      </c>
      <c r="G2574" s="177">
        <f>Tabla19[[#This Row],[Importe]]-Tabla19[[#This Row],[Pagado]]</f>
        <v>0</v>
      </c>
      <c r="H2574" s="75" t="s">
        <v>10</v>
      </c>
    </row>
    <row r="2575" spans="1:8" x14ac:dyDescent="0.25">
      <c r="A2575" s="148">
        <v>44798</v>
      </c>
      <c r="B2575" s="149" t="s">
        <v>27329</v>
      </c>
      <c r="C2575" s="153" t="s">
        <v>9993</v>
      </c>
      <c r="D2575" s="178">
        <v>38739.599999999999</v>
      </c>
      <c r="E2575" s="155">
        <v>44798</v>
      </c>
      <c r="F2575" s="178">
        <v>38739.599999999999</v>
      </c>
      <c r="G2575" s="179">
        <f>Tabla19[[#This Row],[Importe]]-Tabla19[[#This Row],[Pagado]]</f>
        <v>0</v>
      </c>
      <c r="H2575" s="153" t="s">
        <v>10</v>
      </c>
    </row>
    <row r="2576" spans="1:8" x14ac:dyDescent="0.25">
      <c r="A2576" s="73">
        <v>44798</v>
      </c>
      <c r="B2576" s="74" t="s">
        <v>27330</v>
      </c>
      <c r="C2576" s="75" t="s">
        <v>31</v>
      </c>
      <c r="D2576" s="176">
        <v>6108</v>
      </c>
      <c r="E2576" s="151">
        <v>44798</v>
      </c>
      <c r="F2576" s="176">
        <v>6108</v>
      </c>
      <c r="G2576" s="177">
        <f>Tabla19[[#This Row],[Importe]]-Tabla19[[#This Row],[Pagado]]</f>
        <v>0</v>
      </c>
      <c r="H2576" s="75" t="s">
        <v>10</v>
      </c>
    </row>
    <row r="2577" spans="1:8" x14ac:dyDescent="0.25">
      <c r="A2577" s="148">
        <v>44798</v>
      </c>
      <c r="B2577" s="149" t="s">
        <v>27331</v>
      </c>
      <c r="C2577" s="153" t="s">
        <v>934</v>
      </c>
      <c r="D2577" s="178">
        <v>8131</v>
      </c>
      <c r="E2577" s="155">
        <v>44799</v>
      </c>
      <c r="F2577" s="178">
        <v>8131</v>
      </c>
      <c r="G2577" s="179">
        <f>Tabla19[[#This Row],[Importe]]-Tabla19[[#This Row],[Pagado]]</f>
        <v>0</v>
      </c>
      <c r="H2577" s="153" t="s">
        <v>10</v>
      </c>
    </row>
    <row r="2578" spans="1:8" x14ac:dyDescent="0.25">
      <c r="A2578" s="73">
        <v>44798</v>
      </c>
      <c r="B2578" s="74" t="s">
        <v>27332</v>
      </c>
      <c r="C2578" s="75" t="s">
        <v>9993</v>
      </c>
      <c r="D2578" s="176">
        <v>9277.2000000000007</v>
      </c>
      <c r="E2578" s="151">
        <v>44798</v>
      </c>
      <c r="F2578" s="176">
        <v>9277.2000000000007</v>
      </c>
      <c r="G2578" s="177">
        <f>Tabla19[[#This Row],[Importe]]-Tabla19[[#This Row],[Pagado]]</f>
        <v>0</v>
      </c>
      <c r="H2578" s="75" t="s">
        <v>10</v>
      </c>
    </row>
    <row r="2579" spans="1:8" x14ac:dyDescent="0.25">
      <c r="A2579" s="148">
        <v>44798</v>
      </c>
      <c r="B2579" s="149" t="s">
        <v>27333</v>
      </c>
      <c r="C2579" s="153" t="s">
        <v>365</v>
      </c>
      <c r="D2579" s="178">
        <v>1203.5999999999999</v>
      </c>
      <c r="E2579" s="155">
        <v>44798</v>
      </c>
      <c r="F2579" s="178">
        <v>1203.5999999999999</v>
      </c>
      <c r="G2579" s="179">
        <f>Tabla19[[#This Row],[Importe]]-Tabla19[[#This Row],[Pagado]]</f>
        <v>0</v>
      </c>
      <c r="H2579" s="153" t="s">
        <v>10</v>
      </c>
    </row>
    <row r="2580" spans="1:8" x14ac:dyDescent="0.25">
      <c r="A2580" s="73">
        <v>44798</v>
      </c>
      <c r="B2580" s="74" t="s">
        <v>27334</v>
      </c>
      <c r="C2580" s="75" t="s">
        <v>31</v>
      </c>
      <c r="D2580" s="176">
        <v>132</v>
      </c>
      <c r="E2580" s="151">
        <v>44798</v>
      </c>
      <c r="F2580" s="176">
        <v>132</v>
      </c>
      <c r="G2580" s="177">
        <f>Tabla19[[#This Row],[Importe]]-Tabla19[[#This Row],[Pagado]]</f>
        <v>0</v>
      </c>
      <c r="H2580" s="75" t="s">
        <v>10</v>
      </c>
    </row>
    <row r="2581" spans="1:8" x14ac:dyDescent="0.25">
      <c r="A2581" s="148">
        <v>44798</v>
      </c>
      <c r="B2581" s="149" t="s">
        <v>27335</v>
      </c>
      <c r="C2581" s="153" t="s">
        <v>9993</v>
      </c>
      <c r="D2581" s="178">
        <v>2678.4</v>
      </c>
      <c r="E2581" s="155">
        <v>44798</v>
      </c>
      <c r="F2581" s="178">
        <v>2678.4</v>
      </c>
      <c r="G2581" s="179">
        <f>Tabla19[[#This Row],[Importe]]-Tabla19[[#This Row],[Pagado]]</f>
        <v>0</v>
      </c>
      <c r="H2581" s="153" t="s">
        <v>10</v>
      </c>
    </row>
    <row r="2582" spans="1:8" x14ac:dyDescent="0.25">
      <c r="A2582" s="73">
        <v>44798</v>
      </c>
      <c r="B2582" s="74" t="s">
        <v>27336</v>
      </c>
      <c r="C2582" s="75" t="s">
        <v>454</v>
      </c>
      <c r="D2582" s="176">
        <v>2400</v>
      </c>
      <c r="E2582" s="151">
        <v>44798</v>
      </c>
      <c r="F2582" s="176">
        <v>2400</v>
      </c>
      <c r="G2582" s="177">
        <f>Tabla19[[#This Row],[Importe]]-Tabla19[[#This Row],[Pagado]]</f>
        <v>0</v>
      </c>
      <c r="H2582" s="75" t="s">
        <v>10</v>
      </c>
    </row>
    <row r="2583" spans="1:8" x14ac:dyDescent="0.25">
      <c r="A2583" s="148">
        <v>44798</v>
      </c>
      <c r="B2583" s="149" t="s">
        <v>27337</v>
      </c>
      <c r="C2583" s="153" t="s">
        <v>31</v>
      </c>
      <c r="D2583" s="178">
        <v>976</v>
      </c>
      <c r="E2583" s="155">
        <v>44798</v>
      </c>
      <c r="F2583" s="178">
        <v>976</v>
      </c>
      <c r="G2583" s="179">
        <f>Tabla19[[#This Row],[Importe]]-Tabla19[[#This Row],[Pagado]]</f>
        <v>0</v>
      </c>
      <c r="H2583" s="153" t="s">
        <v>10</v>
      </c>
    </row>
    <row r="2584" spans="1:8" x14ac:dyDescent="0.25">
      <c r="A2584" s="73">
        <v>44798</v>
      </c>
      <c r="B2584" s="74" t="s">
        <v>27338</v>
      </c>
      <c r="C2584" s="75" t="s">
        <v>442</v>
      </c>
      <c r="D2584" s="176">
        <v>5850</v>
      </c>
      <c r="E2584" s="151">
        <v>44798</v>
      </c>
      <c r="F2584" s="176">
        <v>5850</v>
      </c>
      <c r="G2584" s="177">
        <f>Tabla19[[#This Row],[Importe]]-Tabla19[[#This Row],[Pagado]]</f>
        <v>0</v>
      </c>
      <c r="H2584" s="75" t="s">
        <v>10</v>
      </c>
    </row>
    <row r="2585" spans="1:8" x14ac:dyDescent="0.25">
      <c r="A2585" s="148">
        <v>44798</v>
      </c>
      <c r="B2585" s="149" t="s">
        <v>27339</v>
      </c>
      <c r="C2585" s="153" t="s">
        <v>729</v>
      </c>
      <c r="D2585" s="178">
        <v>27067.599999999999</v>
      </c>
      <c r="E2585" s="155">
        <v>44799</v>
      </c>
      <c r="F2585" s="178">
        <v>27067.599999999999</v>
      </c>
      <c r="G2585" s="179">
        <f>Tabla19[[#This Row],[Importe]]-Tabla19[[#This Row],[Pagado]]</f>
        <v>0</v>
      </c>
      <c r="H2585" s="153" t="s">
        <v>10</v>
      </c>
    </row>
    <row r="2586" spans="1:8" x14ac:dyDescent="0.25">
      <c r="A2586" s="73">
        <v>44798</v>
      </c>
      <c r="B2586" s="74" t="s">
        <v>27340</v>
      </c>
      <c r="C2586" s="75" t="s">
        <v>10775</v>
      </c>
      <c r="D2586" s="176">
        <v>0</v>
      </c>
      <c r="E2586" s="157" t="s">
        <v>189</v>
      </c>
      <c r="F2586" s="176">
        <v>0</v>
      </c>
      <c r="G2586" s="177">
        <f>Tabla19[[#This Row],[Importe]]-Tabla19[[#This Row],[Pagado]]</f>
        <v>0</v>
      </c>
      <c r="H2586" s="75" t="s">
        <v>189</v>
      </c>
    </row>
    <row r="2587" spans="1:8" x14ac:dyDescent="0.25">
      <c r="A2587" s="148">
        <v>44798</v>
      </c>
      <c r="B2587" s="149" t="s">
        <v>27341</v>
      </c>
      <c r="C2587" s="153" t="s">
        <v>414</v>
      </c>
      <c r="D2587" s="178">
        <v>143856.4</v>
      </c>
      <c r="E2587" s="155">
        <v>44823</v>
      </c>
      <c r="F2587" s="178">
        <v>143856.4</v>
      </c>
      <c r="G2587" s="179">
        <f>Tabla19[[#This Row],[Importe]]-Tabla19[[#This Row],[Pagado]]</f>
        <v>0</v>
      </c>
      <c r="H2587" s="153" t="s">
        <v>10</v>
      </c>
    </row>
    <row r="2588" spans="1:8" x14ac:dyDescent="0.25">
      <c r="A2588" s="73">
        <v>44798</v>
      </c>
      <c r="B2588" s="74" t="s">
        <v>27342</v>
      </c>
      <c r="C2588" s="75" t="s">
        <v>31</v>
      </c>
      <c r="D2588" s="176">
        <v>50</v>
      </c>
      <c r="E2588" s="151">
        <v>44799</v>
      </c>
      <c r="F2588" s="176">
        <v>50</v>
      </c>
      <c r="G2588" s="177">
        <f>Tabla19[[#This Row],[Importe]]-Tabla19[[#This Row],[Pagado]]</f>
        <v>0</v>
      </c>
      <c r="H2588" s="75" t="s">
        <v>10</v>
      </c>
    </row>
    <row r="2589" spans="1:8" x14ac:dyDescent="0.25">
      <c r="A2589" s="148">
        <v>44799</v>
      </c>
      <c r="B2589" s="149" t="s">
        <v>27343</v>
      </c>
      <c r="C2589" s="153" t="s">
        <v>887</v>
      </c>
      <c r="D2589" s="178">
        <v>13979.9</v>
      </c>
      <c r="E2589" s="155">
        <v>44799</v>
      </c>
      <c r="F2589" s="178">
        <v>13979.9</v>
      </c>
      <c r="G2589" s="179">
        <f>Tabla19[[#This Row],[Importe]]-Tabla19[[#This Row],[Pagado]]</f>
        <v>0</v>
      </c>
      <c r="H2589" s="153" t="s">
        <v>10</v>
      </c>
    </row>
    <row r="2590" spans="1:8" x14ac:dyDescent="0.25">
      <c r="A2590" s="73">
        <v>44799</v>
      </c>
      <c r="B2590" s="74" t="s">
        <v>27344</v>
      </c>
      <c r="C2590" s="75" t="s">
        <v>475</v>
      </c>
      <c r="D2590" s="176">
        <v>60145.5</v>
      </c>
      <c r="E2590" s="151">
        <v>44800</v>
      </c>
      <c r="F2590" s="176">
        <v>60145.5</v>
      </c>
      <c r="G2590" s="177">
        <f>Tabla19[[#This Row],[Importe]]-Tabla19[[#This Row],[Pagado]]</f>
        <v>0</v>
      </c>
      <c r="H2590" s="75" t="s">
        <v>10</v>
      </c>
    </row>
    <row r="2591" spans="1:8" x14ac:dyDescent="0.25">
      <c r="A2591" s="148">
        <v>44799</v>
      </c>
      <c r="B2591" s="149" t="s">
        <v>27345</v>
      </c>
      <c r="C2591" s="153" t="s">
        <v>12</v>
      </c>
      <c r="D2591" s="178">
        <v>21089</v>
      </c>
      <c r="E2591" s="155">
        <v>44799</v>
      </c>
      <c r="F2591" s="178">
        <v>21089</v>
      </c>
      <c r="G2591" s="179">
        <f>Tabla19[[#This Row],[Importe]]-Tabla19[[#This Row],[Pagado]]</f>
        <v>0</v>
      </c>
      <c r="H2591" s="153" t="s">
        <v>10</v>
      </c>
    </row>
    <row r="2592" spans="1:8" x14ac:dyDescent="0.25">
      <c r="A2592" s="73">
        <v>44799</v>
      </c>
      <c r="B2592" s="74" t="s">
        <v>27346</v>
      </c>
      <c r="C2592" s="75" t="s">
        <v>109</v>
      </c>
      <c r="D2592" s="176">
        <v>4989.6000000000004</v>
      </c>
      <c r="E2592" s="151">
        <v>44800</v>
      </c>
      <c r="F2592" s="176">
        <v>4989.6000000000004</v>
      </c>
      <c r="G2592" s="177">
        <f>Tabla19[[#This Row],[Importe]]-Tabla19[[#This Row],[Pagado]]</f>
        <v>0</v>
      </c>
      <c r="H2592" s="75" t="s">
        <v>10</v>
      </c>
    </row>
    <row r="2593" spans="1:8" x14ac:dyDescent="0.25">
      <c r="A2593" s="148">
        <v>44799</v>
      </c>
      <c r="B2593" s="149" t="s">
        <v>27347</v>
      </c>
      <c r="C2593" s="153" t="s">
        <v>348</v>
      </c>
      <c r="D2593" s="178">
        <v>9591.2000000000007</v>
      </c>
      <c r="E2593" s="155">
        <v>44799</v>
      </c>
      <c r="F2593" s="178">
        <v>9591.2000000000007</v>
      </c>
      <c r="G2593" s="179">
        <f>Tabla19[[#This Row],[Importe]]-Tabla19[[#This Row],[Pagado]]</f>
        <v>0</v>
      </c>
      <c r="H2593" s="153" t="s">
        <v>10</v>
      </c>
    </row>
    <row r="2594" spans="1:8" x14ac:dyDescent="0.25">
      <c r="A2594" s="73">
        <v>44799</v>
      </c>
      <c r="B2594" s="74" t="s">
        <v>27348</v>
      </c>
      <c r="C2594" s="75" t="s">
        <v>5043</v>
      </c>
      <c r="D2594" s="176">
        <v>5102.5</v>
      </c>
      <c r="E2594" s="151">
        <v>44802</v>
      </c>
      <c r="F2594" s="176">
        <v>5102.5</v>
      </c>
      <c r="G2594" s="177">
        <f>Tabla19[[#This Row],[Importe]]-Tabla19[[#This Row],[Pagado]]</f>
        <v>0</v>
      </c>
      <c r="H2594" s="75" t="s">
        <v>10</v>
      </c>
    </row>
    <row r="2595" spans="1:8" x14ac:dyDescent="0.25">
      <c r="A2595" s="148">
        <v>44799</v>
      </c>
      <c r="B2595" s="149" t="s">
        <v>27349</v>
      </c>
      <c r="C2595" s="153" t="s">
        <v>407</v>
      </c>
      <c r="D2595" s="178">
        <v>23606</v>
      </c>
      <c r="E2595" s="155">
        <v>44812</v>
      </c>
      <c r="F2595" s="178">
        <v>23606</v>
      </c>
      <c r="G2595" s="179">
        <f>Tabla19[[#This Row],[Importe]]-Tabla19[[#This Row],[Pagado]]</f>
        <v>0</v>
      </c>
      <c r="H2595" s="153" t="s">
        <v>10</v>
      </c>
    </row>
    <row r="2596" spans="1:8" x14ac:dyDescent="0.25">
      <c r="A2596" s="73">
        <v>44799</v>
      </c>
      <c r="B2596" s="74" t="s">
        <v>27350</v>
      </c>
      <c r="C2596" s="75" t="s">
        <v>105</v>
      </c>
      <c r="D2596" s="176">
        <v>7344.9</v>
      </c>
      <c r="E2596" s="151">
        <v>44800</v>
      </c>
      <c r="F2596" s="176">
        <v>7344.9</v>
      </c>
      <c r="G2596" s="177">
        <f>Tabla19[[#This Row],[Importe]]-Tabla19[[#This Row],[Pagado]]</f>
        <v>0</v>
      </c>
      <c r="H2596" s="75" t="s">
        <v>10</v>
      </c>
    </row>
    <row r="2597" spans="1:8" x14ac:dyDescent="0.25">
      <c r="A2597" s="148">
        <v>44799</v>
      </c>
      <c r="B2597" s="149" t="s">
        <v>27351</v>
      </c>
      <c r="C2597" s="153" t="s">
        <v>64</v>
      </c>
      <c r="D2597" s="178">
        <v>4790.5</v>
      </c>
      <c r="E2597" s="155">
        <v>44800</v>
      </c>
      <c r="F2597" s="178">
        <v>4790.5</v>
      </c>
      <c r="G2597" s="179">
        <f>Tabla19[[#This Row],[Importe]]-Tabla19[[#This Row],[Pagado]]</f>
        <v>0</v>
      </c>
      <c r="H2597" s="153" t="s">
        <v>10</v>
      </c>
    </row>
    <row r="2598" spans="1:8" x14ac:dyDescent="0.25">
      <c r="A2598" s="73">
        <v>44799</v>
      </c>
      <c r="B2598" s="74" t="s">
        <v>27352</v>
      </c>
      <c r="C2598" s="75" t="s">
        <v>2151</v>
      </c>
      <c r="D2598" s="176">
        <v>24027.599999999999</v>
      </c>
      <c r="E2598" s="151">
        <v>44799</v>
      </c>
      <c r="F2598" s="176">
        <v>24027.599999999999</v>
      </c>
      <c r="G2598" s="177">
        <f>Tabla19[[#This Row],[Importe]]-Tabla19[[#This Row],[Pagado]]</f>
        <v>0</v>
      </c>
      <c r="H2598" s="75" t="s">
        <v>10</v>
      </c>
    </row>
    <row r="2599" spans="1:8" x14ac:dyDescent="0.25">
      <c r="A2599" s="148">
        <v>44799</v>
      </c>
      <c r="B2599" s="149" t="s">
        <v>27353</v>
      </c>
      <c r="C2599" s="153" t="s">
        <v>22</v>
      </c>
      <c r="D2599" s="178">
        <v>43776.7</v>
      </c>
      <c r="E2599" s="155">
        <v>44800</v>
      </c>
      <c r="F2599" s="178">
        <v>43776.7</v>
      </c>
      <c r="G2599" s="179">
        <f>Tabla19[[#This Row],[Importe]]-Tabla19[[#This Row],[Pagado]]</f>
        <v>0</v>
      </c>
      <c r="H2599" s="153" t="s">
        <v>10</v>
      </c>
    </row>
    <row r="2600" spans="1:8" x14ac:dyDescent="0.25">
      <c r="A2600" s="73">
        <v>44799</v>
      </c>
      <c r="B2600" s="74" t="s">
        <v>27354</v>
      </c>
      <c r="C2600" s="75" t="s">
        <v>93</v>
      </c>
      <c r="D2600" s="176">
        <v>10037.6</v>
      </c>
      <c r="E2600" s="151">
        <v>44802</v>
      </c>
      <c r="F2600" s="176">
        <v>10037.6</v>
      </c>
      <c r="G2600" s="177">
        <f>Tabla19[[#This Row],[Importe]]-Tabla19[[#This Row],[Pagado]]</f>
        <v>0</v>
      </c>
      <c r="H2600" s="75" t="s">
        <v>10</v>
      </c>
    </row>
    <row r="2601" spans="1:8" x14ac:dyDescent="0.25">
      <c r="A2601" s="148">
        <v>44799</v>
      </c>
      <c r="B2601" s="149" t="s">
        <v>27355</v>
      </c>
      <c r="C2601" s="153" t="s">
        <v>647</v>
      </c>
      <c r="D2601" s="178">
        <v>5066.8999999999996</v>
      </c>
      <c r="E2601" s="155">
        <v>44799</v>
      </c>
      <c r="F2601" s="178">
        <v>5066.8999999999996</v>
      </c>
      <c r="G2601" s="179">
        <f>Tabla19[[#This Row],[Importe]]-Tabla19[[#This Row],[Pagado]]</f>
        <v>0</v>
      </c>
      <c r="H2601" s="153" t="s">
        <v>10</v>
      </c>
    </row>
    <row r="2602" spans="1:8" x14ac:dyDescent="0.25">
      <c r="A2602" s="73">
        <v>44799</v>
      </c>
      <c r="B2602" s="74" t="s">
        <v>27356</v>
      </c>
      <c r="C2602" s="75" t="s">
        <v>89</v>
      </c>
      <c r="D2602" s="176">
        <v>4292.1000000000004</v>
      </c>
      <c r="E2602" s="151">
        <v>44800</v>
      </c>
      <c r="F2602" s="176">
        <v>4292.1000000000004</v>
      </c>
      <c r="G2602" s="177">
        <f>Tabla19[[#This Row],[Importe]]-Tabla19[[#This Row],[Pagado]]</f>
        <v>0</v>
      </c>
      <c r="H2602" s="75" t="s">
        <v>10</v>
      </c>
    </row>
    <row r="2603" spans="1:8" x14ac:dyDescent="0.25">
      <c r="A2603" s="148">
        <v>44799</v>
      </c>
      <c r="B2603" s="149" t="s">
        <v>27357</v>
      </c>
      <c r="C2603" s="153" t="s">
        <v>481</v>
      </c>
      <c r="D2603" s="178">
        <v>1057</v>
      </c>
      <c r="E2603" s="155">
        <v>44799</v>
      </c>
      <c r="F2603" s="178">
        <v>1057</v>
      </c>
      <c r="G2603" s="179">
        <f>Tabla19[[#This Row],[Importe]]-Tabla19[[#This Row],[Pagado]]</f>
        <v>0</v>
      </c>
      <c r="H2603" s="153" t="s">
        <v>10</v>
      </c>
    </row>
    <row r="2604" spans="1:8" x14ac:dyDescent="0.25">
      <c r="A2604" s="73">
        <v>44799</v>
      </c>
      <c r="B2604" s="74" t="s">
        <v>27358</v>
      </c>
      <c r="C2604" s="75" t="s">
        <v>114</v>
      </c>
      <c r="D2604" s="176">
        <v>12886.9</v>
      </c>
      <c r="E2604" s="151">
        <v>44800</v>
      </c>
      <c r="F2604" s="176">
        <v>12886.9</v>
      </c>
      <c r="G2604" s="177">
        <f>Tabla19[[#This Row],[Importe]]-Tabla19[[#This Row],[Pagado]]</f>
        <v>0</v>
      </c>
      <c r="H2604" s="75" t="s">
        <v>10</v>
      </c>
    </row>
    <row r="2605" spans="1:8" x14ac:dyDescent="0.25">
      <c r="A2605" s="148">
        <v>44799</v>
      </c>
      <c r="B2605" s="149" t="s">
        <v>27359</v>
      </c>
      <c r="C2605" s="153" t="s">
        <v>9</v>
      </c>
      <c r="D2605" s="178">
        <v>6686.7</v>
      </c>
      <c r="E2605" s="155">
        <v>44799</v>
      </c>
      <c r="F2605" s="178">
        <v>6686.7</v>
      </c>
      <c r="G2605" s="179">
        <f>Tabla19[[#This Row],[Importe]]-Tabla19[[#This Row],[Pagado]]</f>
        <v>0</v>
      </c>
      <c r="H2605" s="153" t="s">
        <v>10</v>
      </c>
    </row>
    <row r="2606" spans="1:8" x14ac:dyDescent="0.25">
      <c r="A2606" s="73">
        <v>44799</v>
      </c>
      <c r="B2606" s="74" t="s">
        <v>27360</v>
      </c>
      <c r="C2606" s="75" t="s">
        <v>1187</v>
      </c>
      <c r="D2606" s="176">
        <v>2444.9</v>
      </c>
      <c r="E2606" s="151">
        <v>44799</v>
      </c>
      <c r="F2606" s="176">
        <v>2444.9</v>
      </c>
      <c r="G2606" s="177">
        <f>Tabla19[[#This Row],[Importe]]-Tabla19[[#This Row],[Pagado]]</f>
        <v>0</v>
      </c>
      <c r="H2606" s="75" t="s">
        <v>10</v>
      </c>
    </row>
    <row r="2607" spans="1:8" x14ac:dyDescent="0.25">
      <c r="A2607" s="148">
        <v>44799</v>
      </c>
      <c r="B2607" s="149" t="s">
        <v>27361</v>
      </c>
      <c r="C2607" s="153" t="s">
        <v>218</v>
      </c>
      <c r="D2607" s="178">
        <v>27667.4</v>
      </c>
      <c r="E2607" s="155">
        <v>44803</v>
      </c>
      <c r="F2607" s="178">
        <v>27667.4</v>
      </c>
      <c r="G2607" s="179">
        <f>Tabla19[[#This Row],[Importe]]-Tabla19[[#This Row],[Pagado]]</f>
        <v>0</v>
      </c>
      <c r="H2607" s="153" t="s">
        <v>10</v>
      </c>
    </row>
    <row r="2608" spans="1:8" x14ac:dyDescent="0.25">
      <c r="A2608" s="73">
        <v>44799</v>
      </c>
      <c r="B2608" s="74" t="s">
        <v>27362</v>
      </c>
      <c r="C2608" s="75" t="s">
        <v>206</v>
      </c>
      <c r="D2608" s="176">
        <v>31987.7</v>
      </c>
      <c r="E2608" s="151">
        <v>44803</v>
      </c>
      <c r="F2608" s="176">
        <v>31987.7</v>
      </c>
      <c r="G2608" s="177">
        <f>Tabla19[[#This Row],[Importe]]-Tabla19[[#This Row],[Pagado]]</f>
        <v>0</v>
      </c>
      <c r="H2608" s="75" t="s">
        <v>10</v>
      </c>
    </row>
    <row r="2609" spans="1:8" x14ac:dyDescent="0.25">
      <c r="A2609" s="148">
        <v>44799</v>
      </c>
      <c r="B2609" s="149" t="s">
        <v>27363</v>
      </c>
      <c r="C2609" s="153" t="s">
        <v>212</v>
      </c>
      <c r="D2609" s="178">
        <v>16745</v>
      </c>
      <c r="E2609" s="155">
        <v>44804</v>
      </c>
      <c r="F2609" s="178">
        <v>16745</v>
      </c>
      <c r="G2609" s="179">
        <f>Tabla19[[#This Row],[Importe]]-Tabla19[[#This Row],[Pagado]]</f>
        <v>0</v>
      </c>
      <c r="H2609" s="153" t="s">
        <v>10</v>
      </c>
    </row>
    <row r="2610" spans="1:8" x14ac:dyDescent="0.25">
      <c r="A2610" s="73">
        <v>44799</v>
      </c>
      <c r="B2610" s="74" t="s">
        <v>27364</v>
      </c>
      <c r="C2610" s="75" t="s">
        <v>17556</v>
      </c>
      <c r="D2610" s="176">
        <v>3869</v>
      </c>
      <c r="E2610" s="151">
        <v>44799</v>
      </c>
      <c r="F2610" s="176">
        <v>3869</v>
      </c>
      <c r="G2610" s="177">
        <f>Tabla19[[#This Row],[Importe]]-Tabla19[[#This Row],[Pagado]]</f>
        <v>0</v>
      </c>
      <c r="H2610" s="75" t="s">
        <v>10</v>
      </c>
    </row>
    <row r="2611" spans="1:8" x14ac:dyDescent="0.25">
      <c r="A2611" s="148">
        <v>44799</v>
      </c>
      <c r="B2611" s="149" t="s">
        <v>27365</v>
      </c>
      <c r="C2611" s="153" t="s">
        <v>11033</v>
      </c>
      <c r="D2611" s="178">
        <v>1830</v>
      </c>
      <c r="E2611" s="155">
        <v>44799</v>
      </c>
      <c r="F2611" s="178">
        <v>1830</v>
      </c>
      <c r="G2611" s="179">
        <f>Tabla19[[#This Row],[Importe]]-Tabla19[[#This Row],[Pagado]]</f>
        <v>0</v>
      </c>
      <c r="H2611" s="153" t="s">
        <v>10</v>
      </c>
    </row>
    <row r="2612" spans="1:8" x14ac:dyDescent="0.25">
      <c r="A2612" s="73">
        <v>44799</v>
      </c>
      <c r="B2612" s="74" t="s">
        <v>27366</v>
      </c>
      <c r="C2612" s="75" t="s">
        <v>149</v>
      </c>
      <c r="D2612" s="176">
        <v>4667.2</v>
      </c>
      <c r="E2612" s="151">
        <v>44799</v>
      </c>
      <c r="F2612" s="176">
        <v>4667.2</v>
      </c>
      <c r="G2612" s="177">
        <f>Tabla19[[#This Row],[Importe]]-Tabla19[[#This Row],[Pagado]]</f>
        <v>0</v>
      </c>
      <c r="H2612" s="75" t="s">
        <v>10</v>
      </c>
    </row>
    <row r="2613" spans="1:8" x14ac:dyDescent="0.25">
      <c r="A2613" s="148">
        <v>44799</v>
      </c>
      <c r="B2613" s="149" t="s">
        <v>27367</v>
      </c>
      <c r="C2613" s="153" t="s">
        <v>27</v>
      </c>
      <c r="D2613" s="178">
        <v>1591.8</v>
      </c>
      <c r="E2613" s="155">
        <v>44799</v>
      </c>
      <c r="F2613" s="178">
        <v>1591.8</v>
      </c>
      <c r="G2613" s="179">
        <f>Tabla19[[#This Row],[Importe]]-Tabla19[[#This Row],[Pagado]]</f>
        <v>0</v>
      </c>
      <c r="H2613" s="153" t="s">
        <v>10</v>
      </c>
    </row>
    <row r="2614" spans="1:8" x14ac:dyDescent="0.25">
      <c r="A2614" s="73">
        <v>44799</v>
      </c>
      <c r="B2614" s="74" t="s">
        <v>27368</v>
      </c>
      <c r="C2614" s="75" t="s">
        <v>24</v>
      </c>
      <c r="D2614" s="176">
        <v>3962.2</v>
      </c>
      <c r="E2614" s="151">
        <v>44799</v>
      </c>
      <c r="F2614" s="176">
        <v>3962.2</v>
      </c>
      <c r="G2614" s="177">
        <f>Tabla19[[#This Row],[Importe]]-Tabla19[[#This Row],[Pagado]]</f>
        <v>0</v>
      </c>
      <c r="H2614" s="75" t="s">
        <v>10</v>
      </c>
    </row>
    <row r="2615" spans="1:8" x14ac:dyDescent="0.25">
      <c r="A2615" s="148">
        <v>44799</v>
      </c>
      <c r="B2615" s="149" t="s">
        <v>27369</v>
      </c>
      <c r="C2615" s="153" t="s">
        <v>518</v>
      </c>
      <c r="D2615" s="178">
        <v>2852.4</v>
      </c>
      <c r="E2615" s="155">
        <v>44799</v>
      </c>
      <c r="F2615" s="178">
        <v>2852.4</v>
      </c>
      <c r="G2615" s="179">
        <f>Tabla19[[#This Row],[Importe]]-Tabla19[[#This Row],[Pagado]]</f>
        <v>0</v>
      </c>
      <c r="H2615" s="153" t="s">
        <v>10</v>
      </c>
    </row>
    <row r="2616" spans="1:8" x14ac:dyDescent="0.25">
      <c r="A2616" s="73">
        <v>44799</v>
      </c>
      <c r="B2616" s="74" t="s">
        <v>27370</v>
      </c>
      <c r="C2616" s="75" t="s">
        <v>45</v>
      </c>
      <c r="D2616" s="176">
        <v>12271</v>
      </c>
      <c r="E2616" s="151">
        <v>44799</v>
      </c>
      <c r="F2616" s="176">
        <v>12271</v>
      </c>
      <c r="G2616" s="177">
        <f>Tabla19[[#This Row],[Importe]]-Tabla19[[#This Row],[Pagado]]</f>
        <v>0</v>
      </c>
      <c r="H2616" s="75" t="s">
        <v>10</v>
      </c>
    </row>
    <row r="2617" spans="1:8" x14ac:dyDescent="0.25">
      <c r="A2617" s="148">
        <v>44799</v>
      </c>
      <c r="B2617" s="149" t="s">
        <v>27371</v>
      </c>
      <c r="C2617" s="153" t="s">
        <v>83</v>
      </c>
      <c r="D2617" s="178">
        <v>9878.2000000000007</v>
      </c>
      <c r="E2617" s="155">
        <v>44799</v>
      </c>
      <c r="F2617" s="178">
        <v>9878.2000000000007</v>
      </c>
      <c r="G2617" s="179">
        <f>Tabla19[[#This Row],[Importe]]-Tabla19[[#This Row],[Pagado]]</f>
        <v>0</v>
      </c>
      <c r="H2617" s="153" t="s">
        <v>10</v>
      </c>
    </row>
    <row r="2618" spans="1:8" x14ac:dyDescent="0.25">
      <c r="A2618" s="73">
        <v>44799</v>
      </c>
      <c r="B2618" s="74" t="s">
        <v>27372</v>
      </c>
      <c r="C2618" s="75" t="s">
        <v>314</v>
      </c>
      <c r="D2618" s="176">
        <v>3909</v>
      </c>
      <c r="E2618" s="151">
        <v>44799</v>
      </c>
      <c r="F2618" s="176">
        <v>3909</v>
      </c>
      <c r="G2618" s="177">
        <f>Tabla19[[#This Row],[Importe]]-Tabla19[[#This Row],[Pagado]]</f>
        <v>0</v>
      </c>
      <c r="H2618" s="75" t="s">
        <v>10</v>
      </c>
    </row>
    <row r="2619" spans="1:8" x14ac:dyDescent="0.25">
      <c r="A2619" s="148">
        <v>44799</v>
      </c>
      <c r="B2619" s="149" t="s">
        <v>27373</v>
      </c>
      <c r="C2619" s="153" t="s">
        <v>173</v>
      </c>
      <c r="D2619" s="178">
        <v>60458</v>
      </c>
      <c r="E2619" s="155">
        <v>44799</v>
      </c>
      <c r="F2619" s="178">
        <v>60458</v>
      </c>
      <c r="G2619" s="179">
        <f>Tabla19[[#This Row],[Importe]]-Tabla19[[#This Row],[Pagado]]</f>
        <v>0</v>
      </c>
      <c r="H2619" s="153" t="s">
        <v>10</v>
      </c>
    </row>
    <row r="2620" spans="1:8" x14ac:dyDescent="0.25">
      <c r="A2620" s="73">
        <v>44799</v>
      </c>
      <c r="B2620" s="74" t="s">
        <v>27374</v>
      </c>
      <c r="C2620" s="75" t="s">
        <v>56</v>
      </c>
      <c r="D2620" s="176">
        <v>4107</v>
      </c>
      <c r="E2620" s="151">
        <v>44799</v>
      </c>
      <c r="F2620" s="176">
        <v>4107</v>
      </c>
      <c r="G2620" s="177">
        <f>Tabla19[[#This Row],[Importe]]-Tabla19[[#This Row],[Pagado]]</f>
        <v>0</v>
      </c>
      <c r="H2620" s="75" t="s">
        <v>10</v>
      </c>
    </row>
    <row r="2621" spans="1:8" x14ac:dyDescent="0.25">
      <c r="A2621" s="148">
        <v>44799</v>
      </c>
      <c r="B2621" s="149" t="s">
        <v>27375</v>
      </c>
      <c r="C2621" s="153" t="s">
        <v>37</v>
      </c>
      <c r="D2621" s="178">
        <v>3703</v>
      </c>
      <c r="E2621" s="155">
        <v>44799</v>
      </c>
      <c r="F2621" s="178">
        <v>3703</v>
      </c>
      <c r="G2621" s="179">
        <f>Tabla19[[#This Row],[Importe]]-Tabla19[[#This Row],[Pagado]]</f>
        <v>0</v>
      </c>
      <c r="H2621" s="153" t="s">
        <v>10</v>
      </c>
    </row>
    <row r="2622" spans="1:8" x14ac:dyDescent="0.25">
      <c r="A2622" s="73">
        <v>44799</v>
      </c>
      <c r="B2622" s="74" t="s">
        <v>27376</v>
      </c>
      <c r="C2622" s="75" t="s">
        <v>154</v>
      </c>
      <c r="D2622" s="176">
        <v>70539.399999999994</v>
      </c>
      <c r="E2622" s="151">
        <v>44803</v>
      </c>
      <c r="F2622" s="176">
        <v>70539.399999999994</v>
      </c>
      <c r="G2622" s="177">
        <f>Tabla19[[#This Row],[Importe]]-Tabla19[[#This Row],[Pagado]]</f>
        <v>0</v>
      </c>
      <c r="H2622" s="75" t="s">
        <v>10</v>
      </c>
    </row>
    <row r="2623" spans="1:8" x14ac:dyDescent="0.25">
      <c r="A2623" s="148">
        <v>44799</v>
      </c>
      <c r="B2623" s="149" t="s">
        <v>27377</v>
      </c>
      <c r="C2623" s="153" t="s">
        <v>849</v>
      </c>
      <c r="D2623" s="178">
        <v>5034.3999999999996</v>
      </c>
      <c r="E2623" s="155">
        <v>44799</v>
      </c>
      <c r="F2623" s="178">
        <v>5034.3999999999996</v>
      </c>
      <c r="G2623" s="179">
        <f>Tabla19[[#This Row],[Importe]]-Tabla19[[#This Row],[Pagado]]</f>
        <v>0</v>
      </c>
      <c r="H2623" s="153" t="s">
        <v>10</v>
      </c>
    </row>
    <row r="2624" spans="1:8" x14ac:dyDescent="0.25">
      <c r="A2624" s="73">
        <v>44799</v>
      </c>
      <c r="B2624" s="74" t="s">
        <v>27378</v>
      </c>
      <c r="C2624" s="75" t="s">
        <v>333</v>
      </c>
      <c r="D2624" s="176">
        <v>1427.4</v>
      </c>
      <c r="E2624" s="151">
        <v>44799</v>
      </c>
      <c r="F2624" s="176">
        <v>1427.4</v>
      </c>
      <c r="G2624" s="177">
        <f>Tabla19[[#This Row],[Importe]]-Tabla19[[#This Row],[Pagado]]</f>
        <v>0</v>
      </c>
      <c r="H2624" s="75" t="s">
        <v>10</v>
      </c>
    </row>
    <row r="2625" spans="1:8" x14ac:dyDescent="0.25">
      <c r="A2625" s="148">
        <v>44799</v>
      </c>
      <c r="B2625" s="149" t="s">
        <v>27379</v>
      </c>
      <c r="C2625" s="153" t="s">
        <v>127</v>
      </c>
      <c r="D2625" s="178">
        <v>1967</v>
      </c>
      <c r="E2625" s="155">
        <v>44799</v>
      </c>
      <c r="F2625" s="178">
        <v>1967</v>
      </c>
      <c r="G2625" s="179">
        <f>Tabla19[[#This Row],[Importe]]-Tabla19[[#This Row],[Pagado]]</f>
        <v>0</v>
      </c>
      <c r="H2625" s="153" t="s">
        <v>10</v>
      </c>
    </row>
    <row r="2626" spans="1:8" x14ac:dyDescent="0.25">
      <c r="A2626" s="73">
        <v>44799</v>
      </c>
      <c r="B2626" s="74" t="s">
        <v>27380</v>
      </c>
      <c r="C2626" s="75" t="s">
        <v>339</v>
      </c>
      <c r="D2626" s="176">
        <v>645</v>
      </c>
      <c r="E2626" s="151">
        <v>44799</v>
      </c>
      <c r="F2626" s="176">
        <v>645</v>
      </c>
      <c r="G2626" s="177">
        <f>Tabla19[[#This Row],[Importe]]-Tabla19[[#This Row],[Pagado]]</f>
        <v>0</v>
      </c>
      <c r="H2626" s="75" t="s">
        <v>10</v>
      </c>
    </row>
    <row r="2627" spans="1:8" x14ac:dyDescent="0.25">
      <c r="A2627" s="148">
        <v>44799</v>
      </c>
      <c r="B2627" s="149" t="s">
        <v>27381</v>
      </c>
      <c r="C2627" s="153" t="s">
        <v>146</v>
      </c>
      <c r="D2627" s="178">
        <v>5416.8</v>
      </c>
      <c r="E2627" s="155">
        <v>44799</v>
      </c>
      <c r="F2627" s="178">
        <v>5416.8</v>
      </c>
      <c r="G2627" s="179">
        <f>Tabla19[[#This Row],[Importe]]-Tabla19[[#This Row],[Pagado]]</f>
        <v>0</v>
      </c>
      <c r="H2627" s="153" t="s">
        <v>10</v>
      </c>
    </row>
    <row r="2628" spans="1:8" ht="31.5" x14ac:dyDescent="0.25">
      <c r="A2628" s="73">
        <v>44799</v>
      </c>
      <c r="B2628" s="74" t="s">
        <v>27382</v>
      </c>
      <c r="C2628" s="75" t="s">
        <v>592</v>
      </c>
      <c r="D2628" s="176">
        <v>39664.400000000001</v>
      </c>
      <c r="E2628" s="147" t="s">
        <v>28005</v>
      </c>
      <c r="F2628" s="176">
        <f>6664+33000.4</f>
        <v>39664.400000000001</v>
      </c>
      <c r="G2628" s="177">
        <f>Tabla19[[#This Row],[Importe]]-Tabla19[[#This Row],[Pagado]]</f>
        <v>0</v>
      </c>
      <c r="H2628" s="75" t="s">
        <v>10</v>
      </c>
    </row>
    <row r="2629" spans="1:8" x14ac:dyDescent="0.25">
      <c r="A2629" s="148">
        <v>44799</v>
      </c>
      <c r="B2629" s="149" t="s">
        <v>27383</v>
      </c>
      <c r="C2629" s="153" t="s">
        <v>49</v>
      </c>
      <c r="D2629" s="178">
        <v>5076.8</v>
      </c>
      <c r="E2629" s="155">
        <v>44799</v>
      </c>
      <c r="F2629" s="178">
        <v>5076.8</v>
      </c>
      <c r="G2629" s="179">
        <f>Tabla19[[#This Row],[Importe]]-Tabla19[[#This Row],[Pagado]]</f>
        <v>0</v>
      </c>
      <c r="H2629" s="153" t="s">
        <v>10</v>
      </c>
    </row>
    <row r="2630" spans="1:8" x14ac:dyDescent="0.25">
      <c r="A2630" s="73">
        <v>44799</v>
      </c>
      <c r="B2630" s="74" t="s">
        <v>27384</v>
      </c>
      <c r="C2630" s="75" t="s">
        <v>133</v>
      </c>
      <c r="D2630" s="176">
        <v>15318</v>
      </c>
      <c r="E2630" s="151">
        <v>44800</v>
      </c>
      <c r="F2630" s="176">
        <v>15318</v>
      </c>
      <c r="G2630" s="177">
        <f>Tabla19[[#This Row],[Importe]]-Tabla19[[#This Row],[Pagado]]</f>
        <v>0</v>
      </c>
      <c r="H2630" s="75" t="s">
        <v>10</v>
      </c>
    </row>
    <row r="2631" spans="1:8" x14ac:dyDescent="0.25">
      <c r="A2631" s="148">
        <v>44799</v>
      </c>
      <c r="B2631" s="149" t="s">
        <v>27385</v>
      </c>
      <c r="C2631" s="153" t="s">
        <v>58</v>
      </c>
      <c r="D2631" s="178">
        <v>4354.8</v>
      </c>
      <c r="E2631" s="155">
        <v>44799</v>
      </c>
      <c r="F2631" s="178">
        <v>4354.8</v>
      </c>
      <c r="G2631" s="179">
        <f>Tabla19[[#This Row],[Importe]]-Tabla19[[#This Row],[Pagado]]</f>
        <v>0</v>
      </c>
      <c r="H2631" s="153" t="s">
        <v>10</v>
      </c>
    </row>
    <row r="2632" spans="1:8" x14ac:dyDescent="0.25">
      <c r="A2632" s="73">
        <v>44799</v>
      </c>
      <c r="B2632" s="74" t="s">
        <v>27386</v>
      </c>
      <c r="C2632" s="75" t="s">
        <v>29</v>
      </c>
      <c r="D2632" s="176">
        <v>6171.6</v>
      </c>
      <c r="E2632" s="151">
        <v>44799</v>
      </c>
      <c r="F2632" s="176">
        <v>6171.6</v>
      </c>
      <c r="G2632" s="177">
        <f>Tabla19[[#This Row],[Importe]]-Tabla19[[#This Row],[Pagado]]</f>
        <v>0</v>
      </c>
      <c r="H2632" s="75" t="s">
        <v>10</v>
      </c>
    </row>
    <row r="2633" spans="1:8" x14ac:dyDescent="0.25">
      <c r="A2633" s="148">
        <v>44799</v>
      </c>
      <c r="B2633" s="149" t="s">
        <v>27387</v>
      </c>
      <c r="C2633" s="153" t="s">
        <v>528</v>
      </c>
      <c r="D2633" s="178">
        <v>38665</v>
      </c>
      <c r="E2633" s="155">
        <v>44800</v>
      </c>
      <c r="F2633" s="178">
        <v>38665</v>
      </c>
      <c r="G2633" s="179">
        <f>Tabla19[[#This Row],[Importe]]-Tabla19[[#This Row],[Pagado]]</f>
        <v>0</v>
      </c>
      <c r="H2633" s="153" t="s">
        <v>10</v>
      </c>
    </row>
    <row r="2634" spans="1:8" x14ac:dyDescent="0.25">
      <c r="A2634" s="73">
        <v>44799</v>
      </c>
      <c r="B2634" s="74" t="s">
        <v>27388</v>
      </c>
      <c r="C2634" s="75" t="s">
        <v>31</v>
      </c>
      <c r="D2634" s="176">
        <v>2272</v>
      </c>
      <c r="E2634" s="151">
        <v>44799</v>
      </c>
      <c r="F2634" s="176">
        <v>2272</v>
      </c>
      <c r="G2634" s="177">
        <f>Tabla19[[#This Row],[Importe]]-Tabla19[[#This Row],[Pagado]]</f>
        <v>0</v>
      </c>
      <c r="H2634" s="75" t="s">
        <v>10</v>
      </c>
    </row>
    <row r="2635" spans="1:8" x14ac:dyDescent="0.25">
      <c r="A2635" s="148">
        <v>44799</v>
      </c>
      <c r="B2635" s="149" t="s">
        <v>27389</v>
      </c>
      <c r="C2635" s="153" t="s">
        <v>1003</v>
      </c>
      <c r="D2635" s="178">
        <v>8422.7999999999993</v>
      </c>
      <c r="E2635" s="155">
        <v>44800</v>
      </c>
      <c r="F2635" s="178">
        <v>8422.7999999999993</v>
      </c>
      <c r="G2635" s="179">
        <f>Tabla19[[#This Row],[Importe]]-Tabla19[[#This Row],[Pagado]]</f>
        <v>0</v>
      </c>
      <c r="H2635" s="153" t="s">
        <v>10</v>
      </c>
    </row>
    <row r="2636" spans="1:8" x14ac:dyDescent="0.25">
      <c r="A2636" s="73">
        <v>44799</v>
      </c>
      <c r="B2636" s="74" t="s">
        <v>27390</v>
      </c>
      <c r="C2636" s="75" t="s">
        <v>1644</v>
      </c>
      <c r="D2636" s="176">
        <v>15133</v>
      </c>
      <c r="E2636" s="151">
        <v>44800</v>
      </c>
      <c r="F2636" s="176">
        <v>15133</v>
      </c>
      <c r="G2636" s="177">
        <f>Tabla19[[#This Row],[Importe]]-Tabla19[[#This Row],[Pagado]]</f>
        <v>0</v>
      </c>
      <c r="H2636" s="75" t="s">
        <v>10</v>
      </c>
    </row>
    <row r="2637" spans="1:8" x14ac:dyDescent="0.25">
      <c r="A2637" s="148">
        <v>44799</v>
      </c>
      <c r="B2637" s="149" t="s">
        <v>27391</v>
      </c>
      <c r="C2637" s="153" t="s">
        <v>541</v>
      </c>
      <c r="D2637" s="178">
        <v>21205.599999999999</v>
      </c>
      <c r="E2637" s="155">
        <v>44800</v>
      </c>
      <c r="F2637" s="178">
        <v>21205.599999999999</v>
      </c>
      <c r="G2637" s="179">
        <f>Tabla19[[#This Row],[Importe]]-Tabla19[[#This Row],[Pagado]]</f>
        <v>0</v>
      </c>
      <c r="H2637" s="153" t="s">
        <v>10</v>
      </c>
    </row>
    <row r="2638" spans="1:8" x14ac:dyDescent="0.25">
      <c r="A2638" s="73">
        <v>44799</v>
      </c>
      <c r="B2638" s="74" t="s">
        <v>27392</v>
      </c>
      <c r="C2638" s="75" t="s">
        <v>382</v>
      </c>
      <c r="D2638" s="176">
        <v>465</v>
      </c>
      <c r="E2638" s="151">
        <v>44799</v>
      </c>
      <c r="F2638" s="176">
        <v>465</v>
      </c>
      <c r="G2638" s="177">
        <f>Tabla19[[#This Row],[Importe]]-Tabla19[[#This Row],[Pagado]]</f>
        <v>0</v>
      </c>
      <c r="H2638" s="75" t="s">
        <v>10</v>
      </c>
    </row>
    <row r="2639" spans="1:8" x14ac:dyDescent="0.25">
      <c r="A2639" s="148">
        <v>44799</v>
      </c>
      <c r="B2639" s="149" t="s">
        <v>27393</v>
      </c>
      <c r="C2639" s="153" t="s">
        <v>244</v>
      </c>
      <c r="D2639" s="178">
        <v>1317.2</v>
      </c>
      <c r="E2639" s="155">
        <v>44799</v>
      </c>
      <c r="F2639" s="178">
        <v>1317.2</v>
      </c>
      <c r="G2639" s="179">
        <f>Tabla19[[#This Row],[Importe]]-Tabla19[[#This Row],[Pagado]]</f>
        <v>0</v>
      </c>
      <c r="H2639" s="153" t="s">
        <v>10</v>
      </c>
    </row>
    <row r="2640" spans="1:8" x14ac:dyDescent="0.25">
      <c r="A2640" s="73">
        <v>44799</v>
      </c>
      <c r="B2640" s="74" t="s">
        <v>27394</v>
      </c>
      <c r="C2640" s="75" t="s">
        <v>31</v>
      </c>
      <c r="D2640" s="176">
        <v>732.6</v>
      </c>
      <c r="E2640" s="151">
        <v>44799</v>
      </c>
      <c r="F2640" s="176">
        <v>732.6</v>
      </c>
      <c r="G2640" s="177">
        <f>Tabla19[[#This Row],[Importe]]-Tabla19[[#This Row],[Pagado]]</f>
        <v>0</v>
      </c>
      <c r="H2640" s="75" t="s">
        <v>10</v>
      </c>
    </row>
    <row r="2641" spans="1:8" x14ac:dyDescent="0.25">
      <c r="A2641" s="148">
        <v>44799</v>
      </c>
      <c r="B2641" s="149" t="s">
        <v>27395</v>
      </c>
      <c r="C2641" s="153" t="s">
        <v>698</v>
      </c>
      <c r="D2641" s="178">
        <v>9819.7999999999993</v>
      </c>
      <c r="E2641" s="155">
        <v>44799</v>
      </c>
      <c r="F2641" s="178">
        <v>9819.7999999999993</v>
      </c>
      <c r="G2641" s="179">
        <f>Tabla19[[#This Row],[Importe]]-Tabla19[[#This Row],[Pagado]]</f>
        <v>0</v>
      </c>
      <c r="H2641" s="153" t="s">
        <v>10</v>
      </c>
    </row>
    <row r="2642" spans="1:8" x14ac:dyDescent="0.25">
      <c r="A2642" s="73">
        <v>44799</v>
      </c>
      <c r="B2642" s="74" t="s">
        <v>27396</v>
      </c>
      <c r="C2642" s="75" t="s">
        <v>12</v>
      </c>
      <c r="D2642" s="176">
        <v>2431.4</v>
      </c>
      <c r="E2642" s="151">
        <v>44800</v>
      </c>
      <c r="F2642" s="176">
        <v>2431.4</v>
      </c>
      <c r="G2642" s="177">
        <f>Tabla19[[#This Row],[Importe]]-Tabla19[[#This Row],[Pagado]]</f>
        <v>0</v>
      </c>
      <c r="H2642" s="75" t="s">
        <v>10</v>
      </c>
    </row>
    <row r="2643" spans="1:8" x14ac:dyDescent="0.25">
      <c r="A2643" s="148">
        <v>44799</v>
      </c>
      <c r="B2643" s="149" t="s">
        <v>27397</v>
      </c>
      <c r="C2643" s="153" t="s">
        <v>51</v>
      </c>
      <c r="D2643" s="178">
        <v>3989.2</v>
      </c>
      <c r="E2643" s="155">
        <v>44799</v>
      </c>
      <c r="F2643" s="178">
        <v>3989.2</v>
      </c>
      <c r="G2643" s="179">
        <f>Tabla19[[#This Row],[Importe]]-Tabla19[[#This Row],[Pagado]]</f>
        <v>0</v>
      </c>
      <c r="H2643" s="153" t="s">
        <v>10</v>
      </c>
    </row>
    <row r="2644" spans="1:8" x14ac:dyDescent="0.25">
      <c r="A2644" s="73">
        <v>44799</v>
      </c>
      <c r="B2644" s="74" t="s">
        <v>27398</v>
      </c>
      <c r="C2644" s="75" t="s">
        <v>131</v>
      </c>
      <c r="D2644" s="176">
        <v>4847.2</v>
      </c>
      <c r="E2644" s="151">
        <v>44799</v>
      </c>
      <c r="F2644" s="176">
        <v>4847.2</v>
      </c>
      <c r="G2644" s="177">
        <f>Tabla19[[#This Row],[Importe]]-Tabla19[[#This Row],[Pagado]]</f>
        <v>0</v>
      </c>
      <c r="H2644" s="75" t="s">
        <v>10</v>
      </c>
    </row>
    <row r="2645" spans="1:8" x14ac:dyDescent="0.25">
      <c r="A2645" s="148">
        <v>44799</v>
      </c>
      <c r="B2645" s="149" t="s">
        <v>27399</v>
      </c>
      <c r="C2645" s="153" t="s">
        <v>31</v>
      </c>
      <c r="D2645" s="178">
        <v>584.6</v>
      </c>
      <c r="E2645" s="155">
        <v>44799</v>
      </c>
      <c r="F2645" s="178">
        <v>584.6</v>
      </c>
      <c r="G2645" s="179">
        <f>Tabla19[[#This Row],[Importe]]-Tabla19[[#This Row],[Pagado]]</f>
        <v>0</v>
      </c>
      <c r="H2645" s="153" t="s">
        <v>10</v>
      </c>
    </row>
    <row r="2646" spans="1:8" x14ac:dyDescent="0.25">
      <c r="A2646" s="73">
        <v>44799</v>
      </c>
      <c r="B2646" s="74" t="s">
        <v>27400</v>
      </c>
      <c r="C2646" s="75" t="s">
        <v>9827</v>
      </c>
      <c r="D2646" s="176">
        <v>5246.6</v>
      </c>
      <c r="E2646" s="151">
        <v>44799</v>
      </c>
      <c r="F2646" s="176">
        <v>5246.6</v>
      </c>
      <c r="G2646" s="177">
        <f>Tabla19[[#This Row],[Importe]]-Tabla19[[#This Row],[Pagado]]</f>
        <v>0</v>
      </c>
      <c r="H2646" s="75" t="s">
        <v>10</v>
      </c>
    </row>
    <row r="2647" spans="1:8" x14ac:dyDescent="0.25">
      <c r="A2647" s="148">
        <v>44799</v>
      </c>
      <c r="B2647" s="149" t="s">
        <v>27401</v>
      </c>
      <c r="C2647" s="153" t="s">
        <v>79</v>
      </c>
      <c r="D2647" s="178">
        <v>34791</v>
      </c>
      <c r="E2647" s="155">
        <v>44799</v>
      </c>
      <c r="F2647" s="178">
        <v>34791</v>
      </c>
      <c r="G2647" s="179">
        <f>Tabla19[[#This Row],[Importe]]-Tabla19[[#This Row],[Pagado]]</f>
        <v>0</v>
      </c>
      <c r="H2647" s="153" t="s">
        <v>10</v>
      </c>
    </row>
    <row r="2648" spans="1:8" ht="31.5" x14ac:dyDescent="0.25">
      <c r="A2648" s="73">
        <v>44799</v>
      </c>
      <c r="B2648" s="74" t="s">
        <v>27402</v>
      </c>
      <c r="C2648" s="75" t="s">
        <v>392</v>
      </c>
      <c r="D2648" s="176">
        <v>25880.7</v>
      </c>
      <c r="E2648" s="147" t="s">
        <v>28001</v>
      </c>
      <c r="F2648" s="176">
        <f>21000+4880.7</f>
        <v>25880.7</v>
      </c>
      <c r="G2648" s="177">
        <f>Tabla19[[#This Row],[Importe]]-Tabla19[[#This Row],[Pagado]]</f>
        <v>0</v>
      </c>
      <c r="H2648" s="75" t="s">
        <v>1695</v>
      </c>
    </row>
    <row r="2649" spans="1:8" x14ac:dyDescent="0.25">
      <c r="A2649" s="148">
        <v>44799</v>
      </c>
      <c r="B2649" s="149" t="s">
        <v>27403</v>
      </c>
      <c r="C2649" s="153" t="s">
        <v>142</v>
      </c>
      <c r="D2649" s="178">
        <v>25022.9</v>
      </c>
      <c r="E2649" s="155">
        <v>44845</v>
      </c>
      <c r="F2649" s="178">
        <v>25022.9</v>
      </c>
      <c r="G2649" s="179">
        <f>Tabla19[[#This Row],[Importe]]-Tabla19[[#This Row],[Pagado]]</f>
        <v>0</v>
      </c>
      <c r="H2649" s="153" t="s">
        <v>10</v>
      </c>
    </row>
    <row r="2650" spans="1:8" x14ac:dyDescent="0.25">
      <c r="A2650" s="73">
        <v>44799</v>
      </c>
      <c r="B2650" s="74" t="s">
        <v>27404</v>
      </c>
      <c r="C2650" s="75" t="s">
        <v>107</v>
      </c>
      <c r="D2650" s="176">
        <v>16126.9</v>
      </c>
      <c r="E2650" s="151">
        <v>44799</v>
      </c>
      <c r="F2650" s="176">
        <v>16126.9</v>
      </c>
      <c r="G2650" s="177">
        <f>Tabla19[[#This Row],[Importe]]-Tabla19[[#This Row],[Pagado]]</f>
        <v>0</v>
      </c>
      <c r="H2650" s="75" t="s">
        <v>10</v>
      </c>
    </row>
    <row r="2651" spans="1:8" x14ac:dyDescent="0.25">
      <c r="A2651" s="148">
        <v>44799</v>
      </c>
      <c r="B2651" s="149" t="s">
        <v>27405</v>
      </c>
      <c r="C2651" s="153" t="s">
        <v>214</v>
      </c>
      <c r="D2651" s="178">
        <v>1531.8</v>
      </c>
      <c r="E2651" s="155">
        <v>44799</v>
      </c>
      <c r="F2651" s="178">
        <v>1531.8</v>
      </c>
      <c r="G2651" s="179">
        <f>Tabla19[[#This Row],[Importe]]-Tabla19[[#This Row],[Pagado]]</f>
        <v>0</v>
      </c>
      <c r="H2651" s="153" t="s">
        <v>10</v>
      </c>
    </row>
    <row r="2652" spans="1:8" x14ac:dyDescent="0.25">
      <c r="A2652" s="73">
        <v>44799</v>
      </c>
      <c r="B2652" s="74" t="s">
        <v>27406</v>
      </c>
      <c r="C2652" s="75" t="s">
        <v>555</v>
      </c>
      <c r="D2652" s="176">
        <v>19584</v>
      </c>
      <c r="E2652" s="151">
        <v>44800</v>
      </c>
      <c r="F2652" s="176">
        <v>19584</v>
      </c>
      <c r="G2652" s="177">
        <f>Tabla19[[#This Row],[Importe]]-Tabla19[[#This Row],[Pagado]]</f>
        <v>0</v>
      </c>
      <c r="H2652" s="75" t="s">
        <v>10</v>
      </c>
    </row>
    <row r="2653" spans="1:8" x14ac:dyDescent="0.25">
      <c r="A2653" s="148">
        <v>44799</v>
      </c>
      <c r="B2653" s="149" t="s">
        <v>27407</v>
      </c>
      <c r="C2653" s="153" t="s">
        <v>664</v>
      </c>
      <c r="D2653" s="178">
        <v>3900</v>
      </c>
      <c r="E2653" s="155">
        <v>44799</v>
      </c>
      <c r="F2653" s="178">
        <v>3900</v>
      </c>
      <c r="G2653" s="179">
        <f>Tabla19[[#This Row],[Importe]]-Tabla19[[#This Row],[Pagado]]</f>
        <v>0</v>
      </c>
      <c r="H2653" s="153" t="s">
        <v>10</v>
      </c>
    </row>
    <row r="2654" spans="1:8" x14ac:dyDescent="0.25">
      <c r="A2654" s="73">
        <v>44799</v>
      </c>
      <c r="B2654" s="74" t="s">
        <v>27408</v>
      </c>
      <c r="C2654" s="75" t="s">
        <v>67</v>
      </c>
      <c r="D2654" s="176">
        <v>13679.2</v>
      </c>
      <c r="E2654" s="151">
        <v>44799</v>
      </c>
      <c r="F2654" s="176">
        <v>13679.2</v>
      </c>
      <c r="G2654" s="177">
        <f>Tabla19[[#This Row],[Importe]]-Tabla19[[#This Row],[Pagado]]</f>
        <v>0</v>
      </c>
      <c r="H2654" s="75" t="s">
        <v>10</v>
      </c>
    </row>
    <row r="2655" spans="1:8" x14ac:dyDescent="0.25">
      <c r="A2655" s="148">
        <v>44799</v>
      </c>
      <c r="B2655" s="149" t="s">
        <v>27409</v>
      </c>
      <c r="C2655" s="153" t="s">
        <v>448</v>
      </c>
      <c r="D2655" s="178">
        <v>22422</v>
      </c>
      <c r="E2655" s="155">
        <v>44799</v>
      </c>
      <c r="F2655" s="178">
        <v>22422</v>
      </c>
      <c r="G2655" s="179">
        <f>Tabla19[[#This Row],[Importe]]-Tabla19[[#This Row],[Pagado]]</f>
        <v>0</v>
      </c>
      <c r="H2655" s="153" t="s">
        <v>10</v>
      </c>
    </row>
    <row r="2656" spans="1:8" x14ac:dyDescent="0.25">
      <c r="A2656" s="73">
        <v>44799</v>
      </c>
      <c r="B2656" s="74" t="s">
        <v>27410</v>
      </c>
      <c r="C2656" s="75" t="s">
        <v>214</v>
      </c>
      <c r="D2656" s="176">
        <v>11152.5</v>
      </c>
      <c r="E2656" s="151">
        <v>44799</v>
      </c>
      <c r="F2656" s="176">
        <v>11152.5</v>
      </c>
      <c r="G2656" s="177">
        <f>Tabla19[[#This Row],[Importe]]-Tabla19[[#This Row],[Pagado]]</f>
        <v>0</v>
      </c>
      <c r="H2656" s="75" t="s">
        <v>10</v>
      </c>
    </row>
    <row r="2657" spans="1:8" x14ac:dyDescent="0.25">
      <c r="A2657" s="148">
        <v>44799</v>
      </c>
      <c r="B2657" s="149" t="s">
        <v>27411</v>
      </c>
      <c r="C2657" s="153" t="s">
        <v>204</v>
      </c>
      <c r="D2657" s="178">
        <v>2017.6</v>
      </c>
      <c r="E2657" s="155">
        <v>44799</v>
      </c>
      <c r="F2657" s="178">
        <v>2017.6</v>
      </c>
      <c r="G2657" s="179">
        <f>Tabla19[[#This Row],[Importe]]-Tabla19[[#This Row],[Pagado]]</f>
        <v>0</v>
      </c>
      <c r="H2657" s="153" t="s">
        <v>10</v>
      </c>
    </row>
    <row r="2658" spans="1:8" x14ac:dyDescent="0.25">
      <c r="A2658" s="73">
        <v>44799</v>
      </c>
      <c r="B2658" s="74" t="s">
        <v>27412</v>
      </c>
      <c r="C2658" s="75" t="s">
        <v>204</v>
      </c>
      <c r="D2658" s="176">
        <v>1096.0999999999999</v>
      </c>
      <c r="E2658" s="151">
        <v>44799</v>
      </c>
      <c r="F2658" s="176">
        <v>1096.0999999999999</v>
      </c>
      <c r="G2658" s="177">
        <f>Tabla19[[#This Row],[Importe]]-Tabla19[[#This Row],[Pagado]]</f>
        <v>0</v>
      </c>
      <c r="H2658" s="75" t="s">
        <v>10</v>
      </c>
    </row>
    <row r="2659" spans="1:8" x14ac:dyDescent="0.25">
      <c r="A2659" s="148">
        <v>44799</v>
      </c>
      <c r="B2659" s="149" t="s">
        <v>27413</v>
      </c>
      <c r="C2659" s="153" t="s">
        <v>135</v>
      </c>
      <c r="D2659" s="178">
        <v>1546.8</v>
      </c>
      <c r="E2659" s="155">
        <v>44799</v>
      </c>
      <c r="F2659" s="178">
        <v>1546.8</v>
      </c>
      <c r="G2659" s="179">
        <f>Tabla19[[#This Row],[Importe]]-Tabla19[[#This Row],[Pagado]]</f>
        <v>0</v>
      </c>
      <c r="H2659" s="153" t="s">
        <v>10</v>
      </c>
    </row>
    <row r="2660" spans="1:8" x14ac:dyDescent="0.25">
      <c r="A2660" s="73">
        <v>44799</v>
      </c>
      <c r="B2660" s="74" t="s">
        <v>27414</v>
      </c>
      <c r="C2660" s="75" t="s">
        <v>179</v>
      </c>
      <c r="D2660" s="176">
        <v>2360.6</v>
      </c>
      <c r="E2660" s="151">
        <v>44799</v>
      </c>
      <c r="F2660" s="176">
        <v>2360.6</v>
      </c>
      <c r="G2660" s="177">
        <f>Tabla19[[#This Row],[Importe]]-Tabla19[[#This Row],[Pagado]]</f>
        <v>0</v>
      </c>
      <c r="H2660" s="75" t="s">
        <v>10</v>
      </c>
    </row>
    <row r="2661" spans="1:8" x14ac:dyDescent="0.25">
      <c r="A2661" s="148">
        <v>44799</v>
      </c>
      <c r="B2661" s="149" t="s">
        <v>27415</v>
      </c>
      <c r="C2661" s="153" t="s">
        <v>612</v>
      </c>
      <c r="D2661" s="178">
        <v>300</v>
      </c>
      <c r="E2661" s="155">
        <v>44799</v>
      </c>
      <c r="F2661" s="178">
        <v>300</v>
      </c>
      <c r="G2661" s="179">
        <f>Tabla19[[#This Row],[Importe]]-Tabla19[[#This Row],[Pagado]]</f>
        <v>0</v>
      </c>
      <c r="H2661" s="153" t="s">
        <v>10</v>
      </c>
    </row>
    <row r="2662" spans="1:8" x14ac:dyDescent="0.25">
      <c r="A2662" s="73">
        <v>44799</v>
      </c>
      <c r="B2662" s="74" t="s">
        <v>27416</v>
      </c>
      <c r="C2662" s="75" t="s">
        <v>191</v>
      </c>
      <c r="D2662" s="176">
        <v>417.6</v>
      </c>
      <c r="E2662" s="151">
        <v>44799</v>
      </c>
      <c r="F2662" s="176">
        <v>417.6</v>
      </c>
      <c r="G2662" s="177">
        <f>Tabla19[[#This Row],[Importe]]-Tabla19[[#This Row],[Pagado]]</f>
        <v>0</v>
      </c>
      <c r="H2662" s="75" t="s">
        <v>10</v>
      </c>
    </row>
    <row r="2663" spans="1:8" x14ac:dyDescent="0.25">
      <c r="A2663" s="148">
        <v>44799</v>
      </c>
      <c r="B2663" s="149" t="s">
        <v>27417</v>
      </c>
      <c r="C2663" s="153" t="s">
        <v>175</v>
      </c>
      <c r="D2663" s="178">
        <v>12075.2</v>
      </c>
      <c r="E2663" s="155">
        <v>44800</v>
      </c>
      <c r="F2663" s="178">
        <v>12075.2</v>
      </c>
      <c r="G2663" s="179">
        <f>Tabla19[[#This Row],[Importe]]-Tabla19[[#This Row],[Pagado]]</f>
        <v>0</v>
      </c>
      <c r="H2663" s="153" t="s">
        <v>10</v>
      </c>
    </row>
    <row r="2664" spans="1:8" x14ac:dyDescent="0.25">
      <c r="A2664" s="73">
        <v>44799</v>
      </c>
      <c r="B2664" s="74" t="s">
        <v>27418</v>
      </c>
      <c r="C2664" s="75" t="s">
        <v>181</v>
      </c>
      <c r="D2664" s="176">
        <v>9499.2000000000007</v>
      </c>
      <c r="E2664" s="151">
        <v>44800</v>
      </c>
      <c r="F2664" s="176">
        <v>9499.2000000000007</v>
      </c>
      <c r="G2664" s="177">
        <f>Tabla19[[#This Row],[Importe]]-Tabla19[[#This Row],[Pagado]]</f>
        <v>0</v>
      </c>
      <c r="H2664" s="75" t="s">
        <v>10</v>
      </c>
    </row>
    <row r="2665" spans="1:8" x14ac:dyDescent="0.25">
      <c r="A2665" s="148">
        <v>44799</v>
      </c>
      <c r="B2665" s="149" t="s">
        <v>27419</v>
      </c>
      <c r="C2665" s="153" t="s">
        <v>359</v>
      </c>
      <c r="D2665" s="178">
        <v>1400</v>
      </c>
      <c r="E2665" s="155">
        <v>44800</v>
      </c>
      <c r="F2665" s="178">
        <v>1400</v>
      </c>
      <c r="G2665" s="179">
        <f>Tabla19[[#This Row],[Importe]]-Tabla19[[#This Row],[Pagado]]</f>
        <v>0</v>
      </c>
      <c r="H2665" s="153" t="s">
        <v>10</v>
      </c>
    </row>
    <row r="2666" spans="1:8" x14ac:dyDescent="0.25">
      <c r="A2666" s="73">
        <v>44799</v>
      </c>
      <c r="B2666" s="74" t="s">
        <v>27420</v>
      </c>
      <c r="C2666" s="75" t="s">
        <v>200</v>
      </c>
      <c r="D2666" s="176">
        <v>1805.6</v>
      </c>
      <c r="E2666" s="151">
        <v>44800</v>
      </c>
      <c r="F2666" s="176">
        <v>1805.6</v>
      </c>
      <c r="G2666" s="177">
        <f>Tabla19[[#This Row],[Importe]]-Tabla19[[#This Row],[Pagado]]</f>
        <v>0</v>
      </c>
      <c r="H2666" s="75" t="s">
        <v>10</v>
      </c>
    </row>
    <row r="2667" spans="1:8" x14ac:dyDescent="0.25">
      <c r="A2667" s="148">
        <v>44799</v>
      </c>
      <c r="B2667" s="149" t="s">
        <v>27421</v>
      </c>
      <c r="C2667" s="153" t="s">
        <v>75</v>
      </c>
      <c r="D2667" s="178">
        <v>9324</v>
      </c>
      <c r="E2667" s="155">
        <v>44800</v>
      </c>
      <c r="F2667" s="178">
        <v>9324</v>
      </c>
      <c r="G2667" s="179">
        <f>Tabla19[[#This Row],[Importe]]-Tabla19[[#This Row],[Pagado]]</f>
        <v>0</v>
      </c>
      <c r="H2667" s="153" t="s">
        <v>10</v>
      </c>
    </row>
    <row r="2668" spans="1:8" x14ac:dyDescent="0.25">
      <c r="A2668" s="73">
        <v>44799</v>
      </c>
      <c r="B2668" s="74" t="s">
        <v>27422</v>
      </c>
      <c r="C2668" s="75" t="s">
        <v>31</v>
      </c>
      <c r="D2668" s="176">
        <v>465</v>
      </c>
      <c r="E2668" s="151">
        <v>44799</v>
      </c>
      <c r="F2668" s="176">
        <v>465</v>
      </c>
      <c r="G2668" s="177">
        <f>Tabla19[[#This Row],[Importe]]-Tabla19[[#This Row],[Pagado]]</f>
        <v>0</v>
      </c>
      <c r="H2668" s="75" t="s">
        <v>10</v>
      </c>
    </row>
    <row r="2669" spans="1:8" x14ac:dyDescent="0.25">
      <c r="A2669" s="148">
        <v>44799</v>
      </c>
      <c r="B2669" s="149" t="s">
        <v>27423</v>
      </c>
      <c r="C2669" s="153" t="s">
        <v>681</v>
      </c>
      <c r="D2669" s="178">
        <v>11.13</v>
      </c>
      <c r="E2669" s="155">
        <v>44810</v>
      </c>
      <c r="F2669" s="178">
        <v>11.13</v>
      </c>
      <c r="G2669" s="179">
        <f>Tabla19[[#This Row],[Importe]]-Tabla19[[#This Row],[Pagado]]</f>
        <v>0</v>
      </c>
      <c r="H2669" s="153" t="s">
        <v>10</v>
      </c>
    </row>
    <row r="2670" spans="1:8" x14ac:dyDescent="0.25">
      <c r="A2670" s="73">
        <v>44799</v>
      </c>
      <c r="B2670" s="74" t="s">
        <v>27424</v>
      </c>
      <c r="C2670" s="75" t="s">
        <v>16</v>
      </c>
      <c r="D2670" s="176">
        <v>2152</v>
      </c>
      <c r="E2670" s="151">
        <v>44799</v>
      </c>
      <c r="F2670" s="176">
        <v>2152</v>
      </c>
      <c r="G2670" s="177">
        <f>Tabla19[[#This Row],[Importe]]-Tabla19[[#This Row],[Pagado]]</f>
        <v>0</v>
      </c>
      <c r="H2670" s="75" t="s">
        <v>10</v>
      </c>
    </row>
    <row r="2671" spans="1:8" x14ac:dyDescent="0.25">
      <c r="A2671" s="148">
        <v>44799</v>
      </c>
      <c r="B2671" s="149" t="s">
        <v>27425</v>
      </c>
      <c r="C2671" s="153" t="s">
        <v>27426</v>
      </c>
      <c r="D2671" s="178">
        <v>706.2</v>
      </c>
      <c r="E2671" s="155">
        <v>44799</v>
      </c>
      <c r="F2671" s="178">
        <v>706.2</v>
      </c>
      <c r="G2671" s="179">
        <f>Tabla19[[#This Row],[Importe]]-Tabla19[[#This Row],[Pagado]]</f>
        <v>0</v>
      </c>
      <c r="H2671" s="153" t="s">
        <v>10</v>
      </c>
    </row>
    <row r="2672" spans="1:8" x14ac:dyDescent="0.25">
      <c r="A2672" s="73">
        <v>44799</v>
      </c>
      <c r="B2672" s="74" t="s">
        <v>27427</v>
      </c>
      <c r="C2672" s="75" t="s">
        <v>53</v>
      </c>
      <c r="D2672" s="176">
        <v>180.4</v>
      </c>
      <c r="E2672" s="151">
        <v>44799</v>
      </c>
      <c r="F2672" s="176">
        <v>180.4</v>
      </c>
      <c r="G2672" s="177">
        <f>Tabla19[[#This Row],[Importe]]-Tabla19[[#This Row],[Pagado]]</f>
        <v>0</v>
      </c>
      <c r="H2672" s="75" t="s">
        <v>10</v>
      </c>
    </row>
    <row r="2673" spans="1:8" x14ac:dyDescent="0.25">
      <c r="A2673" s="148">
        <v>44799</v>
      </c>
      <c r="B2673" s="149" t="s">
        <v>27428</v>
      </c>
      <c r="C2673" s="153" t="s">
        <v>296</v>
      </c>
      <c r="D2673" s="178">
        <v>1934.4</v>
      </c>
      <c r="E2673" s="155">
        <v>44799</v>
      </c>
      <c r="F2673" s="178">
        <v>1934.4</v>
      </c>
      <c r="G2673" s="179">
        <f>Tabla19[[#This Row],[Importe]]-Tabla19[[#This Row],[Pagado]]</f>
        <v>0</v>
      </c>
      <c r="H2673" s="153" t="s">
        <v>10</v>
      </c>
    </row>
    <row r="2674" spans="1:8" x14ac:dyDescent="0.25">
      <c r="A2674" s="73">
        <v>44799</v>
      </c>
      <c r="B2674" s="74" t="s">
        <v>27429</v>
      </c>
      <c r="C2674" s="75" t="s">
        <v>2139</v>
      </c>
      <c r="D2674" s="176">
        <v>2800.3</v>
      </c>
      <c r="E2674" s="151">
        <v>44799</v>
      </c>
      <c r="F2674" s="176">
        <v>2800.3</v>
      </c>
      <c r="G2674" s="177">
        <f>Tabla19[[#This Row],[Importe]]-Tabla19[[#This Row],[Pagado]]</f>
        <v>0</v>
      </c>
      <c r="H2674" s="75" t="s">
        <v>10</v>
      </c>
    </row>
    <row r="2675" spans="1:8" x14ac:dyDescent="0.25">
      <c r="A2675" s="148">
        <v>44799</v>
      </c>
      <c r="B2675" s="149" t="s">
        <v>27430</v>
      </c>
      <c r="C2675" s="153" t="s">
        <v>31</v>
      </c>
      <c r="D2675" s="178">
        <v>90</v>
      </c>
      <c r="E2675" s="155">
        <v>44799</v>
      </c>
      <c r="F2675" s="178">
        <v>90</v>
      </c>
      <c r="G2675" s="179">
        <f>Tabla19[[#This Row],[Importe]]-Tabla19[[#This Row],[Pagado]]</f>
        <v>0</v>
      </c>
      <c r="H2675" s="153" t="s">
        <v>10</v>
      </c>
    </row>
    <row r="2676" spans="1:8" x14ac:dyDescent="0.25">
      <c r="A2676" s="73">
        <v>44799</v>
      </c>
      <c r="B2676" s="74" t="s">
        <v>27431</v>
      </c>
      <c r="C2676" s="75" t="s">
        <v>198</v>
      </c>
      <c r="D2676" s="176">
        <v>4898.8</v>
      </c>
      <c r="E2676" s="151">
        <v>44800</v>
      </c>
      <c r="F2676" s="176">
        <v>4898.8</v>
      </c>
      <c r="G2676" s="177">
        <f>Tabla19[[#This Row],[Importe]]-Tabla19[[#This Row],[Pagado]]</f>
        <v>0</v>
      </c>
      <c r="H2676" s="75" t="s">
        <v>10</v>
      </c>
    </row>
    <row r="2677" spans="1:8" x14ac:dyDescent="0.25">
      <c r="A2677" s="148">
        <v>44799</v>
      </c>
      <c r="B2677" s="149" t="s">
        <v>27432</v>
      </c>
      <c r="C2677" s="153" t="s">
        <v>312</v>
      </c>
      <c r="D2677" s="178">
        <v>880</v>
      </c>
      <c r="E2677" s="155">
        <v>44800</v>
      </c>
      <c r="F2677" s="178">
        <v>880</v>
      </c>
      <c r="G2677" s="179">
        <f>Tabla19[[#This Row],[Importe]]-Tabla19[[#This Row],[Pagado]]</f>
        <v>0</v>
      </c>
      <c r="H2677" s="153" t="s">
        <v>10</v>
      </c>
    </row>
    <row r="2678" spans="1:8" x14ac:dyDescent="0.25">
      <c r="A2678" s="73">
        <v>44799</v>
      </c>
      <c r="B2678" s="74" t="s">
        <v>27433</v>
      </c>
      <c r="C2678" s="75" t="s">
        <v>284</v>
      </c>
      <c r="D2678" s="176">
        <v>11070.4</v>
      </c>
      <c r="E2678" s="151">
        <v>44800</v>
      </c>
      <c r="F2678" s="176">
        <v>11070.4</v>
      </c>
      <c r="G2678" s="177">
        <f>Tabla19[[#This Row],[Importe]]-Tabla19[[#This Row],[Pagado]]</f>
        <v>0</v>
      </c>
      <c r="H2678" s="75" t="s">
        <v>10</v>
      </c>
    </row>
    <row r="2679" spans="1:8" x14ac:dyDescent="0.25">
      <c r="A2679" s="148">
        <v>44799</v>
      </c>
      <c r="B2679" s="149" t="s">
        <v>27434</v>
      </c>
      <c r="C2679" s="153" t="s">
        <v>5345</v>
      </c>
      <c r="D2679" s="178">
        <v>1827.8</v>
      </c>
      <c r="E2679" s="155">
        <v>44800</v>
      </c>
      <c r="F2679" s="178">
        <v>1827.8</v>
      </c>
      <c r="G2679" s="179">
        <f>Tabla19[[#This Row],[Importe]]-Tabla19[[#This Row],[Pagado]]</f>
        <v>0</v>
      </c>
      <c r="H2679" s="153" t="s">
        <v>10</v>
      </c>
    </row>
    <row r="2680" spans="1:8" x14ac:dyDescent="0.25">
      <c r="A2680" s="73">
        <v>44799</v>
      </c>
      <c r="B2680" s="74" t="s">
        <v>27435</v>
      </c>
      <c r="C2680" s="75" t="s">
        <v>280</v>
      </c>
      <c r="D2680" s="176">
        <v>1376.4</v>
      </c>
      <c r="E2680" s="151">
        <v>44800</v>
      </c>
      <c r="F2680" s="176">
        <v>1376.4</v>
      </c>
      <c r="G2680" s="177">
        <f>Tabla19[[#This Row],[Importe]]-Tabla19[[#This Row],[Pagado]]</f>
        <v>0</v>
      </c>
      <c r="H2680" s="75" t="s">
        <v>10</v>
      </c>
    </row>
    <row r="2681" spans="1:8" x14ac:dyDescent="0.25">
      <c r="A2681" s="148">
        <v>44799</v>
      </c>
      <c r="B2681" s="149" t="s">
        <v>27436</v>
      </c>
      <c r="C2681" s="153" t="s">
        <v>10819</v>
      </c>
      <c r="D2681" s="178">
        <v>666</v>
      </c>
      <c r="E2681" s="155">
        <v>44800</v>
      </c>
      <c r="F2681" s="178">
        <v>666</v>
      </c>
      <c r="G2681" s="179">
        <f>Tabla19[[#This Row],[Importe]]-Tabla19[[#This Row],[Pagado]]</f>
        <v>0</v>
      </c>
      <c r="H2681" s="153" t="s">
        <v>10</v>
      </c>
    </row>
    <row r="2682" spans="1:8" x14ac:dyDescent="0.25">
      <c r="A2682" s="73">
        <v>44799</v>
      </c>
      <c r="B2682" s="74" t="s">
        <v>27437</v>
      </c>
      <c r="C2682" s="75" t="s">
        <v>282</v>
      </c>
      <c r="D2682" s="176">
        <v>3100.6</v>
      </c>
      <c r="E2682" s="151">
        <v>44800</v>
      </c>
      <c r="F2682" s="176">
        <v>3100.6</v>
      </c>
      <c r="G2682" s="177">
        <f>Tabla19[[#This Row],[Importe]]-Tabla19[[#This Row],[Pagado]]</f>
        <v>0</v>
      </c>
      <c r="H2682" s="75" t="s">
        <v>10</v>
      </c>
    </row>
    <row r="2683" spans="1:8" x14ac:dyDescent="0.25">
      <c r="A2683" s="148">
        <v>44799</v>
      </c>
      <c r="B2683" s="149" t="s">
        <v>27438</v>
      </c>
      <c r="C2683" s="153" t="s">
        <v>31</v>
      </c>
      <c r="D2683" s="178">
        <v>3810</v>
      </c>
      <c r="E2683" s="155">
        <v>44799</v>
      </c>
      <c r="F2683" s="178">
        <v>3810</v>
      </c>
      <c r="G2683" s="179">
        <f>Tabla19[[#This Row],[Importe]]-Tabla19[[#This Row],[Pagado]]</f>
        <v>0</v>
      </c>
      <c r="H2683" s="153" t="s">
        <v>10</v>
      </c>
    </row>
    <row r="2684" spans="1:8" x14ac:dyDescent="0.25">
      <c r="A2684" s="73">
        <v>44799</v>
      </c>
      <c r="B2684" s="74" t="s">
        <v>27439</v>
      </c>
      <c r="C2684" s="75" t="s">
        <v>12609</v>
      </c>
      <c r="D2684" s="176">
        <v>2540</v>
      </c>
      <c r="E2684" s="151">
        <v>44799</v>
      </c>
      <c r="F2684" s="176">
        <v>2540</v>
      </c>
      <c r="G2684" s="177">
        <f>Tabla19[[#This Row],[Importe]]-Tabla19[[#This Row],[Pagado]]</f>
        <v>0</v>
      </c>
      <c r="H2684" s="75" t="s">
        <v>10</v>
      </c>
    </row>
    <row r="2685" spans="1:8" x14ac:dyDescent="0.25">
      <c r="A2685" s="148">
        <v>44799</v>
      </c>
      <c r="B2685" s="149" t="s">
        <v>27440</v>
      </c>
      <c r="C2685" s="153" t="s">
        <v>857</v>
      </c>
      <c r="D2685" s="178">
        <v>1405.9</v>
      </c>
      <c r="E2685" s="155">
        <v>44799</v>
      </c>
      <c r="F2685" s="178">
        <v>1405.9</v>
      </c>
      <c r="G2685" s="179">
        <f>Tabla19[[#This Row],[Importe]]-Tabla19[[#This Row],[Pagado]]</f>
        <v>0</v>
      </c>
      <c r="H2685" s="153" t="s">
        <v>10</v>
      </c>
    </row>
    <row r="2686" spans="1:8" x14ac:dyDescent="0.25">
      <c r="A2686" s="73">
        <v>44799</v>
      </c>
      <c r="B2686" s="74" t="s">
        <v>27441</v>
      </c>
      <c r="C2686" s="75" t="s">
        <v>53</v>
      </c>
      <c r="D2686" s="176">
        <v>3082.5</v>
      </c>
      <c r="E2686" s="151">
        <v>44799</v>
      </c>
      <c r="F2686" s="176">
        <v>3082.5</v>
      </c>
      <c r="G2686" s="177">
        <f>Tabla19[[#This Row],[Importe]]-Tabla19[[#This Row],[Pagado]]</f>
        <v>0</v>
      </c>
      <c r="H2686" s="75" t="s">
        <v>10</v>
      </c>
    </row>
    <row r="2687" spans="1:8" x14ac:dyDescent="0.25">
      <c r="A2687" s="148">
        <v>44799</v>
      </c>
      <c r="B2687" s="149" t="s">
        <v>27442</v>
      </c>
      <c r="C2687" s="153" t="s">
        <v>10678</v>
      </c>
      <c r="D2687" s="178">
        <v>2635.3</v>
      </c>
      <c r="E2687" s="155">
        <v>44799</v>
      </c>
      <c r="F2687" s="178">
        <v>2635.3</v>
      </c>
      <c r="G2687" s="179">
        <f>Tabla19[[#This Row],[Importe]]-Tabla19[[#This Row],[Pagado]]</f>
        <v>0</v>
      </c>
      <c r="H2687" s="153" t="s">
        <v>10</v>
      </c>
    </row>
    <row r="2688" spans="1:8" x14ac:dyDescent="0.25">
      <c r="A2688" s="73">
        <v>44799</v>
      </c>
      <c r="B2688" s="74" t="s">
        <v>27443</v>
      </c>
      <c r="C2688" s="75" t="s">
        <v>10678</v>
      </c>
      <c r="D2688" s="176">
        <v>254.8</v>
      </c>
      <c r="E2688" s="151">
        <v>44799</v>
      </c>
      <c r="F2688" s="176">
        <v>254.8</v>
      </c>
      <c r="G2688" s="177">
        <f>Tabla19[[#This Row],[Importe]]-Tabla19[[#This Row],[Pagado]]</f>
        <v>0</v>
      </c>
      <c r="H2688" s="75" t="s">
        <v>10</v>
      </c>
    </row>
    <row r="2689" spans="1:8" x14ac:dyDescent="0.25">
      <c r="A2689" s="148">
        <v>44799</v>
      </c>
      <c r="B2689" s="149" t="s">
        <v>27444</v>
      </c>
      <c r="C2689" s="153" t="s">
        <v>1008</v>
      </c>
      <c r="D2689" s="178">
        <v>4242</v>
      </c>
      <c r="E2689" s="155">
        <v>44799</v>
      </c>
      <c r="F2689" s="178">
        <v>4242</v>
      </c>
      <c r="G2689" s="179">
        <f>Tabla19[[#This Row],[Importe]]-Tabla19[[#This Row],[Pagado]]</f>
        <v>0</v>
      </c>
      <c r="H2689" s="153" t="s">
        <v>10</v>
      </c>
    </row>
    <row r="2690" spans="1:8" x14ac:dyDescent="0.25">
      <c r="A2690" s="73">
        <v>44799</v>
      </c>
      <c r="B2690" s="74" t="s">
        <v>27445</v>
      </c>
      <c r="C2690" s="75" t="s">
        <v>69</v>
      </c>
      <c r="D2690" s="176">
        <v>2107.6</v>
      </c>
      <c r="E2690" s="151">
        <v>44799</v>
      </c>
      <c r="F2690" s="176">
        <v>2107.6</v>
      </c>
      <c r="G2690" s="177">
        <f>Tabla19[[#This Row],[Importe]]-Tabla19[[#This Row],[Pagado]]</f>
        <v>0</v>
      </c>
      <c r="H2690" s="75" t="s">
        <v>10</v>
      </c>
    </row>
    <row r="2691" spans="1:8" x14ac:dyDescent="0.25">
      <c r="A2691" s="148">
        <v>44799</v>
      </c>
      <c r="B2691" s="149" t="s">
        <v>27446</v>
      </c>
      <c r="C2691" s="153" t="s">
        <v>10190</v>
      </c>
      <c r="D2691" s="178">
        <v>21715.200000000001</v>
      </c>
      <c r="E2691" s="155">
        <v>44800</v>
      </c>
      <c r="F2691" s="178">
        <v>21715.200000000001</v>
      </c>
      <c r="G2691" s="179">
        <f>Tabla19[[#This Row],[Importe]]-Tabla19[[#This Row],[Pagado]]</f>
        <v>0</v>
      </c>
      <c r="H2691" s="153" t="s">
        <v>10</v>
      </c>
    </row>
    <row r="2692" spans="1:8" x14ac:dyDescent="0.25">
      <c r="A2692" s="73">
        <v>44799</v>
      </c>
      <c r="B2692" s="74" t="s">
        <v>27447</v>
      </c>
      <c r="C2692" s="75" t="s">
        <v>402</v>
      </c>
      <c r="D2692" s="176">
        <v>14848</v>
      </c>
      <c r="E2692" s="151">
        <v>44805</v>
      </c>
      <c r="F2692" s="176">
        <v>14848</v>
      </c>
      <c r="G2692" s="177">
        <f>Tabla19[[#This Row],[Importe]]-Tabla19[[#This Row],[Pagado]]</f>
        <v>0</v>
      </c>
      <c r="H2692" s="75" t="s">
        <v>10</v>
      </c>
    </row>
    <row r="2693" spans="1:8" x14ac:dyDescent="0.25">
      <c r="A2693" s="148">
        <v>44799</v>
      </c>
      <c r="B2693" s="149" t="s">
        <v>27448</v>
      </c>
      <c r="C2693" s="153" t="s">
        <v>400</v>
      </c>
      <c r="D2693" s="178">
        <v>4343.3999999999996</v>
      </c>
      <c r="E2693" s="155">
        <v>44805</v>
      </c>
      <c r="F2693" s="178">
        <v>4343.3999999999996</v>
      </c>
      <c r="G2693" s="179">
        <f>Tabla19[[#This Row],[Importe]]-Tabla19[[#This Row],[Pagado]]</f>
        <v>0</v>
      </c>
      <c r="H2693" s="153" t="s">
        <v>10</v>
      </c>
    </row>
    <row r="2694" spans="1:8" x14ac:dyDescent="0.25">
      <c r="A2694" s="73">
        <v>44799</v>
      </c>
      <c r="B2694" s="74" t="s">
        <v>27449</v>
      </c>
      <c r="C2694" s="75" t="s">
        <v>1421</v>
      </c>
      <c r="D2694" s="176">
        <v>65597.399999999994</v>
      </c>
      <c r="E2694" s="151">
        <v>44799</v>
      </c>
      <c r="F2694" s="176">
        <v>65597.399999999994</v>
      </c>
      <c r="G2694" s="177">
        <f>Tabla19[[#This Row],[Importe]]-Tabla19[[#This Row],[Pagado]]</f>
        <v>0</v>
      </c>
      <c r="H2694" s="75" t="s">
        <v>10</v>
      </c>
    </row>
    <row r="2695" spans="1:8" x14ac:dyDescent="0.25">
      <c r="A2695" s="148">
        <v>44799</v>
      </c>
      <c r="B2695" s="149" t="s">
        <v>27450</v>
      </c>
      <c r="C2695" s="153" t="s">
        <v>1421</v>
      </c>
      <c r="D2695" s="178">
        <v>253.5</v>
      </c>
      <c r="E2695" s="155">
        <v>44799</v>
      </c>
      <c r="F2695" s="178">
        <v>253.5</v>
      </c>
      <c r="G2695" s="179">
        <f>Tabla19[[#This Row],[Importe]]-Tabla19[[#This Row],[Pagado]]</f>
        <v>0</v>
      </c>
      <c r="H2695" s="153" t="s">
        <v>10</v>
      </c>
    </row>
    <row r="2696" spans="1:8" x14ac:dyDescent="0.25">
      <c r="A2696" s="73">
        <v>44799</v>
      </c>
      <c r="B2696" s="74" t="s">
        <v>27451</v>
      </c>
      <c r="C2696" s="75" t="s">
        <v>8501</v>
      </c>
      <c r="D2696" s="176">
        <v>9430.7999999999993</v>
      </c>
      <c r="E2696" s="151">
        <v>44799</v>
      </c>
      <c r="F2696" s="176">
        <v>9430.7999999999993</v>
      </c>
      <c r="G2696" s="177">
        <f>Tabla19[[#This Row],[Importe]]-Tabla19[[#This Row],[Pagado]]</f>
        <v>0</v>
      </c>
      <c r="H2696" s="75" t="s">
        <v>10</v>
      </c>
    </row>
    <row r="2697" spans="1:8" x14ac:dyDescent="0.25">
      <c r="A2697" s="148">
        <v>44799</v>
      </c>
      <c r="B2697" s="149" t="s">
        <v>27452</v>
      </c>
      <c r="C2697" s="153" t="s">
        <v>13392</v>
      </c>
      <c r="D2697" s="178">
        <v>0</v>
      </c>
      <c r="E2697" s="158" t="s">
        <v>189</v>
      </c>
      <c r="F2697" s="178">
        <v>0</v>
      </c>
      <c r="G2697" s="179">
        <f>Tabla19[[#This Row],[Importe]]-Tabla19[[#This Row],[Pagado]]</f>
        <v>0</v>
      </c>
      <c r="H2697" s="159" t="s">
        <v>27453</v>
      </c>
    </row>
    <row r="2698" spans="1:8" x14ac:dyDescent="0.25">
      <c r="A2698" s="73">
        <v>44799</v>
      </c>
      <c r="B2698" s="74" t="s">
        <v>27454</v>
      </c>
      <c r="C2698" s="75" t="s">
        <v>454</v>
      </c>
      <c r="D2698" s="176">
        <v>2000</v>
      </c>
      <c r="E2698" s="151">
        <v>44799</v>
      </c>
      <c r="F2698" s="176">
        <v>2000</v>
      </c>
      <c r="G2698" s="177">
        <f>Tabla19[[#This Row],[Importe]]-Tabla19[[#This Row],[Pagado]]</f>
        <v>0</v>
      </c>
      <c r="H2698" s="75" t="s">
        <v>10</v>
      </c>
    </row>
    <row r="2699" spans="1:8" x14ac:dyDescent="0.25">
      <c r="A2699" s="148">
        <v>44799</v>
      </c>
      <c r="B2699" s="149" t="s">
        <v>27455</v>
      </c>
      <c r="C2699" s="153" t="s">
        <v>275</v>
      </c>
      <c r="D2699" s="178">
        <v>102947.04</v>
      </c>
      <c r="E2699" s="155">
        <v>44823</v>
      </c>
      <c r="F2699" s="178">
        <v>102947.04</v>
      </c>
      <c r="G2699" s="179">
        <f>Tabla19[[#This Row],[Importe]]-Tabla19[[#This Row],[Pagado]]</f>
        <v>0</v>
      </c>
      <c r="H2699" s="153" t="s">
        <v>10</v>
      </c>
    </row>
    <row r="2700" spans="1:8" x14ac:dyDescent="0.25">
      <c r="A2700" s="73">
        <v>44799</v>
      </c>
      <c r="B2700" s="74" t="s">
        <v>27456</v>
      </c>
      <c r="C2700" s="75" t="s">
        <v>14743</v>
      </c>
      <c r="D2700" s="176">
        <v>0</v>
      </c>
      <c r="E2700" s="157" t="s">
        <v>189</v>
      </c>
      <c r="F2700" s="176">
        <v>0</v>
      </c>
      <c r="G2700" s="177">
        <f>Tabla19[[#This Row],[Importe]]-Tabla19[[#This Row],[Pagado]]</f>
        <v>0</v>
      </c>
      <c r="H2700" s="75" t="s">
        <v>189</v>
      </c>
    </row>
    <row r="2701" spans="1:8" x14ac:dyDescent="0.25">
      <c r="A2701" s="148">
        <v>44799</v>
      </c>
      <c r="B2701" s="149" t="s">
        <v>27457</v>
      </c>
      <c r="C2701" s="153" t="s">
        <v>296</v>
      </c>
      <c r="D2701" s="178">
        <v>1466.4</v>
      </c>
      <c r="E2701" s="155">
        <v>44799</v>
      </c>
      <c r="F2701" s="178">
        <v>1466.4</v>
      </c>
      <c r="G2701" s="179">
        <f>Tabla19[[#This Row],[Importe]]-Tabla19[[#This Row],[Pagado]]</f>
        <v>0</v>
      </c>
      <c r="H2701" s="153" t="s">
        <v>10</v>
      </c>
    </row>
    <row r="2702" spans="1:8" x14ac:dyDescent="0.25">
      <c r="A2702" s="73">
        <v>44799</v>
      </c>
      <c r="B2702" s="74" t="s">
        <v>27458</v>
      </c>
      <c r="C2702" s="75" t="s">
        <v>414</v>
      </c>
      <c r="D2702" s="176">
        <v>22185.200000000001</v>
      </c>
      <c r="E2702" s="151">
        <v>44809</v>
      </c>
      <c r="F2702" s="176">
        <v>22185.200000000001</v>
      </c>
      <c r="G2702" s="177">
        <f>Tabla19[[#This Row],[Importe]]-Tabla19[[#This Row],[Pagado]]</f>
        <v>0</v>
      </c>
      <c r="H2702" s="75" t="s">
        <v>10</v>
      </c>
    </row>
    <row r="2703" spans="1:8" x14ac:dyDescent="0.25">
      <c r="A2703" s="148">
        <v>44799</v>
      </c>
      <c r="B2703" s="149" t="s">
        <v>27459</v>
      </c>
      <c r="C2703" s="153" t="s">
        <v>670</v>
      </c>
      <c r="D2703" s="178">
        <v>4358.1000000000004</v>
      </c>
      <c r="E2703" s="155">
        <v>44803</v>
      </c>
      <c r="F2703" s="178">
        <v>4358.1000000000004</v>
      </c>
      <c r="G2703" s="179">
        <f>Tabla19[[#This Row],[Importe]]-Tabla19[[#This Row],[Pagado]]</f>
        <v>0</v>
      </c>
      <c r="H2703" s="153" t="s">
        <v>10</v>
      </c>
    </row>
    <row r="2704" spans="1:8" x14ac:dyDescent="0.25">
      <c r="A2704" s="73">
        <v>44799</v>
      </c>
      <c r="B2704" s="74" t="s">
        <v>27460</v>
      </c>
      <c r="C2704" s="75" t="s">
        <v>1265</v>
      </c>
      <c r="D2704" s="176">
        <v>615</v>
      </c>
      <c r="E2704" s="151">
        <v>44799</v>
      </c>
      <c r="F2704" s="176">
        <v>615</v>
      </c>
      <c r="G2704" s="177">
        <f>Tabla19[[#This Row],[Importe]]-Tabla19[[#This Row],[Pagado]]</f>
        <v>0</v>
      </c>
      <c r="H2704" s="75" t="s">
        <v>10</v>
      </c>
    </row>
    <row r="2705" spans="1:8" x14ac:dyDescent="0.25">
      <c r="A2705" s="148">
        <v>44799</v>
      </c>
      <c r="B2705" s="149" t="s">
        <v>27461</v>
      </c>
      <c r="C2705" s="153" t="s">
        <v>5694</v>
      </c>
      <c r="D2705" s="178">
        <v>4462.2</v>
      </c>
      <c r="E2705" s="155">
        <v>44799</v>
      </c>
      <c r="F2705" s="178">
        <v>4462.2</v>
      </c>
      <c r="G2705" s="179">
        <f>Tabla19[[#This Row],[Importe]]-Tabla19[[#This Row],[Pagado]]</f>
        <v>0</v>
      </c>
      <c r="H2705" s="153" t="s">
        <v>10</v>
      </c>
    </row>
    <row r="2706" spans="1:8" x14ac:dyDescent="0.25">
      <c r="A2706" s="73">
        <v>44799</v>
      </c>
      <c r="B2706" s="74" t="s">
        <v>27462</v>
      </c>
      <c r="C2706" s="75" t="s">
        <v>7313</v>
      </c>
      <c r="D2706" s="176">
        <v>4730.6000000000004</v>
      </c>
      <c r="E2706" s="151">
        <v>44799</v>
      </c>
      <c r="F2706" s="176">
        <v>4730.6000000000004</v>
      </c>
      <c r="G2706" s="177">
        <f>Tabla19[[#This Row],[Importe]]-Tabla19[[#This Row],[Pagado]]</f>
        <v>0</v>
      </c>
      <c r="H2706" s="75" t="s">
        <v>10</v>
      </c>
    </row>
    <row r="2707" spans="1:8" x14ac:dyDescent="0.25">
      <c r="A2707" s="148">
        <v>44799</v>
      </c>
      <c r="B2707" s="149" t="s">
        <v>27463</v>
      </c>
      <c r="C2707" s="153" t="s">
        <v>7313</v>
      </c>
      <c r="D2707" s="178">
        <v>693</v>
      </c>
      <c r="E2707" s="155">
        <v>44799</v>
      </c>
      <c r="F2707" s="178">
        <v>693</v>
      </c>
      <c r="G2707" s="179">
        <f>Tabla19[[#This Row],[Importe]]-Tabla19[[#This Row],[Pagado]]</f>
        <v>0</v>
      </c>
      <c r="H2707" s="153" t="s">
        <v>10</v>
      </c>
    </row>
    <row r="2708" spans="1:8" x14ac:dyDescent="0.25">
      <c r="A2708" s="73">
        <v>44799</v>
      </c>
      <c r="B2708" s="74" t="s">
        <v>27464</v>
      </c>
      <c r="C2708" s="75" t="s">
        <v>31</v>
      </c>
      <c r="D2708" s="176">
        <v>400</v>
      </c>
      <c r="E2708" s="151">
        <v>44799</v>
      </c>
      <c r="F2708" s="176">
        <v>400</v>
      </c>
      <c r="G2708" s="177">
        <f>Tabla19[[#This Row],[Importe]]-Tabla19[[#This Row],[Pagado]]</f>
        <v>0</v>
      </c>
      <c r="H2708" s="75" t="s">
        <v>10</v>
      </c>
    </row>
    <row r="2709" spans="1:8" x14ac:dyDescent="0.25">
      <c r="A2709" s="148">
        <v>44799</v>
      </c>
      <c r="B2709" s="149" t="s">
        <v>27465</v>
      </c>
      <c r="C2709" s="153" t="s">
        <v>27466</v>
      </c>
      <c r="D2709" s="178">
        <v>59976</v>
      </c>
      <c r="E2709" s="155">
        <v>44799</v>
      </c>
      <c r="F2709" s="178">
        <v>59976</v>
      </c>
      <c r="G2709" s="179">
        <f>Tabla19[[#This Row],[Importe]]-Tabla19[[#This Row],[Pagado]]</f>
        <v>0</v>
      </c>
      <c r="H2709" s="153" t="s">
        <v>10</v>
      </c>
    </row>
    <row r="2710" spans="1:8" x14ac:dyDescent="0.25">
      <c r="A2710" s="73">
        <v>44799</v>
      </c>
      <c r="B2710" s="74" t="s">
        <v>27467</v>
      </c>
      <c r="C2710" s="75" t="s">
        <v>196</v>
      </c>
      <c r="D2710" s="176">
        <v>42523.44</v>
      </c>
      <c r="E2710" s="151">
        <v>44806</v>
      </c>
      <c r="F2710" s="176">
        <v>42523.44</v>
      </c>
      <c r="G2710" s="177">
        <f>Tabla19[[#This Row],[Importe]]-Tabla19[[#This Row],[Pagado]]</f>
        <v>0</v>
      </c>
      <c r="H2710" s="75" t="s">
        <v>10</v>
      </c>
    </row>
    <row r="2711" spans="1:8" x14ac:dyDescent="0.25">
      <c r="A2711" s="148">
        <v>44800</v>
      </c>
      <c r="B2711" s="149" t="s">
        <v>27468</v>
      </c>
      <c r="C2711" s="153" t="s">
        <v>887</v>
      </c>
      <c r="D2711" s="178">
        <v>22403.599999999999</v>
      </c>
      <c r="E2711" s="155">
        <v>44800</v>
      </c>
      <c r="F2711" s="178">
        <v>22403.599999999999</v>
      </c>
      <c r="G2711" s="179">
        <f>Tabla19[[#This Row],[Importe]]-Tabla19[[#This Row],[Pagado]]</f>
        <v>0</v>
      </c>
      <c r="H2711" s="153" t="s">
        <v>10</v>
      </c>
    </row>
    <row r="2712" spans="1:8" x14ac:dyDescent="0.25">
      <c r="A2712" s="73">
        <v>44800</v>
      </c>
      <c r="B2712" s="74" t="s">
        <v>27469</v>
      </c>
      <c r="C2712" s="75" t="s">
        <v>475</v>
      </c>
      <c r="D2712" s="176">
        <v>52890.8</v>
      </c>
      <c r="E2712" s="151">
        <v>44801</v>
      </c>
      <c r="F2712" s="176">
        <v>52890.8</v>
      </c>
      <c r="G2712" s="177">
        <f>Tabla19[[#This Row],[Importe]]-Tabla19[[#This Row],[Pagado]]</f>
        <v>0</v>
      </c>
      <c r="H2712" s="75" t="s">
        <v>10</v>
      </c>
    </row>
    <row r="2713" spans="1:8" x14ac:dyDescent="0.25">
      <c r="A2713" s="148">
        <v>44800</v>
      </c>
      <c r="B2713" s="149" t="s">
        <v>27470</v>
      </c>
      <c r="C2713" s="153" t="s">
        <v>12</v>
      </c>
      <c r="D2713" s="178">
        <v>24599.4</v>
      </c>
      <c r="E2713" s="155">
        <v>44800</v>
      </c>
      <c r="F2713" s="178">
        <v>24599.4</v>
      </c>
      <c r="G2713" s="179">
        <f>Tabla19[[#This Row],[Importe]]-Tabla19[[#This Row],[Pagado]]</f>
        <v>0</v>
      </c>
      <c r="H2713" s="153" t="s">
        <v>10</v>
      </c>
    </row>
    <row r="2714" spans="1:8" x14ac:dyDescent="0.25">
      <c r="A2714" s="73">
        <v>44800</v>
      </c>
      <c r="B2714" s="74" t="s">
        <v>27471</v>
      </c>
      <c r="C2714" s="75" t="s">
        <v>31</v>
      </c>
      <c r="D2714" s="176">
        <v>8526.1</v>
      </c>
      <c r="E2714" s="151">
        <v>44800</v>
      </c>
      <c r="F2714" s="176">
        <v>8526.1</v>
      </c>
      <c r="G2714" s="177">
        <f>Tabla19[[#This Row],[Importe]]-Tabla19[[#This Row],[Pagado]]</f>
        <v>0</v>
      </c>
      <c r="H2714" s="75" t="s">
        <v>10</v>
      </c>
    </row>
    <row r="2715" spans="1:8" x14ac:dyDescent="0.25">
      <c r="A2715" s="148">
        <v>44800</v>
      </c>
      <c r="B2715" s="149" t="s">
        <v>27472</v>
      </c>
      <c r="C2715" s="153" t="s">
        <v>95</v>
      </c>
      <c r="D2715" s="178">
        <v>21576</v>
      </c>
      <c r="E2715" s="155">
        <v>44800</v>
      </c>
      <c r="F2715" s="178">
        <v>21576</v>
      </c>
      <c r="G2715" s="179">
        <f>Tabla19[[#This Row],[Importe]]-Tabla19[[#This Row],[Pagado]]</f>
        <v>0</v>
      </c>
      <c r="H2715" s="153" t="s">
        <v>10</v>
      </c>
    </row>
    <row r="2716" spans="1:8" x14ac:dyDescent="0.25">
      <c r="A2716" s="73">
        <v>44800</v>
      </c>
      <c r="B2716" s="74" t="s">
        <v>27473</v>
      </c>
      <c r="C2716" s="75" t="s">
        <v>109</v>
      </c>
      <c r="D2716" s="176">
        <v>6281.1</v>
      </c>
      <c r="E2716" s="151">
        <v>44802</v>
      </c>
      <c r="F2716" s="176">
        <v>6281.1</v>
      </c>
      <c r="G2716" s="177">
        <f>Tabla19[[#This Row],[Importe]]-Tabla19[[#This Row],[Pagado]]</f>
        <v>0</v>
      </c>
      <c r="H2716" s="75" t="s">
        <v>10</v>
      </c>
    </row>
    <row r="2717" spans="1:8" x14ac:dyDescent="0.25">
      <c r="A2717" s="148">
        <v>44800</v>
      </c>
      <c r="B2717" s="149" t="s">
        <v>27474</v>
      </c>
      <c r="C2717" s="153" t="s">
        <v>60</v>
      </c>
      <c r="D2717" s="178">
        <v>5070</v>
      </c>
      <c r="E2717" s="155">
        <v>44807</v>
      </c>
      <c r="F2717" s="178">
        <v>5070</v>
      </c>
      <c r="G2717" s="179">
        <f>Tabla19[[#This Row],[Importe]]-Tabla19[[#This Row],[Pagado]]</f>
        <v>0</v>
      </c>
      <c r="H2717" s="153" t="s">
        <v>10</v>
      </c>
    </row>
    <row r="2718" spans="1:8" x14ac:dyDescent="0.25">
      <c r="A2718" s="73">
        <v>44800</v>
      </c>
      <c r="B2718" s="74" t="s">
        <v>27475</v>
      </c>
      <c r="C2718" s="75" t="s">
        <v>89</v>
      </c>
      <c r="D2718" s="176">
        <v>5740</v>
      </c>
      <c r="E2718" s="151">
        <v>44802</v>
      </c>
      <c r="F2718" s="176">
        <v>5740</v>
      </c>
      <c r="G2718" s="177">
        <f>Tabla19[[#This Row],[Importe]]-Tabla19[[#This Row],[Pagado]]</f>
        <v>0</v>
      </c>
      <c r="H2718" s="75" t="s">
        <v>10</v>
      </c>
    </row>
    <row r="2719" spans="1:8" x14ac:dyDescent="0.25">
      <c r="A2719" s="148">
        <v>44800</v>
      </c>
      <c r="B2719" s="149" t="s">
        <v>27476</v>
      </c>
      <c r="C2719" s="153" t="s">
        <v>64</v>
      </c>
      <c r="D2719" s="178">
        <v>9672</v>
      </c>
      <c r="E2719" s="155">
        <v>44802</v>
      </c>
      <c r="F2719" s="178">
        <v>9672</v>
      </c>
      <c r="G2719" s="179">
        <f>Tabla19[[#This Row],[Importe]]-Tabla19[[#This Row],[Pagado]]</f>
        <v>0</v>
      </c>
      <c r="H2719" s="153" t="s">
        <v>10</v>
      </c>
    </row>
    <row r="2720" spans="1:8" x14ac:dyDescent="0.25">
      <c r="A2720" s="73">
        <v>44800</v>
      </c>
      <c r="B2720" s="74" t="s">
        <v>27477</v>
      </c>
      <c r="C2720" s="75" t="s">
        <v>348</v>
      </c>
      <c r="D2720" s="176">
        <v>7957.6</v>
      </c>
      <c r="E2720" s="151">
        <v>44800</v>
      </c>
      <c r="F2720" s="176">
        <v>7957.6</v>
      </c>
      <c r="G2720" s="177">
        <f>Tabla19[[#This Row],[Importe]]-Tabla19[[#This Row],[Pagado]]</f>
        <v>0</v>
      </c>
      <c r="H2720" s="75" t="s">
        <v>10</v>
      </c>
    </row>
    <row r="2721" spans="1:8" x14ac:dyDescent="0.25">
      <c r="A2721" s="148">
        <v>44800</v>
      </c>
      <c r="B2721" s="149" t="s">
        <v>27478</v>
      </c>
      <c r="C2721" s="153" t="s">
        <v>111</v>
      </c>
      <c r="D2721" s="178">
        <v>11705.4</v>
      </c>
      <c r="E2721" s="155">
        <v>44802</v>
      </c>
      <c r="F2721" s="178">
        <v>11705.4</v>
      </c>
      <c r="G2721" s="179">
        <f>Tabla19[[#This Row],[Importe]]-Tabla19[[#This Row],[Pagado]]</f>
        <v>0</v>
      </c>
      <c r="H2721" s="153" t="s">
        <v>10</v>
      </c>
    </row>
    <row r="2722" spans="1:8" x14ac:dyDescent="0.25">
      <c r="A2722" s="73">
        <v>44800</v>
      </c>
      <c r="B2722" s="74" t="s">
        <v>27479</v>
      </c>
      <c r="C2722" s="75" t="s">
        <v>345</v>
      </c>
      <c r="D2722" s="176">
        <v>494</v>
      </c>
      <c r="E2722" s="151">
        <v>44800</v>
      </c>
      <c r="F2722" s="176">
        <v>494</v>
      </c>
      <c r="G2722" s="177">
        <f>Tabla19[[#This Row],[Importe]]-Tabla19[[#This Row],[Pagado]]</f>
        <v>0</v>
      </c>
      <c r="H2722" s="75" t="s">
        <v>10</v>
      </c>
    </row>
    <row r="2723" spans="1:8" x14ac:dyDescent="0.25">
      <c r="A2723" s="148">
        <v>44800</v>
      </c>
      <c r="B2723" s="149" t="s">
        <v>27480</v>
      </c>
      <c r="C2723" s="153" t="s">
        <v>97</v>
      </c>
      <c r="D2723" s="178">
        <v>4608.5</v>
      </c>
      <c r="E2723" s="155">
        <v>44802</v>
      </c>
      <c r="F2723" s="178">
        <v>4608.5</v>
      </c>
      <c r="G2723" s="179">
        <f>Tabla19[[#This Row],[Importe]]-Tabla19[[#This Row],[Pagado]]</f>
        <v>0</v>
      </c>
      <c r="H2723" s="153" t="s">
        <v>10</v>
      </c>
    </row>
    <row r="2724" spans="1:8" x14ac:dyDescent="0.25">
      <c r="A2724" s="73">
        <v>44800</v>
      </c>
      <c r="B2724" s="74" t="s">
        <v>27481</v>
      </c>
      <c r="C2724" s="75" t="s">
        <v>326</v>
      </c>
      <c r="D2724" s="176">
        <v>15418</v>
      </c>
      <c r="E2724" s="151">
        <v>44802</v>
      </c>
      <c r="F2724" s="176">
        <v>15418</v>
      </c>
      <c r="G2724" s="177">
        <f>Tabla19[[#This Row],[Importe]]-Tabla19[[#This Row],[Pagado]]</f>
        <v>0</v>
      </c>
      <c r="H2724" s="75" t="s">
        <v>10</v>
      </c>
    </row>
    <row r="2725" spans="1:8" x14ac:dyDescent="0.25">
      <c r="A2725" s="148">
        <v>44800</v>
      </c>
      <c r="B2725" s="149" t="s">
        <v>27482</v>
      </c>
      <c r="C2725" s="153" t="s">
        <v>5043</v>
      </c>
      <c r="D2725" s="178">
        <v>5713.5</v>
      </c>
      <c r="E2725" s="155">
        <v>44802</v>
      </c>
      <c r="F2725" s="178">
        <v>5713.5</v>
      </c>
      <c r="G2725" s="179">
        <f>Tabla19[[#This Row],[Importe]]-Tabla19[[#This Row],[Pagado]]</f>
        <v>0</v>
      </c>
      <c r="H2725" s="153" t="s">
        <v>10</v>
      </c>
    </row>
    <row r="2726" spans="1:8" x14ac:dyDescent="0.25">
      <c r="A2726" s="73">
        <v>44800</v>
      </c>
      <c r="B2726" s="74" t="s">
        <v>27483</v>
      </c>
      <c r="C2726" s="75" t="s">
        <v>24768</v>
      </c>
      <c r="D2726" s="176">
        <v>4554</v>
      </c>
      <c r="E2726" s="151">
        <v>44800</v>
      </c>
      <c r="F2726" s="176">
        <v>4554</v>
      </c>
      <c r="G2726" s="177">
        <f>Tabla19[[#This Row],[Importe]]-Tabla19[[#This Row],[Pagado]]</f>
        <v>0</v>
      </c>
      <c r="H2726" s="75" t="s">
        <v>10</v>
      </c>
    </row>
    <row r="2727" spans="1:8" ht="31.5" x14ac:dyDescent="0.25">
      <c r="A2727" s="148">
        <v>44800</v>
      </c>
      <c r="B2727" s="149" t="s">
        <v>27484</v>
      </c>
      <c r="C2727" s="153" t="s">
        <v>99</v>
      </c>
      <c r="D2727" s="178">
        <v>14806.4</v>
      </c>
      <c r="E2727" s="150" t="s">
        <v>27485</v>
      </c>
      <c r="F2727" s="178">
        <f>8000+6806.4</f>
        <v>14806.4</v>
      </c>
      <c r="G2727" s="179">
        <f>Tabla19[[#This Row],[Importe]]-Tabla19[[#This Row],[Pagado]]</f>
        <v>0</v>
      </c>
      <c r="H2727" s="153" t="s">
        <v>10</v>
      </c>
    </row>
    <row r="2728" spans="1:8" x14ac:dyDescent="0.25">
      <c r="A2728" s="73">
        <v>44800</v>
      </c>
      <c r="B2728" s="74" t="s">
        <v>27486</v>
      </c>
      <c r="C2728" s="75" t="s">
        <v>114</v>
      </c>
      <c r="D2728" s="176">
        <v>19164.599999999999</v>
      </c>
      <c r="E2728" s="151">
        <v>44802</v>
      </c>
      <c r="F2728" s="176">
        <v>19164.599999999999</v>
      </c>
      <c r="G2728" s="177">
        <f>Tabla19[[#This Row],[Importe]]-Tabla19[[#This Row],[Pagado]]</f>
        <v>0</v>
      </c>
      <c r="H2728" s="75" t="s">
        <v>10</v>
      </c>
    </row>
    <row r="2729" spans="1:8" x14ac:dyDescent="0.25">
      <c r="A2729" s="148">
        <v>44800</v>
      </c>
      <c r="B2729" s="149" t="s">
        <v>27487</v>
      </c>
      <c r="C2729" s="153" t="s">
        <v>2151</v>
      </c>
      <c r="D2729" s="178">
        <v>46159.4</v>
      </c>
      <c r="E2729" s="155">
        <v>44800</v>
      </c>
      <c r="F2729" s="178">
        <v>46159.4</v>
      </c>
      <c r="G2729" s="179">
        <f>Tabla19[[#This Row],[Importe]]-Tabla19[[#This Row],[Pagado]]</f>
        <v>0</v>
      </c>
      <c r="H2729" s="153" t="s">
        <v>10</v>
      </c>
    </row>
    <row r="2730" spans="1:8" ht="47.25" x14ac:dyDescent="0.25">
      <c r="A2730" s="73">
        <v>44800</v>
      </c>
      <c r="B2730" s="74" t="s">
        <v>27488</v>
      </c>
      <c r="C2730" s="75" t="s">
        <v>93</v>
      </c>
      <c r="D2730" s="176">
        <v>20332.599999999999</v>
      </c>
      <c r="E2730" s="147" t="s">
        <v>27489</v>
      </c>
      <c r="F2730" s="176">
        <f>5000+11000+4332.6</f>
        <v>20332.599999999999</v>
      </c>
      <c r="G2730" s="177">
        <f>Tabla19[[#This Row],[Importe]]-Tabla19[[#This Row],[Pagado]]</f>
        <v>0</v>
      </c>
      <c r="H2730" s="75" t="s">
        <v>10</v>
      </c>
    </row>
    <row r="2731" spans="1:8" x14ac:dyDescent="0.25">
      <c r="A2731" s="148">
        <v>44800</v>
      </c>
      <c r="B2731" s="149" t="s">
        <v>27490</v>
      </c>
      <c r="C2731" s="153" t="s">
        <v>105</v>
      </c>
      <c r="D2731" s="178">
        <v>10987.2</v>
      </c>
      <c r="E2731" s="155">
        <v>44802</v>
      </c>
      <c r="F2731" s="178">
        <v>10987.2</v>
      </c>
      <c r="G2731" s="179">
        <f>Tabla19[[#This Row],[Importe]]-Tabla19[[#This Row],[Pagado]]</f>
        <v>0</v>
      </c>
      <c r="H2731" s="153" t="s">
        <v>10</v>
      </c>
    </row>
    <row r="2732" spans="1:8" x14ac:dyDescent="0.25">
      <c r="A2732" s="73">
        <v>44800</v>
      </c>
      <c r="B2732" s="74" t="s">
        <v>27491</v>
      </c>
      <c r="C2732" s="75" t="s">
        <v>314</v>
      </c>
      <c r="D2732" s="176">
        <v>3351.2</v>
      </c>
      <c r="E2732" s="151">
        <v>44800</v>
      </c>
      <c r="F2732" s="176">
        <v>3351.2</v>
      </c>
      <c r="G2732" s="177">
        <f>Tabla19[[#This Row],[Importe]]-Tabla19[[#This Row],[Pagado]]</f>
        <v>0</v>
      </c>
      <c r="H2732" s="75" t="s">
        <v>10</v>
      </c>
    </row>
    <row r="2733" spans="1:8" x14ac:dyDescent="0.25">
      <c r="A2733" s="148">
        <v>44800</v>
      </c>
      <c r="B2733" s="149" t="s">
        <v>27492</v>
      </c>
      <c r="C2733" s="153" t="s">
        <v>9</v>
      </c>
      <c r="D2733" s="178">
        <v>10231.299999999999</v>
      </c>
      <c r="E2733" s="155">
        <v>44800</v>
      </c>
      <c r="F2733" s="178">
        <v>10231.299999999999</v>
      </c>
      <c r="G2733" s="179">
        <f>Tabla19[[#This Row],[Importe]]-Tabla19[[#This Row],[Pagado]]</f>
        <v>0</v>
      </c>
      <c r="H2733" s="153" t="s">
        <v>10</v>
      </c>
    </row>
    <row r="2734" spans="1:8" x14ac:dyDescent="0.25">
      <c r="A2734" s="73">
        <v>44800</v>
      </c>
      <c r="B2734" s="74" t="s">
        <v>27493</v>
      </c>
      <c r="C2734" s="75" t="s">
        <v>426</v>
      </c>
      <c r="D2734" s="176">
        <v>4373.2</v>
      </c>
      <c r="E2734" s="151">
        <v>44800</v>
      </c>
      <c r="F2734" s="176">
        <v>4373.2</v>
      </c>
      <c r="G2734" s="177">
        <f>Tabla19[[#This Row],[Importe]]-Tabla19[[#This Row],[Pagado]]</f>
        <v>0</v>
      </c>
      <c r="H2734" s="75" t="s">
        <v>10</v>
      </c>
    </row>
    <row r="2735" spans="1:8" x14ac:dyDescent="0.25">
      <c r="A2735" s="148">
        <v>44800</v>
      </c>
      <c r="B2735" s="149" t="s">
        <v>27494</v>
      </c>
      <c r="C2735" s="153" t="s">
        <v>181</v>
      </c>
      <c r="D2735" s="178">
        <v>11095</v>
      </c>
      <c r="E2735" s="155">
        <v>44800</v>
      </c>
      <c r="F2735" s="178">
        <v>11095</v>
      </c>
      <c r="G2735" s="179">
        <f>Tabla19[[#This Row],[Importe]]-Tabla19[[#This Row],[Pagado]]</f>
        <v>0</v>
      </c>
      <c r="H2735" s="153" t="s">
        <v>10</v>
      </c>
    </row>
    <row r="2736" spans="1:8" x14ac:dyDescent="0.25">
      <c r="A2736" s="73">
        <v>44800</v>
      </c>
      <c r="B2736" s="74" t="s">
        <v>27495</v>
      </c>
      <c r="C2736" s="75" t="s">
        <v>87</v>
      </c>
      <c r="D2736" s="176">
        <v>4589.3999999999996</v>
      </c>
      <c r="E2736" s="151">
        <v>44800</v>
      </c>
      <c r="F2736" s="176">
        <v>4589.3999999999996</v>
      </c>
      <c r="G2736" s="177">
        <f>Tabla19[[#This Row],[Importe]]-Tabla19[[#This Row],[Pagado]]</f>
        <v>0</v>
      </c>
      <c r="H2736" s="75" t="s">
        <v>10</v>
      </c>
    </row>
    <row r="2737" spans="1:8" x14ac:dyDescent="0.25">
      <c r="A2737" s="148">
        <v>44800</v>
      </c>
      <c r="B2737" s="149" t="s">
        <v>27496</v>
      </c>
      <c r="C2737" s="153" t="s">
        <v>105</v>
      </c>
      <c r="D2737" s="178">
        <v>1344</v>
      </c>
      <c r="E2737" s="155">
        <v>44802</v>
      </c>
      <c r="F2737" s="178">
        <v>1344</v>
      </c>
      <c r="G2737" s="179">
        <f>Tabla19[[#This Row],[Importe]]-Tabla19[[#This Row],[Pagado]]</f>
        <v>0</v>
      </c>
      <c r="H2737" s="153" t="s">
        <v>10</v>
      </c>
    </row>
    <row r="2738" spans="1:8" x14ac:dyDescent="0.25">
      <c r="A2738" s="73">
        <v>44800</v>
      </c>
      <c r="B2738" s="74" t="s">
        <v>27497</v>
      </c>
      <c r="C2738" s="75" t="s">
        <v>22</v>
      </c>
      <c r="D2738" s="176">
        <v>61894</v>
      </c>
      <c r="E2738" s="151">
        <v>44801</v>
      </c>
      <c r="F2738" s="176">
        <v>61894</v>
      </c>
      <c r="G2738" s="177">
        <f>Tabla19[[#This Row],[Importe]]-Tabla19[[#This Row],[Pagado]]</f>
        <v>0</v>
      </c>
      <c r="H2738" s="75" t="s">
        <v>10</v>
      </c>
    </row>
    <row r="2739" spans="1:8" x14ac:dyDescent="0.25">
      <c r="A2739" s="148">
        <v>44800</v>
      </c>
      <c r="B2739" s="149" t="s">
        <v>27498</v>
      </c>
      <c r="C2739" s="153" t="s">
        <v>105</v>
      </c>
      <c r="D2739" s="178">
        <v>5222.1000000000004</v>
      </c>
      <c r="E2739" s="155">
        <v>44802</v>
      </c>
      <c r="F2739" s="178">
        <v>5222.1000000000004</v>
      </c>
      <c r="G2739" s="179">
        <f>Tabla19[[#This Row],[Importe]]-Tabla19[[#This Row],[Pagado]]</f>
        <v>0</v>
      </c>
      <c r="H2739" s="153" t="s">
        <v>10</v>
      </c>
    </row>
    <row r="2740" spans="1:8" x14ac:dyDescent="0.25">
      <c r="A2740" s="73">
        <v>44800</v>
      </c>
      <c r="B2740" s="74" t="s">
        <v>27499</v>
      </c>
      <c r="C2740" s="75" t="s">
        <v>99</v>
      </c>
      <c r="D2740" s="176">
        <v>12594.8</v>
      </c>
      <c r="E2740" s="151">
        <v>44800</v>
      </c>
      <c r="F2740" s="176">
        <v>12594.8</v>
      </c>
      <c r="G2740" s="177">
        <f>Tabla19[[#This Row],[Importe]]-Tabla19[[#This Row],[Pagado]]</f>
        <v>0</v>
      </c>
      <c r="H2740" s="75" t="s">
        <v>10</v>
      </c>
    </row>
    <row r="2741" spans="1:8" ht="31.5" x14ac:dyDescent="0.25">
      <c r="A2741" s="148">
        <v>44800</v>
      </c>
      <c r="B2741" s="149" t="s">
        <v>27500</v>
      </c>
      <c r="C2741" s="160" t="s">
        <v>23769</v>
      </c>
      <c r="D2741" s="178">
        <v>0</v>
      </c>
      <c r="E2741" s="158" t="s">
        <v>189</v>
      </c>
      <c r="F2741" s="178">
        <v>0</v>
      </c>
      <c r="G2741" s="179">
        <f>Tabla19[[#This Row],[Importe]]-Tabla19[[#This Row],[Pagado]]</f>
        <v>0</v>
      </c>
      <c r="H2741" s="153" t="s">
        <v>189</v>
      </c>
    </row>
    <row r="2742" spans="1:8" x14ac:dyDescent="0.25">
      <c r="A2742" s="73">
        <v>44800</v>
      </c>
      <c r="B2742" s="74" t="s">
        <v>27501</v>
      </c>
      <c r="C2742" s="75" t="s">
        <v>200</v>
      </c>
      <c r="D2742" s="176">
        <v>2471.6</v>
      </c>
      <c r="E2742" s="151">
        <v>44800</v>
      </c>
      <c r="F2742" s="176">
        <v>2471.6</v>
      </c>
      <c r="G2742" s="177">
        <f>Tabla19[[#This Row],[Importe]]-Tabla19[[#This Row],[Pagado]]</f>
        <v>0</v>
      </c>
      <c r="H2742" s="75" t="s">
        <v>10</v>
      </c>
    </row>
    <row r="2743" spans="1:8" x14ac:dyDescent="0.25">
      <c r="A2743" s="148">
        <v>44800</v>
      </c>
      <c r="B2743" s="149" t="s">
        <v>27502</v>
      </c>
      <c r="C2743" s="153" t="s">
        <v>17556</v>
      </c>
      <c r="D2743" s="178">
        <v>5372.8</v>
      </c>
      <c r="E2743" s="155">
        <v>44800</v>
      </c>
      <c r="F2743" s="178">
        <v>5372.8</v>
      </c>
      <c r="G2743" s="179">
        <f>Tabla19[[#This Row],[Importe]]-Tabla19[[#This Row],[Pagado]]</f>
        <v>0</v>
      </c>
      <c r="H2743" s="153" t="s">
        <v>10</v>
      </c>
    </row>
    <row r="2744" spans="1:8" x14ac:dyDescent="0.25">
      <c r="A2744" s="73">
        <v>44800</v>
      </c>
      <c r="B2744" s="74" t="s">
        <v>27503</v>
      </c>
      <c r="C2744" s="75" t="s">
        <v>79</v>
      </c>
      <c r="D2744" s="176">
        <v>15629.6</v>
      </c>
      <c r="E2744" s="151">
        <v>44800</v>
      </c>
      <c r="F2744" s="176">
        <v>15629.6</v>
      </c>
      <c r="G2744" s="177">
        <f>Tabla19[[#This Row],[Importe]]-Tabla19[[#This Row],[Pagado]]</f>
        <v>0</v>
      </c>
      <c r="H2744" s="75" t="s">
        <v>10</v>
      </c>
    </row>
    <row r="2745" spans="1:8" x14ac:dyDescent="0.25">
      <c r="A2745" s="148">
        <v>44800</v>
      </c>
      <c r="B2745" s="149" t="s">
        <v>27504</v>
      </c>
      <c r="C2745" s="153" t="s">
        <v>481</v>
      </c>
      <c r="D2745" s="178">
        <v>2049.6</v>
      </c>
      <c r="E2745" s="155">
        <v>44800</v>
      </c>
      <c r="F2745" s="178">
        <v>2049.6</v>
      </c>
      <c r="G2745" s="179">
        <f>Tabla19[[#This Row],[Importe]]-Tabla19[[#This Row],[Pagado]]</f>
        <v>0</v>
      </c>
      <c r="H2745" s="153" t="s">
        <v>10</v>
      </c>
    </row>
    <row r="2746" spans="1:8" x14ac:dyDescent="0.25">
      <c r="A2746" s="73">
        <v>44800</v>
      </c>
      <c r="B2746" s="74" t="s">
        <v>27505</v>
      </c>
      <c r="C2746" s="75" t="s">
        <v>16</v>
      </c>
      <c r="D2746" s="176">
        <v>7042</v>
      </c>
      <c r="E2746" s="151">
        <v>44800</v>
      </c>
      <c r="F2746" s="176">
        <v>7042</v>
      </c>
      <c r="G2746" s="177">
        <f>Tabla19[[#This Row],[Importe]]-Tabla19[[#This Row],[Pagado]]</f>
        <v>0</v>
      </c>
      <c r="H2746" s="75" t="s">
        <v>10</v>
      </c>
    </row>
    <row r="2747" spans="1:8" x14ac:dyDescent="0.25">
      <c r="A2747" s="148">
        <v>44800</v>
      </c>
      <c r="B2747" s="149" t="s">
        <v>27506</v>
      </c>
      <c r="C2747" s="153" t="s">
        <v>157</v>
      </c>
      <c r="D2747" s="178">
        <v>7611.5</v>
      </c>
      <c r="E2747" s="155">
        <v>44800</v>
      </c>
      <c r="F2747" s="178">
        <v>7611.5</v>
      </c>
      <c r="G2747" s="179">
        <f>Tabla19[[#This Row],[Importe]]-Tabla19[[#This Row],[Pagado]]</f>
        <v>0</v>
      </c>
      <c r="H2747" s="153" t="s">
        <v>10</v>
      </c>
    </row>
    <row r="2748" spans="1:8" x14ac:dyDescent="0.25">
      <c r="A2748" s="73">
        <v>44800</v>
      </c>
      <c r="B2748" s="74" t="s">
        <v>27507</v>
      </c>
      <c r="C2748" s="75" t="s">
        <v>319</v>
      </c>
      <c r="D2748" s="176">
        <v>11578.9</v>
      </c>
      <c r="E2748" s="151">
        <v>44800</v>
      </c>
      <c r="F2748" s="176">
        <v>11578.9</v>
      </c>
      <c r="G2748" s="177">
        <f>Tabla19[[#This Row],[Importe]]-Tabla19[[#This Row],[Pagado]]</f>
        <v>0</v>
      </c>
      <c r="H2748" s="75" t="s">
        <v>10</v>
      </c>
    </row>
    <row r="2749" spans="1:8" x14ac:dyDescent="0.25">
      <c r="A2749" s="148">
        <v>44800</v>
      </c>
      <c r="B2749" s="149" t="s">
        <v>27508</v>
      </c>
      <c r="C2749" s="153" t="s">
        <v>348</v>
      </c>
      <c r="D2749" s="178">
        <v>3645.6</v>
      </c>
      <c r="E2749" s="155">
        <v>44800</v>
      </c>
      <c r="F2749" s="178">
        <v>3645.6</v>
      </c>
      <c r="G2749" s="179">
        <f>Tabla19[[#This Row],[Importe]]-Tabla19[[#This Row],[Pagado]]</f>
        <v>0</v>
      </c>
      <c r="H2749" s="153" t="s">
        <v>10</v>
      </c>
    </row>
    <row r="2750" spans="1:8" x14ac:dyDescent="0.25">
      <c r="A2750" s="73">
        <v>44800</v>
      </c>
      <c r="B2750" s="74" t="s">
        <v>27509</v>
      </c>
      <c r="C2750" s="75" t="s">
        <v>520</v>
      </c>
      <c r="D2750" s="176">
        <v>6104.8</v>
      </c>
      <c r="E2750" s="151">
        <v>44800</v>
      </c>
      <c r="F2750" s="176">
        <v>6104.8</v>
      </c>
      <c r="G2750" s="177">
        <f>Tabla19[[#This Row],[Importe]]-Tabla19[[#This Row],[Pagado]]</f>
        <v>0</v>
      </c>
      <c r="H2750" s="75" t="s">
        <v>10</v>
      </c>
    </row>
    <row r="2751" spans="1:8" x14ac:dyDescent="0.25">
      <c r="A2751" s="148">
        <v>44800</v>
      </c>
      <c r="B2751" s="149" t="s">
        <v>27510</v>
      </c>
      <c r="C2751" s="153" t="s">
        <v>29</v>
      </c>
      <c r="D2751" s="178">
        <v>7940.2</v>
      </c>
      <c r="E2751" s="155">
        <v>44800</v>
      </c>
      <c r="F2751" s="178">
        <v>7940.2</v>
      </c>
      <c r="G2751" s="179">
        <f>Tabla19[[#This Row],[Importe]]-Tabla19[[#This Row],[Pagado]]</f>
        <v>0</v>
      </c>
      <c r="H2751" s="153" t="s">
        <v>10</v>
      </c>
    </row>
    <row r="2752" spans="1:8" x14ac:dyDescent="0.25">
      <c r="A2752" s="73">
        <v>44800</v>
      </c>
      <c r="B2752" s="74" t="s">
        <v>27511</v>
      </c>
      <c r="C2752" s="75" t="s">
        <v>45</v>
      </c>
      <c r="D2752" s="176">
        <v>11063.6</v>
      </c>
      <c r="E2752" s="151">
        <v>44800</v>
      </c>
      <c r="F2752" s="176">
        <v>11063.6</v>
      </c>
      <c r="G2752" s="177">
        <f>Tabla19[[#This Row],[Importe]]-Tabla19[[#This Row],[Pagado]]</f>
        <v>0</v>
      </c>
      <c r="H2752" s="75" t="s">
        <v>10</v>
      </c>
    </row>
    <row r="2753" spans="1:8" x14ac:dyDescent="0.25">
      <c r="A2753" s="148">
        <v>44800</v>
      </c>
      <c r="B2753" s="149" t="s">
        <v>27512</v>
      </c>
      <c r="C2753" s="153" t="s">
        <v>159</v>
      </c>
      <c r="D2753" s="178">
        <v>2677.6</v>
      </c>
      <c r="E2753" s="155">
        <v>44800</v>
      </c>
      <c r="F2753" s="178">
        <v>2677.6</v>
      </c>
      <c r="G2753" s="179">
        <f>Tabla19[[#This Row],[Importe]]-Tabla19[[#This Row],[Pagado]]</f>
        <v>0</v>
      </c>
      <c r="H2753" s="153" t="s">
        <v>10</v>
      </c>
    </row>
    <row r="2754" spans="1:8" x14ac:dyDescent="0.25">
      <c r="A2754" s="73">
        <v>44800</v>
      </c>
      <c r="B2754" s="74" t="s">
        <v>27513</v>
      </c>
      <c r="C2754" s="75" t="s">
        <v>151</v>
      </c>
      <c r="D2754" s="176">
        <v>6294.4</v>
      </c>
      <c r="E2754" s="151">
        <v>44800</v>
      </c>
      <c r="F2754" s="176">
        <v>6294.4</v>
      </c>
      <c r="G2754" s="177">
        <f>Tabla19[[#This Row],[Importe]]-Tabla19[[#This Row],[Pagado]]</f>
        <v>0</v>
      </c>
      <c r="H2754" s="75" t="s">
        <v>10</v>
      </c>
    </row>
    <row r="2755" spans="1:8" x14ac:dyDescent="0.25">
      <c r="A2755" s="148">
        <v>44800</v>
      </c>
      <c r="B2755" s="149" t="s">
        <v>27514</v>
      </c>
      <c r="C2755" s="153" t="s">
        <v>14</v>
      </c>
      <c r="D2755" s="178">
        <v>38428.1</v>
      </c>
      <c r="E2755" s="155">
        <v>44800</v>
      </c>
      <c r="F2755" s="178">
        <v>38428.1</v>
      </c>
      <c r="G2755" s="179">
        <f>Tabla19[[#This Row],[Importe]]-Tabla19[[#This Row],[Pagado]]</f>
        <v>0</v>
      </c>
      <c r="H2755" s="153" t="s">
        <v>10</v>
      </c>
    </row>
    <row r="2756" spans="1:8" x14ac:dyDescent="0.25">
      <c r="A2756" s="73">
        <v>44800</v>
      </c>
      <c r="B2756" s="74" t="s">
        <v>27515</v>
      </c>
      <c r="C2756" s="75" t="s">
        <v>196</v>
      </c>
      <c r="D2756" s="176">
        <v>175893.52</v>
      </c>
      <c r="E2756" s="151">
        <v>44806</v>
      </c>
      <c r="F2756" s="176">
        <v>175893.52</v>
      </c>
      <c r="G2756" s="177">
        <f>Tabla19[[#This Row],[Importe]]-Tabla19[[#This Row],[Pagado]]</f>
        <v>0</v>
      </c>
      <c r="H2756" s="75" t="s">
        <v>10</v>
      </c>
    </row>
    <row r="2757" spans="1:8" x14ac:dyDescent="0.25">
      <c r="A2757" s="148">
        <v>44800</v>
      </c>
      <c r="B2757" s="149" t="s">
        <v>27516</v>
      </c>
      <c r="C2757" s="153" t="s">
        <v>407</v>
      </c>
      <c r="D2757" s="178">
        <v>28979</v>
      </c>
      <c r="E2757" s="155">
        <v>44812</v>
      </c>
      <c r="F2757" s="178">
        <v>28979</v>
      </c>
      <c r="G2757" s="179">
        <f>Tabla19[[#This Row],[Importe]]-Tabla19[[#This Row],[Pagado]]</f>
        <v>0</v>
      </c>
      <c r="H2757" s="153" t="s">
        <v>10</v>
      </c>
    </row>
    <row r="2758" spans="1:8" x14ac:dyDescent="0.25">
      <c r="A2758" s="73">
        <v>44800</v>
      </c>
      <c r="B2758" s="74" t="s">
        <v>27517</v>
      </c>
      <c r="C2758" s="75" t="s">
        <v>966</v>
      </c>
      <c r="D2758" s="176">
        <v>4425.6000000000004</v>
      </c>
      <c r="E2758" s="151">
        <v>44800</v>
      </c>
      <c r="F2758" s="176">
        <v>4425.6000000000004</v>
      </c>
      <c r="G2758" s="177">
        <f>Tabla19[[#This Row],[Importe]]-Tabla19[[#This Row],[Pagado]]</f>
        <v>0</v>
      </c>
      <c r="H2758" s="75" t="s">
        <v>10</v>
      </c>
    </row>
    <row r="2759" spans="1:8" x14ac:dyDescent="0.25">
      <c r="A2759" s="148">
        <v>44800</v>
      </c>
      <c r="B2759" s="149" t="s">
        <v>27518</v>
      </c>
      <c r="C2759" s="153" t="s">
        <v>934</v>
      </c>
      <c r="D2759" s="178">
        <v>4712</v>
      </c>
      <c r="E2759" s="155">
        <v>44800</v>
      </c>
      <c r="F2759" s="178">
        <v>4712</v>
      </c>
      <c r="G2759" s="179">
        <f>Tabla19[[#This Row],[Importe]]-Tabla19[[#This Row],[Pagado]]</f>
        <v>0</v>
      </c>
      <c r="H2759" s="153" t="s">
        <v>10</v>
      </c>
    </row>
    <row r="2760" spans="1:8" x14ac:dyDescent="0.25">
      <c r="A2760" s="73">
        <v>44800</v>
      </c>
      <c r="B2760" s="74" t="s">
        <v>27519</v>
      </c>
      <c r="C2760" s="75" t="s">
        <v>289</v>
      </c>
      <c r="D2760" s="176">
        <v>17790.099999999999</v>
      </c>
      <c r="E2760" s="151">
        <v>44800</v>
      </c>
      <c r="F2760" s="176">
        <v>17790.099999999999</v>
      </c>
      <c r="G2760" s="177">
        <f>Tabla19[[#This Row],[Importe]]-Tabla19[[#This Row],[Pagado]]</f>
        <v>0</v>
      </c>
      <c r="H2760" s="75" t="s">
        <v>10</v>
      </c>
    </row>
    <row r="2761" spans="1:8" x14ac:dyDescent="0.25">
      <c r="A2761" s="148">
        <v>44800</v>
      </c>
      <c r="B2761" s="149" t="s">
        <v>27520</v>
      </c>
      <c r="C2761" s="153" t="s">
        <v>31</v>
      </c>
      <c r="D2761" s="178">
        <v>754.8</v>
      </c>
      <c r="E2761" s="155">
        <v>44800</v>
      </c>
      <c r="F2761" s="178">
        <v>754.8</v>
      </c>
      <c r="G2761" s="179">
        <f>Tabla19[[#This Row],[Importe]]-Tabla19[[#This Row],[Pagado]]</f>
        <v>0</v>
      </c>
      <c r="H2761" s="153" t="s">
        <v>10</v>
      </c>
    </row>
    <row r="2762" spans="1:8" x14ac:dyDescent="0.25">
      <c r="A2762" s="73">
        <v>44800</v>
      </c>
      <c r="B2762" s="74" t="s">
        <v>27521</v>
      </c>
      <c r="C2762" s="75" t="s">
        <v>804</v>
      </c>
      <c r="D2762" s="176">
        <v>14904.6</v>
      </c>
      <c r="E2762" s="151">
        <v>44800</v>
      </c>
      <c r="F2762" s="176">
        <v>14904.6</v>
      </c>
      <c r="G2762" s="177">
        <f>Tabla19[[#This Row],[Importe]]-Tabla19[[#This Row],[Pagado]]</f>
        <v>0</v>
      </c>
      <c r="H2762" s="75" t="s">
        <v>10</v>
      </c>
    </row>
    <row r="2763" spans="1:8" x14ac:dyDescent="0.25">
      <c r="A2763" s="148">
        <v>44800</v>
      </c>
      <c r="B2763" s="149" t="s">
        <v>27522</v>
      </c>
      <c r="C2763" s="153" t="s">
        <v>196</v>
      </c>
      <c r="D2763" s="178">
        <v>507.4</v>
      </c>
      <c r="E2763" s="155">
        <v>44806</v>
      </c>
      <c r="F2763" s="178">
        <v>507.4</v>
      </c>
      <c r="G2763" s="179">
        <f>Tabla19[[#This Row],[Importe]]-Tabla19[[#This Row],[Pagado]]</f>
        <v>0</v>
      </c>
      <c r="H2763" s="153" t="s">
        <v>10</v>
      </c>
    </row>
    <row r="2764" spans="1:8" x14ac:dyDescent="0.25">
      <c r="A2764" s="73">
        <v>44800</v>
      </c>
      <c r="B2764" s="74" t="s">
        <v>27523</v>
      </c>
      <c r="C2764" s="75" t="s">
        <v>359</v>
      </c>
      <c r="D2764" s="176">
        <v>531</v>
      </c>
      <c r="E2764" s="151">
        <v>44800</v>
      </c>
      <c r="F2764" s="176">
        <v>531</v>
      </c>
      <c r="G2764" s="177">
        <f>Tabla19[[#This Row],[Importe]]-Tabla19[[#This Row],[Pagado]]</f>
        <v>0</v>
      </c>
      <c r="H2764" s="75" t="s">
        <v>10</v>
      </c>
    </row>
    <row r="2765" spans="1:8" x14ac:dyDescent="0.25">
      <c r="A2765" s="148">
        <v>44800</v>
      </c>
      <c r="B2765" s="149" t="s">
        <v>27524</v>
      </c>
      <c r="C2765" s="153" t="s">
        <v>273</v>
      </c>
      <c r="D2765" s="178">
        <v>1624</v>
      </c>
      <c r="E2765" s="155">
        <v>44800</v>
      </c>
      <c r="F2765" s="178">
        <v>1624</v>
      </c>
      <c r="G2765" s="179">
        <f>Tabla19[[#This Row],[Importe]]-Tabla19[[#This Row],[Pagado]]</f>
        <v>0</v>
      </c>
      <c r="H2765" s="153" t="s">
        <v>10</v>
      </c>
    </row>
    <row r="2766" spans="1:8" x14ac:dyDescent="0.25">
      <c r="A2766" s="73">
        <v>44800</v>
      </c>
      <c r="B2766" s="74" t="s">
        <v>27525</v>
      </c>
      <c r="C2766" s="75" t="s">
        <v>555</v>
      </c>
      <c r="D2766" s="176">
        <v>25570.2</v>
      </c>
      <c r="E2766" s="151">
        <v>44800</v>
      </c>
      <c r="F2766" s="176">
        <v>25570.2</v>
      </c>
      <c r="G2766" s="177">
        <f>Tabla19[[#This Row],[Importe]]-Tabla19[[#This Row],[Pagado]]</f>
        <v>0</v>
      </c>
      <c r="H2766" s="75" t="s">
        <v>10</v>
      </c>
    </row>
    <row r="2767" spans="1:8" x14ac:dyDescent="0.25">
      <c r="A2767" s="148">
        <v>44800</v>
      </c>
      <c r="B2767" s="149" t="s">
        <v>27526</v>
      </c>
      <c r="C2767" s="153" t="s">
        <v>518</v>
      </c>
      <c r="D2767" s="178">
        <v>1275.4000000000001</v>
      </c>
      <c r="E2767" s="155">
        <v>44800</v>
      </c>
      <c r="F2767" s="178">
        <v>1275.4000000000001</v>
      </c>
      <c r="G2767" s="179">
        <f>Tabla19[[#This Row],[Importe]]-Tabla19[[#This Row],[Pagado]]</f>
        <v>0</v>
      </c>
      <c r="H2767" s="153" t="s">
        <v>10</v>
      </c>
    </row>
    <row r="2768" spans="1:8" x14ac:dyDescent="0.25">
      <c r="A2768" s="73">
        <v>44800</v>
      </c>
      <c r="B2768" s="74" t="s">
        <v>27527</v>
      </c>
      <c r="C2768" s="75" t="s">
        <v>175</v>
      </c>
      <c r="D2768" s="176">
        <v>23599.35</v>
      </c>
      <c r="E2768" s="151">
        <v>44800</v>
      </c>
      <c r="F2768" s="176">
        <v>23599.35</v>
      </c>
      <c r="G2768" s="177">
        <f>Tabla19[[#This Row],[Importe]]-Tabla19[[#This Row],[Pagado]]</f>
        <v>0</v>
      </c>
      <c r="H2768" s="75" t="s">
        <v>10</v>
      </c>
    </row>
    <row r="2769" spans="1:8" x14ac:dyDescent="0.25">
      <c r="A2769" s="148">
        <v>44800</v>
      </c>
      <c r="B2769" s="149" t="s">
        <v>27528</v>
      </c>
      <c r="C2769" s="153" t="s">
        <v>371</v>
      </c>
      <c r="D2769" s="178">
        <v>3576</v>
      </c>
      <c r="E2769" s="155">
        <v>44800</v>
      </c>
      <c r="F2769" s="178">
        <v>3576</v>
      </c>
      <c r="G2769" s="179">
        <f>Tabla19[[#This Row],[Importe]]-Tabla19[[#This Row],[Pagado]]</f>
        <v>0</v>
      </c>
      <c r="H2769" s="153" t="s">
        <v>10</v>
      </c>
    </row>
    <row r="2770" spans="1:8" x14ac:dyDescent="0.25">
      <c r="A2770" s="73">
        <v>44800</v>
      </c>
      <c r="B2770" s="74" t="s">
        <v>27529</v>
      </c>
      <c r="C2770" s="75" t="s">
        <v>934</v>
      </c>
      <c r="D2770" s="176">
        <v>1125</v>
      </c>
      <c r="E2770" s="151">
        <v>44800</v>
      </c>
      <c r="F2770" s="176">
        <v>1125</v>
      </c>
      <c r="G2770" s="177">
        <f>Tabla19[[#This Row],[Importe]]-Tabla19[[#This Row],[Pagado]]</f>
        <v>0</v>
      </c>
      <c r="H2770" s="75" t="s">
        <v>10</v>
      </c>
    </row>
    <row r="2771" spans="1:8" x14ac:dyDescent="0.25">
      <c r="A2771" s="148">
        <v>44800</v>
      </c>
      <c r="B2771" s="149" t="s">
        <v>27530</v>
      </c>
      <c r="C2771" s="153" t="s">
        <v>4136</v>
      </c>
      <c r="D2771" s="178">
        <v>2108.1999999999998</v>
      </c>
      <c r="E2771" s="155">
        <v>44800</v>
      </c>
      <c r="F2771" s="178">
        <v>2108.1999999999998</v>
      </c>
      <c r="G2771" s="179">
        <f>Tabla19[[#This Row],[Importe]]-Tabla19[[#This Row],[Pagado]]</f>
        <v>0</v>
      </c>
      <c r="H2771" s="153" t="s">
        <v>10</v>
      </c>
    </row>
    <row r="2772" spans="1:8" x14ac:dyDescent="0.25">
      <c r="A2772" s="73">
        <v>44800</v>
      </c>
      <c r="B2772" s="74" t="s">
        <v>27531</v>
      </c>
      <c r="C2772" s="75" t="s">
        <v>698</v>
      </c>
      <c r="D2772" s="176">
        <v>6031</v>
      </c>
      <c r="E2772" s="151">
        <v>44800</v>
      </c>
      <c r="F2772" s="176">
        <v>6031</v>
      </c>
      <c r="G2772" s="177">
        <f>Tabla19[[#This Row],[Importe]]-Tabla19[[#This Row],[Pagado]]</f>
        <v>0</v>
      </c>
      <c r="H2772" s="75" t="s">
        <v>10</v>
      </c>
    </row>
    <row r="2773" spans="1:8" x14ac:dyDescent="0.25">
      <c r="A2773" s="148">
        <v>44800</v>
      </c>
      <c r="B2773" s="149" t="s">
        <v>27532</v>
      </c>
      <c r="C2773" s="153" t="s">
        <v>1003</v>
      </c>
      <c r="D2773" s="178">
        <v>6471.2</v>
      </c>
      <c r="E2773" s="155">
        <v>44801</v>
      </c>
      <c r="F2773" s="178">
        <v>6471.2</v>
      </c>
      <c r="G2773" s="179">
        <f>Tabla19[[#This Row],[Importe]]-Tabla19[[#This Row],[Pagado]]</f>
        <v>0</v>
      </c>
      <c r="H2773" s="153" t="s">
        <v>10</v>
      </c>
    </row>
    <row r="2774" spans="1:8" x14ac:dyDescent="0.25">
      <c r="A2774" s="73">
        <v>44800</v>
      </c>
      <c r="B2774" s="74" t="s">
        <v>27533</v>
      </c>
      <c r="C2774" s="75" t="s">
        <v>149</v>
      </c>
      <c r="D2774" s="176">
        <v>4152</v>
      </c>
      <c r="E2774" s="151">
        <v>44800</v>
      </c>
      <c r="F2774" s="176">
        <v>4152</v>
      </c>
      <c r="G2774" s="177">
        <f>Tabla19[[#This Row],[Importe]]-Tabla19[[#This Row],[Pagado]]</f>
        <v>0</v>
      </c>
      <c r="H2774" s="75" t="s">
        <v>10</v>
      </c>
    </row>
    <row r="2775" spans="1:8" x14ac:dyDescent="0.25">
      <c r="A2775" s="148">
        <v>44800</v>
      </c>
      <c r="B2775" s="149" t="s">
        <v>27534</v>
      </c>
      <c r="C2775" s="153" t="s">
        <v>24</v>
      </c>
      <c r="D2775" s="178">
        <v>3795</v>
      </c>
      <c r="E2775" s="155">
        <v>44800</v>
      </c>
      <c r="F2775" s="178">
        <v>3795</v>
      </c>
      <c r="G2775" s="179">
        <f>Tabla19[[#This Row],[Importe]]-Tabla19[[#This Row],[Pagado]]</f>
        <v>0</v>
      </c>
      <c r="H2775" s="153" t="s">
        <v>10</v>
      </c>
    </row>
    <row r="2776" spans="1:8" x14ac:dyDescent="0.25">
      <c r="A2776" s="73">
        <v>44800</v>
      </c>
      <c r="B2776" s="74" t="s">
        <v>27535</v>
      </c>
      <c r="C2776" s="75" t="s">
        <v>698</v>
      </c>
      <c r="D2776" s="176">
        <v>560.29999999999995</v>
      </c>
      <c r="E2776" s="151">
        <v>44800</v>
      </c>
      <c r="F2776" s="176">
        <v>560.29999999999995</v>
      </c>
      <c r="G2776" s="177">
        <f>Tabla19[[#This Row],[Importe]]-Tabla19[[#This Row],[Pagado]]</f>
        <v>0</v>
      </c>
      <c r="H2776" s="75" t="s">
        <v>10</v>
      </c>
    </row>
    <row r="2777" spans="1:8" x14ac:dyDescent="0.25">
      <c r="A2777" s="148">
        <v>44800</v>
      </c>
      <c r="B2777" s="149" t="s">
        <v>27536</v>
      </c>
      <c r="C2777" s="153" t="s">
        <v>226</v>
      </c>
      <c r="D2777" s="178">
        <v>6524.8</v>
      </c>
      <c r="E2777" s="155">
        <v>44800</v>
      </c>
      <c r="F2777" s="178">
        <v>6524.8</v>
      </c>
      <c r="G2777" s="179">
        <f>Tabla19[[#This Row],[Importe]]-Tabla19[[#This Row],[Pagado]]</f>
        <v>0</v>
      </c>
      <c r="H2777" s="153" t="s">
        <v>10</v>
      </c>
    </row>
    <row r="2778" spans="1:8" x14ac:dyDescent="0.25">
      <c r="A2778" s="73">
        <v>44800</v>
      </c>
      <c r="B2778" s="74" t="s">
        <v>27537</v>
      </c>
      <c r="C2778" s="75" t="s">
        <v>230</v>
      </c>
      <c r="D2778" s="176">
        <v>1402.2</v>
      </c>
      <c r="E2778" s="151">
        <v>44800</v>
      </c>
      <c r="F2778" s="176">
        <v>1402.2</v>
      </c>
      <c r="G2778" s="177">
        <f>Tabla19[[#This Row],[Importe]]-Tabla19[[#This Row],[Pagado]]</f>
        <v>0</v>
      </c>
      <c r="H2778" s="75" t="s">
        <v>10</v>
      </c>
    </row>
    <row r="2779" spans="1:8" x14ac:dyDescent="0.25">
      <c r="A2779" s="148">
        <v>44800</v>
      </c>
      <c r="B2779" s="149" t="s">
        <v>27538</v>
      </c>
      <c r="C2779" s="153" t="s">
        <v>191</v>
      </c>
      <c r="D2779" s="178">
        <v>1755</v>
      </c>
      <c r="E2779" s="155">
        <v>44800</v>
      </c>
      <c r="F2779" s="178">
        <v>1755</v>
      </c>
      <c r="G2779" s="179">
        <f>Tabla19[[#This Row],[Importe]]-Tabla19[[#This Row],[Pagado]]</f>
        <v>0</v>
      </c>
      <c r="H2779" s="153" t="s">
        <v>10</v>
      </c>
    </row>
    <row r="2780" spans="1:8" x14ac:dyDescent="0.25">
      <c r="A2780" s="73">
        <v>44800</v>
      </c>
      <c r="B2780" s="74" t="s">
        <v>27539</v>
      </c>
      <c r="C2780" s="75" t="s">
        <v>191</v>
      </c>
      <c r="D2780" s="176">
        <v>234.6</v>
      </c>
      <c r="E2780" s="151">
        <v>44800</v>
      </c>
      <c r="F2780" s="176">
        <v>234.6</v>
      </c>
      <c r="G2780" s="177">
        <f>Tabla19[[#This Row],[Importe]]-Tabla19[[#This Row],[Pagado]]</f>
        <v>0</v>
      </c>
      <c r="H2780" s="75" t="s">
        <v>10</v>
      </c>
    </row>
    <row r="2781" spans="1:8" x14ac:dyDescent="0.25">
      <c r="A2781" s="148">
        <v>44800</v>
      </c>
      <c r="B2781" s="149" t="s">
        <v>27540</v>
      </c>
      <c r="C2781" s="153" t="s">
        <v>24</v>
      </c>
      <c r="D2781" s="178">
        <v>440</v>
      </c>
      <c r="E2781" s="155">
        <v>44800</v>
      </c>
      <c r="F2781" s="178">
        <v>440</v>
      </c>
      <c r="G2781" s="179">
        <f>Tabla19[[#This Row],[Importe]]-Tabla19[[#This Row],[Pagado]]</f>
        <v>0</v>
      </c>
      <c r="H2781" s="153" t="s">
        <v>10</v>
      </c>
    </row>
    <row r="2782" spans="1:8" x14ac:dyDescent="0.25">
      <c r="A2782" s="73">
        <v>44800</v>
      </c>
      <c r="B2782" s="74" t="s">
        <v>27541</v>
      </c>
      <c r="C2782" s="75" t="s">
        <v>56</v>
      </c>
      <c r="D2782" s="176">
        <v>9031</v>
      </c>
      <c r="E2782" s="151">
        <v>44800</v>
      </c>
      <c r="F2782" s="176">
        <v>9031</v>
      </c>
      <c r="G2782" s="177">
        <f>Tabla19[[#This Row],[Importe]]-Tabla19[[#This Row],[Pagado]]</f>
        <v>0</v>
      </c>
      <c r="H2782" s="75" t="s">
        <v>10</v>
      </c>
    </row>
    <row r="2783" spans="1:8" x14ac:dyDescent="0.25">
      <c r="A2783" s="148">
        <v>44800</v>
      </c>
      <c r="B2783" s="149" t="s">
        <v>27542</v>
      </c>
      <c r="C2783" s="153" t="s">
        <v>62</v>
      </c>
      <c r="D2783" s="178">
        <v>9523.2000000000007</v>
      </c>
      <c r="E2783" s="155">
        <v>44800</v>
      </c>
      <c r="F2783" s="178">
        <v>9523.2000000000007</v>
      </c>
      <c r="G2783" s="179">
        <f>Tabla19[[#This Row],[Importe]]-Tabla19[[#This Row],[Pagado]]</f>
        <v>0</v>
      </c>
      <c r="H2783" s="153" t="s">
        <v>10</v>
      </c>
    </row>
    <row r="2784" spans="1:8" x14ac:dyDescent="0.25">
      <c r="A2784" s="73">
        <v>44800</v>
      </c>
      <c r="B2784" s="74" t="s">
        <v>27543</v>
      </c>
      <c r="C2784" s="75" t="s">
        <v>127</v>
      </c>
      <c r="D2784" s="176">
        <v>6212.2</v>
      </c>
      <c r="E2784" s="151">
        <v>44800</v>
      </c>
      <c r="F2784" s="176">
        <v>6212.2</v>
      </c>
      <c r="G2784" s="177">
        <f>Tabla19[[#This Row],[Importe]]-Tabla19[[#This Row],[Pagado]]</f>
        <v>0</v>
      </c>
      <c r="H2784" s="75" t="s">
        <v>10</v>
      </c>
    </row>
    <row r="2785" spans="1:8" x14ac:dyDescent="0.25">
      <c r="A2785" s="148">
        <v>44800</v>
      </c>
      <c r="B2785" s="149" t="s">
        <v>27544</v>
      </c>
      <c r="C2785" s="153" t="s">
        <v>129</v>
      </c>
      <c r="D2785" s="178">
        <v>5632.8</v>
      </c>
      <c r="E2785" s="155">
        <v>44800</v>
      </c>
      <c r="F2785" s="178">
        <v>5632.8</v>
      </c>
      <c r="G2785" s="179">
        <f>Tabla19[[#This Row],[Importe]]-Tabla19[[#This Row],[Pagado]]</f>
        <v>0</v>
      </c>
      <c r="H2785" s="153" t="s">
        <v>10</v>
      </c>
    </row>
    <row r="2786" spans="1:8" x14ac:dyDescent="0.25">
      <c r="A2786" s="73">
        <v>44800</v>
      </c>
      <c r="B2786" s="74" t="s">
        <v>27545</v>
      </c>
      <c r="C2786" s="75" t="s">
        <v>357</v>
      </c>
      <c r="D2786" s="176">
        <v>585</v>
      </c>
      <c r="E2786" s="151">
        <v>44800</v>
      </c>
      <c r="F2786" s="176">
        <v>585</v>
      </c>
      <c r="G2786" s="177">
        <f>Tabla19[[#This Row],[Importe]]-Tabla19[[#This Row],[Pagado]]</f>
        <v>0</v>
      </c>
      <c r="H2786" s="75" t="s">
        <v>10</v>
      </c>
    </row>
    <row r="2787" spans="1:8" x14ac:dyDescent="0.25">
      <c r="A2787" s="148">
        <v>44800</v>
      </c>
      <c r="B2787" s="149" t="s">
        <v>27546</v>
      </c>
      <c r="C2787" s="153" t="s">
        <v>140</v>
      </c>
      <c r="D2787" s="178">
        <v>4833.3999999999996</v>
      </c>
      <c r="E2787" s="155">
        <v>44800</v>
      </c>
      <c r="F2787" s="178">
        <v>4833.3999999999996</v>
      </c>
      <c r="G2787" s="179">
        <f>Tabla19[[#This Row],[Importe]]-Tabla19[[#This Row],[Pagado]]</f>
        <v>0</v>
      </c>
      <c r="H2787" s="153" t="s">
        <v>10</v>
      </c>
    </row>
    <row r="2788" spans="1:8" x14ac:dyDescent="0.25">
      <c r="A2788" s="73">
        <v>44800</v>
      </c>
      <c r="B2788" s="74" t="s">
        <v>27547</v>
      </c>
      <c r="C2788" s="75" t="s">
        <v>296</v>
      </c>
      <c r="D2788" s="176">
        <v>1792.5</v>
      </c>
      <c r="E2788" s="151">
        <v>44800</v>
      </c>
      <c r="F2788" s="176">
        <v>1792.5</v>
      </c>
      <c r="G2788" s="177">
        <f>Tabla19[[#This Row],[Importe]]-Tabla19[[#This Row],[Pagado]]</f>
        <v>0</v>
      </c>
      <c r="H2788" s="75" t="s">
        <v>10</v>
      </c>
    </row>
    <row r="2789" spans="1:8" x14ac:dyDescent="0.25">
      <c r="A2789" s="148">
        <v>44800</v>
      </c>
      <c r="B2789" s="149" t="s">
        <v>27548</v>
      </c>
      <c r="C2789" s="153" t="s">
        <v>8190</v>
      </c>
      <c r="D2789" s="178">
        <v>3040</v>
      </c>
      <c r="E2789" s="155">
        <v>44800</v>
      </c>
      <c r="F2789" s="178">
        <v>3040</v>
      </c>
      <c r="G2789" s="179">
        <f>Tabla19[[#This Row],[Importe]]-Tabla19[[#This Row],[Pagado]]</f>
        <v>0</v>
      </c>
      <c r="H2789" s="153" t="s">
        <v>10</v>
      </c>
    </row>
    <row r="2790" spans="1:8" x14ac:dyDescent="0.25">
      <c r="A2790" s="73">
        <v>44800</v>
      </c>
      <c r="B2790" s="74" t="s">
        <v>27549</v>
      </c>
      <c r="C2790" s="75" t="s">
        <v>169</v>
      </c>
      <c r="D2790" s="176">
        <v>1971</v>
      </c>
      <c r="E2790" s="151">
        <v>44800</v>
      </c>
      <c r="F2790" s="176">
        <v>1971</v>
      </c>
      <c r="G2790" s="177">
        <f>Tabla19[[#This Row],[Importe]]-Tabla19[[#This Row],[Pagado]]</f>
        <v>0</v>
      </c>
      <c r="H2790" s="75" t="s">
        <v>10</v>
      </c>
    </row>
    <row r="2791" spans="1:8" x14ac:dyDescent="0.25">
      <c r="A2791" s="148">
        <v>44800</v>
      </c>
      <c r="B2791" s="149" t="s">
        <v>27550</v>
      </c>
      <c r="C2791" s="153" t="s">
        <v>233</v>
      </c>
      <c r="D2791" s="178">
        <v>5772</v>
      </c>
      <c r="E2791" s="155">
        <v>44800</v>
      </c>
      <c r="F2791" s="178">
        <v>5772</v>
      </c>
      <c r="G2791" s="179">
        <f>Tabla19[[#This Row],[Importe]]-Tabla19[[#This Row],[Pagado]]</f>
        <v>0</v>
      </c>
      <c r="H2791" s="153" t="s">
        <v>10</v>
      </c>
    </row>
    <row r="2792" spans="1:8" x14ac:dyDescent="0.25">
      <c r="A2792" s="73">
        <v>44800</v>
      </c>
      <c r="B2792" s="74" t="s">
        <v>27551</v>
      </c>
      <c r="C2792" s="75" t="s">
        <v>419</v>
      </c>
      <c r="D2792" s="176">
        <v>6622.8</v>
      </c>
      <c r="E2792" s="151">
        <v>44800</v>
      </c>
      <c r="F2792" s="176">
        <v>6622.8</v>
      </c>
      <c r="G2792" s="177">
        <f>Tabla19[[#This Row],[Importe]]-Tabla19[[#This Row],[Pagado]]</f>
        <v>0</v>
      </c>
      <c r="H2792" s="75" t="s">
        <v>10</v>
      </c>
    </row>
    <row r="2793" spans="1:8" x14ac:dyDescent="0.25">
      <c r="A2793" s="148">
        <v>44800</v>
      </c>
      <c r="B2793" s="149" t="s">
        <v>27552</v>
      </c>
      <c r="C2793" s="153" t="s">
        <v>407</v>
      </c>
      <c r="D2793" s="178">
        <v>5940</v>
      </c>
      <c r="E2793" s="155">
        <v>44809</v>
      </c>
      <c r="F2793" s="178">
        <v>5940</v>
      </c>
      <c r="G2793" s="179">
        <f>Tabla19[[#This Row],[Importe]]-Tabla19[[#This Row],[Pagado]]</f>
        <v>0</v>
      </c>
      <c r="H2793" s="153" t="s">
        <v>10</v>
      </c>
    </row>
    <row r="2794" spans="1:8" x14ac:dyDescent="0.25">
      <c r="A2794" s="73">
        <v>44800</v>
      </c>
      <c r="B2794" s="74" t="s">
        <v>27553</v>
      </c>
      <c r="C2794" s="75" t="s">
        <v>9827</v>
      </c>
      <c r="D2794" s="176">
        <v>6246</v>
      </c>
      <c r="E2794" s="151">
        <v>44800</v>
      </c>
      <c r="F2794" s="176">
        <v>6246</v>
      </c>
      <c r="G2794" s="177">
        <f>Tabla19[[#This Row],[Importe]]-Tabla19[[#This Row],[Pagado]]</f>
        <v>0</v>
      </c>
      <c r="H2794" s="75" t="s">
        <v>10</v>
      </c>
    </row>
    <row r="2795" spans="1:8" x14ac:dyDescent="0.25">
      <c r="A2795" s="148">
        <v>44800</v>
      </c>
      <c r="B2795" s="149" t="s">
        <v>27554</v>
      </c>
      <c r="C2795" s="153" t="s">
        <v>146</v>
      </c>
      <c r="D2795" s="178">
        <v>11766</v>
      </c>
      <c r="E2795" s="155">
        <v>44800</v>
      </c>
      <c r="F2795" s="178">
        <v>11766</v>
      </c>
      <c r="G2795" s="179">
        <f>Tabla19[[#This Row],[Importe]]-Tabla19[[#This Row],[Pagado]]</f>
        <v>0</v>
      </c>
      <c r="H2795" s="153" t="s">
        <v>10</v>
      </c>
    </row>
    <row r="2796" spans="1:8" x14ac:dyDescent="0.25">
      <c r="A2796" s="73">
        <v>44800</v>
      </c>
      <c r="B2796" s="74" t="s">
        <v>27555</v>
      </c>
      <c r="C2796" s="75" t="s">
        <v>107</v>
      </c>
      <c r="D2796" s="176">
        <v>17518.599999999999</v>
      </c>
      <c r="E2796" s="151">
        <v>44800</v>
      </c>
      <c r="F2796" s="176">
        <v>17518.599999999999</v>
      </c>
      <c r="G2796" s="177">
        <f>Tabla19[[#This Row],[Importe]]-Tabla19[[#This Row],[Pagado]]</f>
        <v>0</v>
      </c>
      <c r="H2796" s="75" t="s">
        <v>10</v>
      </c>
    </row>
    <row r="2797" spans="1:8" x14ac:dyDescent="0.25">
      <c r="A2797" s="148">
        <v>44800</v>
      </c>
      <c r="B2797" s="149" t="s">
        <v>27556</v>
      </c>
      <c r="C2797" s="153" t="s">
        <v>1362</v>
      </c>
      <c r="D2797" s="178">
        <v>8822.5</v>
      </c>
      <c r="E2797" s="155">
        <v>44800</v>
      </c>
      <c r="F2797" s="178">
        <v>8822.5</v>
      </c>
      <c r="G2797" s="179">
        <f>Tabla19[[#This Row],[Importe]]-Tabla19[[#This Row],[Pagado]]</f>
        <v>0</v>
      </c>
      <c r="H2797" s="153" t="s">
        <v>10</v>
      </c>
    </row>
    <row r="2798" spans="1:8" x14ac:dyDescent="0.25">
      <c r="A2798" s="73">
        <v>44800</v>
      </c>
      <c r="B2798" s="74" t="s">
        <v>27557</v>
      </c>
      <c r="C2798" s="75" t="s">
        <v>58</v>
      </c>
      <c r="D2798" s="176">
        <v>4205.6000000000004</v>
      </c>
      <c r="E2798" s="151">
        <v>44800</v>
      </c>
      <c r="F2798" s="176">
        <v>4205.6000000000004</v>
      </c>
      <c r="G2798" s="177">
        <f>Tabla19[[#This Row],[Importe]]-Tabla19[[#This Row],[Pagado]]</f>
        <v>0</v>
      </c>
      <c r="H2798" s="75" t="s">
        <v>10</v>
      </c>
    </row>
    <row r="2799" spans="1:8" x14ac:dyDescent="0.25">
      <c r="A2799" s="148">
        <v>44800</v>
      </c>
      <c r="B2799" s="149" t="s">
        <v>27558</v>
      </c>
      <c r="C2799" s="153" t="s">
        <v>67</v>
      </c>
      <c r="D2799" s="178">
        <v>2410.4</v>
      </c>
      <c r="E2799" s="155">
        <v>44800</v>
      </c>
      <c r="F2799" s="178">
        <v>2410.4</v>
      </c>
      <c r="G2799" s="179">
        <f>Tabla19[[#This Row],[Importe]]-Tabla19[[#This Row],[Pagado]]</f>
        <v>0</v>
      </c>
      <c r="H2799" s="153" t="s">
        <v>10</v>
      </c>
    </row>
    <row r="2800" spans="1:8" x14ac:dyDescent="0.25">
      <c r="A2800" s="73">
        <v>44800</v>
      </c>
      <c r="B2800" s="74" t="s">
        <v>27559</v>
      </c>
      <c r="C2800" s="75" t="s">
        <v>484</v>
      </c>
      <c r="D2800" s="176">
        <v>3705</v>
      </c>
      <c r="E2800" s="151">
        <v>44800</v>
      </c>
      <c r="F2800" s="176">
        <v>3705</v>
      </c>
      <c r="G2800" s="177">
        <f>Tabla19[[#This Row],[Importe]]-Tabla19[[#This Row],[Pagado]]</f>
        <v>0</v>
      </c>
      <c r="H2800" s="75" t="s">
        <v>10</v>
      </c>
    </row>
    <row r="2801" spans="1:8" x14ac:dyDescent="0.25">
      <c r="A2801" s="148">
        <v>44800</v>
      </c>
      <c r="B2801" s="149" t="s">
        <v>27560</v>
      </c>
      <c r="C2801" s="153" t="s">
        <v>179</v>
      </c>
      <c r="D2801" s="178">
        <v>1739</v>
      </c>
      <c r="E2801" s="155">
        <v>44800</v>
      </c>
      <c r="F2801" s="178">
        <v>1739</v>
      </c>
      <c r="G2801" s="179">
        <f>Tabla19[[#This Row],[Importe]]-Tabla19[[#This Row],[Pagado]]</f>
        <v>0</v>
      </c>
      <c r="H2801" s="153" t="s">
        <v>10</v>
      </c>
    </row>
    <row r="2802" spans="1:8" x14ac:dyDescent="0.25">
      <c r="A2802" s="73">
        <v>44800</v>
      </c>
      <c r="B2802" s="74" t="s">
        <v>27561</v>
      </c>
      <c r="C2802" s="75" t="s">
        <v>191</v>
      </c>
      <c r="D2802" s="176">
        <v>18096</v>
      </c>
      <c r="E2802" s="151">
        <v>44800</v>
      </c>
      <c r="F2802" s="176">
        <v>18096</v>
      </c>
      <c r="G2802" s="177">
        <f>Tabla19[[#This Row],[Importe]]-Tabla19[[#This Row],[Pagado]]</f>
        <v>0</v>
      </c>
      <c r="H2802" s="75" t="s">
        <v>10</v>
      </c>
    </row>
    <row r="2803" spans="1:8" x14ac:dyDescent="0.25">
      <c r="A2803" s="148">
        <v>44800</v>
      </c>
      <c r="B2803" s="149" t="s">
        <v>27562</v>
      </c>
      <c r="C2803" s="153" t="s">
        <v>31</v>
      </c>
      <c r="D2803" s="178">
        <v>732.6</v>
      </c>
      <c r="E2803" s="155">
        <v>44800</v>
      </c>
      <c r="F2803" s="178">
        <v>732.6</v>
      </c>
      <c r="G2803" s="179">
        <f>Tabla19[[#This Row],[Importe]]-Tabla19[[#This Row],[Pagado]]</f>
        <v>0</v>
      </c>
      <c r="H2803" s="153" t="s">
        <v>10</v>
      </c>
    </row>
    <row r="2804" spans="1:8" ht="31.5" x14ac:dyDescent="0.25">
      <c r="A2804" s="73">
        <v>44800</v>
      </c>
      <c r="B2804" s="74" t="s">
        <v>27563</v>
      </c>
      <c r="C2804" s="181" t="s">
        <v>4301</v>
      </c>
      <c r="D2804" s="176">
        <v>0</v>
      </c>
      <c r="E2804" s="157" t="s">
        <v>189</v>
      </c>
      <c r="F2804" s="176">
        <v>0</v>
      </c>
      <c r="G2804" s="177">
        <f>Tabla19[[#This Row],[Importe]]-Tabla19[[#This Row],[Pagado]]</f>
        <v>0</v>
      </c>
      <c r="H2804" s="161" t="s">
        <v>27564</v>
      </c>
    </row>
    <row r="2805" spans="1:8" x14ac:dyDescent="0.25">
      <c r="A2805" s="148">
        <v>44800</v>
      </c>
      <c r="B2805" s="149" t="s">
        <v>27565</v>
      </c>
      <c r="C2805" s="153" t="s">
        <v>275</v>
      </c>
      <c r="D2805" s="178">
        <v>40606.83</v>
      </c>
      <c r="E2805" s="155">
        <v>44823</v>
      </c>
      <c r="F2805" s="178">
        <v>40606.83</v>
      </c>
      <c r="G2805" s="179">
        <f>Tabla19[[#This Row],[Importe]]-Tabla19[[#This Row],[Pagado]]</f>
        <v>0</v>
      </c>
      <c r="H2805" s="153" t="s">
        <v>10</v>
      </c>
    </row>
    <row r="2806" spans="1:8" x14ac:dyDescent="0.25">
      <c r="A2806" s="73">
        <v>44800</v>
      </c>
      <c r="B2806" s="74" t="s">
        <v>27566</v>
      </c>
      <c r="C2806" s="75" t="s">
        <v>10190</v>
      </c>
      <c r="D2806" s="176">
        <v>14337.6</v>
      </c>
      <c r="E2806" s="151">
        <v>44800</v>
      </c>
      <c r="F2806" s="176">
        <v>14337.6</v>
      </c>
      <c r="G2806" s="177">
        <f>Tabla19[[#This Row],[Importe]]-Tabla19[[#This Row],[Pagado]]</f>
        <v>0</v>
      </c>
      <c r="H2806" s="75" t="s">
        <v>10</v>
      </c>
    </row>
    <row r="2807" spans="1:8" x14ac:dyDescent="0.25">
      <c r="A2807" s="148">
        <v>44800</v>
      </c>
      <c r="B2807" s="149" t="s">
        <v>27567</v>
      </c>
      <c r="C2807" s="153" t="s">
        <v>214</v>
      </c>
      <c r="D2807" s="178">
        <v>1805.6</v>
      </c>
      <c r="E2807" s="155">
        <v>44800</v>
      </c>
      <c r="F2807" s="178">
        <v>1805.6</v>
      </c>
      <c r="G2807" s="179">
        <f>Tabla19[[#This Row],[Importe]]-Tabla19[[#This Row],[Pagado]]</f>
        <v>0</v>
      </c>
      <c r="H2807" s="153" t="s">
        <v>10</v>
      </c>
    </row>
    <row r="2808" spans="1:8" x14ac:dyDescent="0.25">
      <c r="A2808" s="73">
        <v>44800</v>
      </c>
      <c r="B2808" s="74" t="s">
        <v>27568</v>
      </c>
      <c r="C2808" s="75" t="s">
        <v>442</v>
      </c>
      <c r="D2808" s="176">
        <v>19531.2</v>
      </c>
      <c r="E2808" s="151">
        <v>44800</v>
      </c>
      <c r="F2808" s="176">
        <v>19531.2</v>
      </c>
      <c r="G2808" s="177">
        <f>Tabla19[[#This Row],[Importe]]-Tabla19[[#This Row],[Pagado]]</f>
        <v>0</v>
      </c>
      <c r="H2808" s="75" t="s">
        <v>10</v>
      </c>
    </row>
    <row r="2809" spans="1:8" x14ac:dyDescent="0.25">
      <c r="A2809" s="148">
        <v>44800</v>
      </c>
      <c r="B2809" s="149" t="s">
        <v>27569</v>
      </c>
      <c r="C2809" s="153" t="s">
        <v>612</v>
      </c>
      <c r="D2809" s="178">
        <v>750</v>
      </c>
      <c r="E2809" s="155">
        <v>44800</v>
      </c>
      <c r="F2809" s="178">
        <v>750</v>
      </c>
      <c r="G2809" s="179">
        <f>Tabla19[[#This Row],[Importe]]-Tabla19[[#This Row],[Pagado]]</f>
        <v>0</v>
      </c>
      <c r="H2809" s="153" t="s">
        <v>10</v>
      </c>
    </row>
    <row r="2810" spans="1:8" x14ac:dyDescent="0.25">
      <c r="A2810" s="73">
        <v>44800</v>
      </c>
      <c r="B2810" s="74" t="s">
        <v>27570</v>
      </c>
      <c r="C2810" s="75" t="s">
        <v>9</v>
      </c>
      <c r="D2810" s="176">
        <v>3294</v>
      </c>
      <c r="E2810" s="151">
        <v>44800</v>
      </c>
      <c r="F2810" s="176">
        <v>3294</v>
      </c>
      <c r="G2810" s="177">
        <f>Tabla19[[#This Row],[Importe]]-Tabla19[[#This Row],[Pagado]]</f>
        <v>0</v>
      </c>
      <c r="H2810" s="75" t="s">
        <v>10</v>
      </c>
    </row>
    <row r="2811" spans="1:8" x14ac:dyDescent="0.25">
      <c r="A2811" s="148">
        <v>44800</v>
      </c>
      <c r="B2811" s="149" t="s">
        <v>27571</v>
      </c>
      <c r="C2811" s="153" t="s">
        <v>53</v>
      </c>
      <c r="D2811" s="178">
        <v>2925.6</v>
      </c>
      <c r="E2811" s="155">
        <v>44800</v>
      </c>
      <c r="F2811" s="178">
        <v>2925.6</v>
      </c>
      <c r="G2811" s="179">
        <f>Tabla19[[#This Row],[Importe]]-Tabla19[[#This Row],[Pagado]]</f>
        <v>0</v>
      </c>
      <c r="H2811" s="153" t="s">
        <v>10</v>
      </c>
    </row>
    <row r="2812" spans="1:8" x14ac:dyDescent="0.25">
      <c r="A2812" s="73">
        <v>44800</v>
      </c>
      <c r="B2812" s="74" t="s">
        <v>27572</v>
      </c>
      <c r="C2812" s="75" t="s">
        <v>994</v>
      </c>
      <c r="D2812" s="176">
        <v>1395.8</v>
      </c>
      <c r="E2812" s="151">
        <v>44800</v>
      </c>
      <c r="F2812" s="176">
        <v>1395.8</v>
      </c>
      <c r="G2812" s="177">
        <f>Tabla19[[#This Row],[Importe]]-Tabla19[[#This Row],[Pagado]]</f>
        <v>0</v>
      </c>
      <c r="H2812" s="75" t="s">
        <v>10</v>
      </c>
    </row>
    <row r="2813" spans="1:8" x14ac:dyDescent="0.25">
      <c r="A2813" s="148">
        <v>44800</v>
      </c>
      <c r="B2813" s="149" t="s">
        <v>27573</v>
      </c>
      <c r="C2813" s="153" t="s">
        <v>1421</v>
      </c>
      <c r="D2813" s="178">
        <v>51915.6</v>
      </c>
      <c r="E2813" s="155">
        <v>44800</v>
      </c>
      <c r="F2813" s="178">
        <v>51915.6</v>
      </c>
      <c r="G2813" s="179">
        <f>Tabla19[[#This Row],[Importe]]-Tabla19[[#This Row],[Pagado]]</f>
        <v>0</v>
      </c>
      <c r="H2813" s="153" t="s">
        <v>10</v>
      </c>
    </row>
    <row r="2814" spans="1:8" x14ac:dyDescent="0.25">
      <c r="A2814" s="73">
        <v>44800</v>
      </c>
      <c r="B2814" s="74" t="s">
        <v>27574</v>
      </c>
      <c r="C2814" s="75" t="s">
        <v>69</v>
      </c>
      <c r="D2814" s="176">
        <v>1265.4000000000001</v>
      </c>
      <c r="E2814" s="151">
        <v>44800</v>
      </c>
      <c r="F2814" s="176">
        <v>1265.4000000000001</v>
      </c>
      <c r="G2814" s="177">
        <f>Tabla19[[#This Row],[Importe]]-Tabla19[[#This Row],[Pagado]]</f>
        <v>0</v>
      </c>
      <c r="H2814" s="75" t="s">
        <v>10</v>
      </c>
    </row>
    <row r="2815" spans="1:8" x14ac:dyDescent="0.25">
      <c r="A2815" s="148">
        <v>44800</v>
      </c>
      <c r="B2815" s="149" t="s">
        <v>27575</v>
      </c>
      <c r="C2815" s="153" t="s">
        <v>27576</v>
      </c>
      <c r="D2815" s="178">
        <v>4840</v>
      </c>
      <c r="E2815" s="155">
        <v>44800</v>
      </c>
      <c r="F2815" s="178">
        <v>4840</v>
      </c>
      <c r="G2815" s="179">
        <f>Tabla19[[#This Row],[Importe]]-Tabla19[[#This Row],[Pagado]]</f>
        <v>0</v>
      </c>
      <c r="H2815" s="153" t="s">
        <v>10</v>
      </c>
    </row>
    <row r="2816" spans="1:8" x14ac:dyDescent="0.25">
      <c r="A2816" s="73">
        <v>44800</v>
      </c>
      <c r="B2816" s="74" t="s">
        <v>27577</v>
      </c>
      <c r="C2816" s="75" t="s">
        <v>31</v>
      </c>
      <c r="D2816" s="176">
        <v>904</v>
      </c>
      <c r="E2816" s="151">
        <v>44800</v>
      </c>
      <c r="F2816" s="176">
        <v>904</v>
      </c>
      <c r="G2816" s="177">
        <f>Tabla19[[#This Row],[Importe]]-Tabla19[[#This Row],[Pagado]]</f>
        <v>0</v>
      </c>
      <c r="H2816" s="75" t="s">
        <v>10</v>
      </c>
    </row>
    <row r="2817" spans="1:8" x14ac:dyDescent="0.25">
      <c r="A2817" s="148">
        <v>44800</v>
      </c>
      <c r="B2817" s="149" t="s">
        <v>27578</v>
      </c>
      <c r="C2817" s="153" t="s">
        <v>51</v>
      </c>
      <c r="D2817" s="178">
        <v>4736</v>
      </c>
      <c r="E2817" s="155">
        <v>44800</v>
      </c>
      <c r="F2817" s="178">
        <v>4736</v>
      </c>
      <c r="G2817" s="179">
        <f>Tabla19[[#This Row],[Importe]]-Tabla19[[#This Row],[Pagado]]</f>
        <v>0</v>
      </c>
      <c r="H2817" s="153" t="s">
        <v>10</v>
      </c>
    </row>
    <row r="2818" spans="1:8" x14ac:dyDescent="0.25">
      <c r="A2818" s="73">
        <v>44800</v>
      </c>
      <c r="B2818" s="74" t="s">
        <v>27579</v>
      </c>
      <c r="C2818" s="75" t="s">
        <v>284</v>
      </c>
      <c r="D2818" s="176">
        <v>14992.4</v>
      </c>
      <c r="E2818" s="151">
        <v>44801</v>
      </c>
      <c r="F2818" s="176">
        <v>14992.4</v>
      </c>
      <c r="G2818" s="177">
        <f>Tabla19[[#This Row],[Importe]]-Tabla19[[#This Row],[Pagado]]</f>
        <v>0</v>
      </c>
      <c r="H2818" s="75" t="s">
        <v>10</v>
      </c>
    </row>
    <row r="2819" spans="1:8" x14ac:dyDescent="0.25">
      <c r="A2819" s="148">
        <v>44800</v>
      </c>
      <c r="B2819" s="149" t="s">
        <v>27580</v>
      </c>
      <c r="C2819" s="153" t="s">
        <v>5345</v>
      </c>
      <c r="D2819" s="178">
        <v>1716.8</v>
      </c>
      <c r="E2819" s="155">
        <v>44801</v>
      </c>
      <c r="F2819" s="178">
        <v>1716.8</v>
      </c>
      <c r="G2819" s="179">
        <f>Tabla19[[#This Row],[Importe]]-Tabla19[[#This Row],[Pagado]]</f>
        <v>0</v>
      </c>
      <c r="H2819" s="153" t="s">
        <v>10</v>
      </c>
    </row>
    <row r="2820" spans="1:8" x14ac:dyDescent="0.25">
      <c r="A2820" s="73">
        <v>44800</v>
      </c>
      <c r="B2820" s="74" t="s">
        <v>27581</v>
      </c>
      <c r="C2820" s="75" t="s">
        <v>27582</v>
      </c>
      <c r="D2820" s="176">
        <v>0</v>
      </c>
      <c r="E2820" s="157" t="s">
        <v>189</v>
      </c>
      <c r="F2820" s="176">
        <v>0</v>
      </c>
      <c r="G2820" s="177">
        <f>Tabla19[[#This Row],[Importe]]-Tabla19[[#This Row],[Pagado]]</f>
        <v>0</v>
      </c>
      <c r="H2820" s="75" t="s">
        <v>189</v>
      </c>
    </row>
    <row r="2821" spans="1:8" x14ac:dyDescent="0.25">
      <c r="A2821" s="148">
        <v>44800</v>
      </c>
      <c r="B2821" s="149" t="s">
        <v>27583</v>
      </c>
      <c r="C2821" s="153" t="s">
        <v>27584</v>
      </c>
      <c r="D2821" s="178">
        <v>0</v>
      </c>
      <c r="E2821" s="158" t="s">
        <v>189</v>
      </c>
      <c r="F2821" s="178">
        <v>0</v>
      </c>
      <c r="G2821" s="179">
        <f>Tabla19[[#This Row],[Importe]]-Tabla19[[#This Row],[Pagado]]</f>
        <v>0</v>
      </c>
      <c r="H2821" s="159" t="s">
        <v>27585</v>
      </c>
    </row>
    <row r="2822" spans="1:8" x14ac:dyDescent="0.25">
      <c r="A2822" s="73">
        <v>44800</v>
      </c>
      <c r="B2822" s="74" t="s">
        <v>27586</v>
      </c>
      <c r="C2822" s="75" t="s">
        <v>454</v>
      </c>
      <c r="D2822" s="176">
        <v>2400</v>
      </c>
      <c r="E2822" s="151">
        <v>44800</v>
      </c>
      <c r="F2822" s="176">
        <v>2400</v>
      </c>
      <c r="G2822" s="177">
        <f>Tabla19[[#This Row],[Importe]]-Tabla19[[#This Row],[Pagado]]</f>
        <v>0</v>
      </c>
      <c r="H2822" s="75" t="s">
        <v>10</v>
      </c>
    </row>
    <row r="2823" spans="1:8" x14ac:dyDescent="0.25">
      <c r="A2823" s="148">
        <v>44800</v>
      </c>
      <c r="B2823" s="149" t="s">
        <v>27587</v>
      </c>
      <c r="C2823" s="153" t="s">
        <v>16</v>
      </c>
      <c r="D2823" s="178">
        <v>1171.8</v>
      </c>
      <c r="E2823" s="155">
        <v>44800</v>
      </c>
      <c r="F2823" s="178">
        <v>1171.8</v>
      </c>
      <c r="G2823" s="179">
        <f>Tabla19[[#This Row],[Importe]]-Tabla19[[#This Row],[Pagado]]</f>
        <v>0</v>
      </c>
      <c r="H2823" s="153" t="s">
        <v>10</v>
      </c>
    </row>
    <row r="2824" spans="1:8" x14ac:dyDescent="0.25">
      <c r="A2824" s="73">
        <v>44800</v>
      </c>
      <c r="B2824" s="74" t="s">
        <v>27588</v>
      </c>
      <c r="C2824" s="75" t="s">
        <v>10840</v>
      </c>
      <c r="D2824" s="176">
        <v>2530</v>
      </c>
      <c r="E2824" s="151">
        <v>44800</v>
      </c>
      <c r="F2824" s="176">
        <v>2530</v>
      </c>
      <c r="G2824" s="177">
        <f>Tabla19[[#This Row],[Importe]]-Tabla19[[#This Row],[Pagado]]</f>
        <v>0</v>
      </c>
      <c r="H2824" s="75" t="s">
        <v>10</v>
      </c>
    </row>
    <row r="2825" spans="1:8" x14ac:dyDescent="0.25">
      <c r="A2825" s="148">
        <v>44800</v>
      </c>
      <c r="B2825" s="149" t="s">
        <v>27589</v>
      </c>
      <c r="C2825" s="153" t="s">
        <v>280</v>
      </c>
      <c r="D2825" s="178">
        <v>2012.8</v>
      </c>
      <c r="E2825" s="155">
        <v>44801</v>
      </c>
      <c r="F2825" s="178">
        <v>2012.8</v>
      </c>
      <c r="G2825" s="179">
        <f>Tabla19[[#This Row],[Importe]]-Tabla19[[#This Row],[Pagado]]</f>
        <v>0</v>
      </c>
      <c r="H2825" s="153" t="s">
        <v>10</v>
      </c>
    </row>
    <row r="2826" spans="1:8" x14ac:dyDescent="0.25">
      <c r="A2826" s="73">
        <v>44800</v>
      </c>
      <c r="B2826" s="74" t="s">
        <v>27590</v>
      </c>
      <c r="C2826" s="75" t="s">
        <v>431</v>
      </c>
      <c r="D2826" s="176">
        <v>1198.8</v>
      </c>
      <c r="E2826" s="151">
        <v>44801</v>
      </c>
      <c r="F2826" s="176">
        <v>1198.8</v>
      </c>
      <c r="G2826" s="177">
        <f>Tabla19[[#This Row],[Importe]]-Tabla19[[#This Row],[Pagado]]</f>
        <v>0</v>
      </c>
      <c r="H2826" s="75" t="s">
        <v>10</v>
      </c>
    </row>
    <row r="2827" spans="1:8" x14ac:dyDescent="0.25">
      <c r="A2827" s="148">
        <v>44800</v>
      </c>
      <c r="B2827" s="149" t="s">
        <v>27591</v>
      </c>
      <c r="C2827" s="153" t="s">
        <v>10819</v>
      </c>
      <c r="D2827" s="178">
        <v>1346</v>
      </c>
      <c r="E2827" s="155">
        <v>44801</v>
      </c>
      <c r="F2827" s="178">
        <v>1346</v>
      </c>
      <c r="G2827" s="179">
        <f>Tabla19[[#This Row],[Importe]]-Tabla19[[#This Row],[Pagado]]</f>
        <v>0</v>
      </c>
      <c r="H2827" s="153" t="s">
        <v>10</v>
      </c>
    </row>
    <row r="2828" spans="1:8" x14ac:dyDescent="0.25">
      <c r="A2828" s="73">
        <v>44800</v>
      </c>
      <c r="B2828" s="74" t="s">
        <v>27592</v>
      </c>
      <c r="C2828" s="75" t="s">
        <v>282</v>
      </c>
      <c r="D2828" s="176">
        <v>6045.8</v>
      </c>
      <c r="E2828" s="151">
        <v>44801</v>
      </c>
      <c r="F2828" s="176">
        <v>6045.8</v>
      </c>
      <c r="G2828" s="177">
        <f>Tabla19[[#This Row],[Importe]]-Tabla19[[#This Row],[Pagado]]</f>
        <v>0</v>
      </c>
      <c r="H2828" s="75" t="s">
        <v>10</v>
      </c>
    </row>
    <row r="2829" spans="1:8" x14ac:dyDescent="0.25">
      <c r="A2829" s="148">
        <v>44800</v>
      </c>
      <c r="B2829" s="149" t="s">
        <v>27593</v>
      </c>
      <c r="C2829" s="153" t="s">
        <v>857</v>
      </c>
      <c r="D2829" s="178">
        <v>1640</v>
      </c>
      <c r="E2829" s="155">
        <v>44800</v>
      </c>
      <c r="F2829" s="178">
        <v>1640</v>
      </c>
      <c r="G2829" s="179">
        <f>Tabla19[[#This Row],[Importe]]-Tabla19[[#This Row],[Pagado]]</f>
        <v>0</v>
      </c>
      <c r="H2829" s="153" t="s">
        <v>10</v>
      </c>
    </row>
    <row r="2830" spans="1:8" x14ac:dyDescent="0.25">
      <c r="A2830" s="73">
        <v>44800</v>
      </c>
      <c r="B2830" s="74" t="s">
        <v>27594</v>
      </c>
      <c r="C2830" s="75" t="s">
        <v>409</v>
      </c>
      <c r="D2830" s="176">
        <v>8793.6</v>
      </c>
      <c r="E2830" s="151">
        <v>44804</v>
      </c>
      <c r="F2830" s="176">
        <v>8793.6</v>
      </c>
      <c r="G2830" s="177">
        <f>Tabla19[[#This Row],[Importe]]-Tabla19[[#This Row],[Pagado]]</f>
        <v>0</v>
      </c>
      <c r="H2830" s="75" t="s">
        <v>10</v>
      </c>
    </row>
    <row r="2831" spans="1:8" x14ac:dyDescent="0.25">
      <c r="A2831" s="148">
        <v>44800</v>
      </c>
      <c r="B2831" s="149" t="s">
        <v>27595</v>
      </c>
      <c r="C2831" s="153" t="s">
        <v>3823</v>
      </c>
      <c r="D2831" s="178">
        <v>0</v>
      </c>
      <c r="E2831" s="158" t="s">
        <v>189</v>
      </c>
      <c r="F2831" s="178">
        <v>0</v>
      </c>
      <c r="G2831" s="179">
        <f>Tabla19[[#This Row],[Importe]]-Tabla19[[#This Row],[Pagado]]</f>
        <v>0</v>
      </c>
      <c r="H2831" s="159" t="s">
        <v>27596</v>
      </c>
    </row>
    <row r="2832" spans="1:8" x14ac:dyDescent="0.25">
      <c r="A2832" s="73">
        <v>44800</v>
      </c>
      <c r="B2832" s="74" t="s">
        <v>27597</v>
      </c>
      <c r="C2832" s="75" t="s">
        <v>31</v>
      </c>
      <c r="D2832" s="176">
        <v>2296</v>
      </c>
      <c r="E2832" s="151">
        <v>44800</v>
      </c>
      <c r="F2832" s="176">
        <v>2296</v>
      </c>
      <c r="G2832" s="177">
        <f>Tabla19[[#This Row],[Importe]]-Tabla19[[#This Row],[Pagado]]</f>
        <v>0</v>
      </c>
      <c r="H2832" s="75" t="s">
        <v>10</v>
      </c>
    </row>
    <row r="2833" spans="1:8" x14ac:dyDescent="0.25">
      <c r="A2833" s="148">
        <v>44800</v>
      </c>
      <c r="B2833" s="149" t="s">
        <v>27598</v>
      </c>
      <c r="C2833" s="153" t="s">
        <v>31</v>
      </c>
      <c r="D2833" s="178">
        <v>24784</v>
      </c>
      <c r="E2833" s="155">
        <v>44800</v>
      </c>
      <c r="F2833" s="178">
        <v>24784</v>
      </c>
      <c r="G2833" s="179">
        <f>Tabla19[[#This Row],[Importe]]-Tabla19[[#This Row],[Pagado]]</f>
        <v>0</v>
      </c>
      <c r="H2833" s="153" t="s">
        <v>10</v>
      </c>
    </row>
    <row r="2834" spans="1:8" x14ac:dyDescent="0.25">
      <c r="A2834" s="73">
        <v>44800</v>
      </c>
      <c r="B2834" s="74" t="s">
        <v>27599</v>
      </c>
      <c r="C2834" s="75" t="s">
        <v>191</v>
      </c>
      <c r="D2834" s="176">
        <v>693</v>
      </c>
      <c r="E2834" s="151">
        <v>44800</v>
      </c>
      <c r="F2834" s="176">
        <v>693</v>
      </c>
      <c r="G2834" s="177">
        <f>Tabla19[[#This Row],[Importe]]-Tabla19[[#This Row],[Pagado]]</f>
        <v>0</v>
      </c>
      <c r="H2834" s="75" t="s">
        <v>10</v>
      </c>
    </row>
    <row r="2835" spans="1:8" x14ac:dyDescent="0.25">
      <c r="A2835" s="148">
        <v>44800</v>
      </c>
      <c r="B2835" s="149" t="s">
        <v>27600</v>
      </c>
      <c r="C2835" s="153" t="s">
        <v>35</v>
      </c>
      <c r="D2835" s="178">
        <v>3056</v>
      </c>
      <c r="E2835" s="155">
        <v>44800</v>
      </c>
      <c r="F2835" s="178">
        <v>3056</v>
      </c>
      <c r="G2835" s="179">
        <f>Tabla19[[#This Row],[Importe]]-Tabla19[[#This Row],[Pagado]]</f>
        <v>0</v>
      </c>
      <c r="H2835" s="153" t="s">
        <v>10</v>
      </c>
    </row>
    <row r="2836" spans="1:8" x14ac:dyDescent="0.25">
      <c r="A2836" s="73">
        <v>44800</v>
      </c>
      <c r="B2836" s="74" t="s">
        <v>27601</v>
      </c>
      <c r="C2836" s="75" t="s">
        <v>296</v>
      </c>
      <c r="D2836" s="176">
        <v>3107.3</v>
      </c>
      <c r="E2836" s="151">
        <v>44800</v>
      </c>
      <c r="F2836" s="176">
        <v>3107.3</v>
      </c>
      <c r="G2836" s="177">
        <f>Tabla19[[#This Row],[Importe]]-Tabla19[[#This Row],[Pagado]]</f>
        <v>0</v>
      </c>
      <c r="H2836" s="75" t="s">
        <v>10</v>
      </c>
    </row>
    <row r="2837" spans="1:8" x14ac:dyDescent="0.25">
      <c r="A2837" s="148">
        <v>44800</v>
      </c>
      <c r="B2837" s="149" t="s">
        <v>27602</v>
      </c>
      <c r="C2837" s="153" t="s">
        <v>461</v>
      </c>
      <c r="D2837" s="178">
        <v>394</v>
      </c>
      <c r="E2837" s="155">
        <v>44800</v>
      </c>
      <c r="F2837" s="178">
        <v>394</v>
      </c>
      <c r="G2837" s="179">
        <f>Tabla19[[#This Row],[Importe]]-Tabla19[[#This Row],[Pagado]]</f>
        <v>0</v>
      </c>
      <c r="H2837" s="153" t="s">
        <v>10</v>
      </c>
    </row>
    <row r="2838" spans="1:8" x14ac:dyDescent="0.25">
      <c r="A2838" s="73">
        <v>44800</v>
      </c>
      <c r="B2838" s="74" t="s">
        <v>27603</v>
      </c>
      <c r="C2838" s="75" t="s">
        <v>414</v>
      </c>
      <c r="D2838" s="176">
        <v>22469.4</v>
      </c>
      <c r="E2838" s="151">
        <v>44809</v>
      </c>
      <c r="F2838" s="176">
        <v>22469.4</v>
      </c>
      <c r="G2838" s="177">
        <f>Tabla19[[#This Row],[Importe]]-Tabla19[[#This Row],[Pagado]]</f>
        <v>0</v>
      </c>
      <c r="H2838" s="75" t="s">
        <v>10</v>
      </c>
    </row>
    <row r="2839" spans="1:8" x14ac:dyDescent="0.25">
      <c r="A2839" s="148">
        <v>44800</v>
      </c>
      <c r="B2839" s="149" t="s">
        <v>27604</v>
      </c>
      <c r="C2839" s="153" t="s">
        <v>9</v>
      </c>
      <c r="D2839" s="178">
        <v>952</v>
      </c>
      <c r="E2839" s="155">
        <v>44800</v>
      </c>
      <c r="F2839" s="178">
        <v>952</v>
      </c>
      <c r="G2839" s="179">
        <f>Tabla19[[#This Row],[Importe]]-Tabla19[[#This Row],[Pagado]]</f>
        <v>0</v>
      </c>
      <c r="H2839" s="153" t="s">
        <v>10</v>
      </c>
    </row>
    <row r="2840" spans="1:8" x14ac:dyDescent="0.25">
      <c r="A2840" s="73">
        <v>44800</v>
      </c>
      <c r="B2840" s="74" t="s">
        <v>27605</v>
      </c>
      <c r="C2840" s="75" t="s">
        <v>612</v>
      </c>
      <c r="D2840" s="176">
        <v>660</v>
      </c>
      <c r="E2840" s="151">
        <v>44800</v>
      </c>
      <c r="F2840" s="176">
        <v>660</v>
      </c>
      <c r="G2840" s="177">
        <f>Tabla19[[#This Row],[Importe]]-Tabla19[[#This Row],[Pagado]]</f>
        <v>0</v>
      </c>
      <c r="H2840" s="75" t="s">
        <v>10</v>
      </c>
    </row>
    <row r="2841" spans="1:8" x14ac:dyDescent="0.25">
      <c r="A2841" s="148">
        <v>44800</v>
      </c>
      <c r="B2841" s="149" t="s">
        <v>27606</v>
      </c>
      <c r="C2841" s="153" t="s">
        <v>71</v>
      </c>
      <c r="D2841" s="178">
        <v>8582.1</v>
      </c>
      <c r="E2841" s="155">
        <v>44800</v>
      </c>
      <c r="F2841" s="178">
        <v>8582.1</v>
      </c>
      <c r="G2841" s="179">
        <f>Tabla19[[#This Row],[Importe]]-Tabla19[[#This Row],[Pagado]]</f>
        <v>0</v>
      </c>
      <c r="H2841" s="153" t="s">
        <v>10</v>
      </c>
    </row>
    <row r="2842" spans="1:8" x14ac:dyDescent="0.25">
      <c r="A2842" s="73">
        <v>44800</v>
      </c>
      <c r="B2842" s="74" t="s">
        <v>27607</v>
      </c>
      <c r="C2842" s="75" t="s">
        <v>107</v>
      </c>
      <c r="D2842" s="176">
        <v>9327.5</v>
      </c>
      <c r="E2842" s="151">
        <v>44801</v>
      </c>
      <c r="F2842" s="176">
        <v>9327.5</v>
      </c>
      <c r="G2842" s="177">
        <f>Tabla19[[#This Row],[Importe]]-Tabla19[[#This Row],[Pagado]]</f>
        <v>0</v>
      </c>
      <c r="H2842" s="75" t="s">
        <v>10</v>
      </c>
    </row>
    <row r="2843" spans="1:8" x14ac:dyDescent="0.25">
      <c r="A2843" s="148">
        <v>44800</v>
      </c>
      <c r="B2843" s="149" t="s">
        <v>27608</v>
      </c>
      <c r="C2843" s="153" t="s">
        <v>1362</v>
      </c>
      <c r="D2843" s="178">
        <v>5955</v>
      </c>
      <c r="E2843" s="155">
        <v>44801</v>
      </c>
      <c r="F2843" s="178">
        <v>5955</v>
      </c>
      <c r="G2843" s="179">
        <f>Tabla19[[#This Row],[Importe]]-Tabla19[[#This Row],[Pagado]]</f>
        <v>0</v>
      </c>
      <c r="H2843" s="153" t="s">
        <v>10</v>
      </c>
    </row>
    <row r="2844" spans="1:8" x14ac:dyDescent="0.25">
      <c r="A2844" s="73">
        <v>44801</v>
      </c>
      <c r="B2844" s="74" t="s">
        <v>27609</v>
      </c>
      <c r="C2844" s="75" t="s">
        <v>475</v>
      </c>
      <c r="D2844" s="176">
        <v>53536.7</v>
      </c>
      <c r="E2844" s="151">
        <v>44802</v>
      </c>
      <c r="F2844" s="176">
        <v>53536.7</v>
      </c>
      <c r="G2844" s="177">
        <f>Tabla19[[#This Row],[Importe]]-Tabla19[[#This Row],[Pagado]]</f>
        <v>0</v>
      </c>
      <c r="H2844" s="75" t="s">
        <v>10</v>
      </c>
    </row>
    <row r="2845" spans="1:8" x14ac:dyDescent="0.25">
      <c r="A2845" s="148">
        <v>44801</v>
      </c>
      <c r="B2845" s="149" t="s">
        <v>27610</v>
      </c>
      <c r="C2845" s="153" t="s">
        <v>9</v>
      </c>
      <c r="D2845" s="178">
        <v>8878.2000000000007</v>
      </c>
      <c r="E2845" s="155">
        <v>44801</v>
      </c>
      <c r="F2845" s="178">
        <v>8878.2000000000007</v>
      </c>
      <c r="G2845" s="179">
        <f>Tabla19[[#This Row],[Importe]]-Tabla19[[#This Row],[Pagado]]</f>
        <v>0</v>
      </c>
      <c r="H2845" s="153" t="s">
        <v>10</v>
      </c>
    </row>
    <row r="2846" spans="1:8" x14ac:dyDescent="0.25">
      <c r="A2846" s="73">
        <v>44801</v>
      </c>
      <c r="B2846" s="74" t="s">
        <v>27611</v>
      </c>
      <c r="C2846" s="75" t="s">
        <v>924</v>
      </c>
      <c r="D2846" s="176">
        <v>13232</v>
      </c>
      <c r="E2846" s="151">
        <v>44801</v>
      </c>
      <c r="F2846" s="176">
        <v>13232</v>
      </c>
      <c r="G2846" s="177">
        <f>Tabla19[[#This Row],[Importe]]-Tabla19[[#This Row],[Pagado]]</f>
        <v>0</v>
      </c>
      <c r="H2846" s="75" t="s">
        <v>10</v>
      </c>
    </row>
    <row r="2847" spans="1:8" x14ac:dyDescent="0.25">
      <c r="A2847" s="148">
        <v>44801</v>
      </c>
      <c r="B2847" s="149" t="s">
        <v>27612</v>
      </c>
      <c r="C2847" s="153" t="s">
        <v>1187</v>
      </c>
      <c r="D2847" s="178">
        <v>2218.5</v>
      </c>
      <c r="E2847" s="155">
        <v>44801</v>
      </c>
      <c r="F2847" s="178">
        <v>2218.5</v>
      </c>
      <c r="G2847" s="179">
        <f>Tabla19[[#This Row],[Importe]]-Tabla19[[#This Row],[Pagado]]</f>
        <v>0</v>
      </c>
      <c r="H2847" s="153" t="s">
        <v>10</v>
      </c>
    </row>
    <row r="2848" spans="1:8" x14ac:dyDescent="0.25">
      <c r="A2848" s="73">
        <v>44801</v>
      </c>
      <c r="B2848" s="74" t="s">
        <v>27613</v>
      </c>
      <c r="C2848" s="75" t="s">
        <v>481</v>
      </c>
      <c r="D2848" s="176">
        <v>1258</v>
      </c>
      <c r="E2848" s="151">
        <v>44801</v>
      </c>
      <c r="F2848" s="176">
        <v>1258</v>
      </c>
      <c r="G2848" s="177">
        <f>Tabla19[[#This Row],[Importe]]-Tabla19[[#This Row],[Pagado]]</f>
        <v>0</v>
      </c>
      <c r="H2848" s="75" t="s">
        <v>10</v>
      </c>
    </row>
    <row r="2849" spans="1:8" x14ac:dyDescent="0.25">
      <c r="A2849" s="148">
        <v>44801</v>
      </c>
      <c r="B2849" s="149" t="s">
        <v>27614</v>
      </c>
      <c r="C2849" s="153" t="s">
        <v>475</v>
      </c>
      <c r="D2849" s="178">
        <v>1443</v>
      </c>
      <c r="E2849" s="155">
        <v>44802</v>
      </c>
      <c r="F2849" s="178">
        <v>1443</v>
      </c>
      <c r="G2849" s="179">
        <f>Tabla19[[#This Row],[Importe]]-Tabla19[[#This Row],[Pagado]]</f>
        <v>0</v>
      </c>
      <c r="H2849" s="153" t="s">
        <v>10</v>
      </c>
    </row>
    <row r="2850" spans="1:8" x14ac:dyDescent="0.25">
      <c r="A2850" s="73">
        <v>44801</v>
      </c>
      <c r="B2850" s="74" t="s">
        <v>27615</v>
      </c>
      <c r="C2850" s="75" t="s">
        <v>12</v>
      </c>
      <c r="D2850" s="176">
        <v>22908.75</v>
      </c>
      <c r="E2850" s="151">
        <v>44801</v>
      </c>
      <c r="F2850" s="176">
        <v>22908.75</v>
      </c>
      <c r="G2850" s="177">
        <f>Tabla19[[#This Row],[Importe]]-Tabla19[[#This Row],[Pagado]]</f>
        <v>0</v>
      </c>
      <c r="H2850" s="75" t="s">
        <v>10</v>
      </c>
    </row>
    <row r="2851" spans="1:8" x14ac:dyDescent="0.25">
      <c r="A2851" s="148">
        <v>44801</v>
      </c>
      <c r="B2851" s="149" t="s">
        <v>27616</v>
      </c>
      <c r="C2851" s="153" t="s">
        <v>501</v>
      </c>
      <c r="D2851" s="178">
        <v>9638.1</v>
      </c>
      <c r="E2851" s="155">
        <v>44801</v>
      </c>
      <c r="F2851" s="178">
        <v>9638.1</v>
      </c>
      <c r="G2851" s="179">
        <f>Tabla19[[#This Row],[Importe]]-Tabla19[[#This Row],[Pagado]]</f>
        <v>0</v>
      </c>
      <c r="H2851" s="153" t="s">
        <v>10</v>
      </c>
    </row>
    <row r="2852" spans="1:8" x14ac:dyDescent="0.25">
      <c r="A2852" s="73">
        <v>44801</v>
      </c>
      <c r="B2852" s="74" t="s">
        <v>27617</v>
      </c>
      <c r="C2852" s="75" t="s">
        <v>12</v>
      </c>
      <c r="D2852" s="176">
        <v>643.5</v>
      </c>
      <c r="E2852" s="151">
        <v>44801</v>
      </c>
      <c r="F2852" s="176">
        <v>643.5</v>
      </c>
      <c r="G2852" s="177">
        <f>Tabla19[[#This Row],[Importe]]-Tabla19[[#This Row],[Pagado]]</f>
        <v>0</v>
      </c>
      <c r="H2852" s="75" t="s">
        <v>10</v>
      </c>
    </row>
    <row r="2853" spans="1:8" x14ac:dyDescent="0.25">
      <c r="A2853" s="148">
        <v>44801</v>
      </c>
      <c r="B2853" s="149" t="s">
        <v>27618</v>
      </c>
      <c r="C2853" s="153" t="s">
        <v>22</v>
      </c>
      <c r="D2853" s="178">
        <v>62513.599999999999</v>
      </c>
      <c r="E2853" s="155">
        <v>44803</v>
      </c>
      <c r="F2853" s="178">
        <v>62513.599999999999</v>
      </c>
      <c r="G2853" s="179">
        <f>Tabla19[[#This Row],[Importe]]-Tabla19[[#This Row],[Pagado]]</f>
        <v>0</v>
      </c>
      <c r="H2853" s="153" t="s">
        <v>10</v>
      </c>
    </row>
    <row r="2854" spans="1:8" x14ac:dyDescent="0.25">
      <c r="A2854" s="73">
        <v>44801</v>
      </c>
      <c r="B2854" s="74" t="s">
        <v>27619</v>
      </c>
      <c r="C2854" s="75" t="s">
        <v>33</v>
      </c>
      <c r="D2854" s="176">
        <v>17932</v>
      </c>
      <c r="E2854" s="151">
        <v>44801</v>
      </c>
      <c r="F2854" s="176">
        <v>17932</v>
      </c>
      <c r="G2854" s="177">
        <f>Tabla19[[#This Row],[Importe]]-Tabla19[[#This Row],[Pagado]]</f>
        <v>0</v>
      </c>
      <c r="H2854" s="75" t="s">
        <v>10</v>
      </c>
    </row>
    <row r="2855" spans="1:8" x14ac:dyDescent="0.25">
      <c r="A2855" s="148">
        <v>44801</v>
      </c>
      <c r="B2855" s="149" t="s">
        <v>27620</v>
      </c>
      <c r="C2855" s="153" t="s">
        <v>16</v>
      </c>
      <c r="D2855" s="178">
        <v>13593.9</v>
      </c>
      <c r="E2855" s="155">
        <v>44801</v>
      </c>
      <c r="F2855" s="178">
        <v>13593.9</v>
      </c>
      <c r="G2855" s="179">
        <f>Tabla19[[#This Row],[Importe]]-Tabla19[[#This Row],[Pagado]]</f>
        <v>0</v>
      </c>
      <c r="H2855" s="153" t="s">
        <v>10</v>
      </c>
    </row>
    <row r="2856" spans="1:8" x14ac:dyDescent="0.25">
      <c r="A2856" s="73">
        <v>44801</v>
      </c>
      <c r="B2856" s="74" t="s">
        <v>27621</v>
      </c>
      <c r="C2856" s="75" t="s">
        <v>37</v>
      </c>
      <c r="D2856" s="176">
        <v>3161.1</v>
      </c>
      <c r="E2856" s="151">
        <v>44801</v>
      </c>
      <c r="F2856" s="176">
        <v>3161.1</v>
      </c>
      <c r="G2856" s="177">
        <f>Tabla19[[#This Row],[Importe]]-Tabla19[[#This Row],[Pagado]]</f>
        <v>0</v>
      </c>
      <c r="H2856" s="75" t="s">
        <v>10</v>
      </c>
    </row>
    <row r="2857" spans="1:8" x14ac:dyDescent="0.25">
      <c r="A2857" s="148">
        <v>44801</v>
      </c>
      <c r="B2857" s="149" t="s">
        <v>27622</v>
      </c>
      <c r="C2857" s="153" t="s">
        <v>49</v>
      </c>
      <c r="D2857" s="178">
        <v>3364.2</v>
      </c>
      <c r="E2857" s="155">
        <v>44801</v>
      </c>
      <c r="F2857" s="178">
        <v>3364.2</v>
      </c>
      <c r="G2857" s="179">
        <f>Tabla19[[#This Row],[Importe]]-Tabla19[[#This Row],[Pagado]]</f>
        <v>0</v>
      </c>
      <c r="H2857" s="153" t="s">
        <v>10</v>
      </c>
    </row>
    <row r="2858" spans="1:8" x14ac:dyDescent="0.25">
      <c r="A2858" s="73">
        <v>44801</v>
      </c>
      <c r="B2858" s="74" t="s">
        <v>27623</v>
      </c>
      <c r="C2858" s="75" t="s">
        <v>20</v>
      </c>
      <c r="D2858" s="176">
        <v>12368</v>
      </c>
      <c r="E2858" s="151">
        <v>44801</v>
      </c>
      <c r="F2858" s="176">
        <v>12368</v>
      </c>
      <c r="G2858" s="177">
        <f>Tabla19[[#This Row],[Importe]]-Tabla19[[#This Row],[Pagado]]</f>
        <v>0</v>
      </c>
      <c r="H2858" s="75" t="s">
        <v>10</v>
      </c>
    </row>
    <row r="2859" spans="1:8" x14ac:dyDescent="0.25">
      <c r="A2859" s="148">
        <v>44801</v>
      </c>
      <c r="B2859" s="149" t="s">
        <v>27624</v>
      </c>
      <c r="C2859" s="153" t="s">
        <v>35</v>
      </c>
      <c r="D2859" s="178">
        <v>2412.6</v>
      </c>
      <c r="E2859" s="155">
        <v>44801</v>
      </c>
      <c r="F2859" s="178">
        <v>2412.6</v>
      </c>
      <c r="G2859" s="179">
        <f>Tabla19[[#This Row],[Importe]]-Tabla19[[#This Row],[Pagado]]</f>
        <v>0</v>
      </c>
      <c r="H2859" s="153" t="s">
        <v>10</v>
      </c>
    </row>
    <row r="2860" spans="1:8" x14ac:dyDescent="0.25">
      <c r="A2860" s="73">
        <v>44801</v>
      </c>
      <c r="B2860" s="74" t="s">
        <v>27625</v>
      </c>
      <c r="C2860" s="75" t="s">
        <v>27</v>
      </c>
      <c r="D2860" s="176">
        <v>2238.8000000000002</v>
      </c>
      <c r="E2860" s="151">
        <v>44801</v>
      </c>
      <c r="F2860" s="176">
        <v>2238.8000000000002</v>
      </c>
      <c r="G2860" s="177">
        <f>Tabla19[[#This Row],[Importe]]-Tabla19[[#This Row],[Pagado]]</f>
        <v>0</v>
      </c>
      <c r="H2860" s="75" t="s">
        <v>10</v>
      </c>
    </row>
    <row r="2861" spans="1:8" x14ac:dyDescent="0.25">
      <c r="A2861" s="148">
        <v>44801</v>
      </c>
      <c r="B2861" s="149" t="s">
        <v>27626</v>
      </c>
      <c r="C2861" s="153" t="s">
        <v>111</v>
      </c>
      <c r="D2861" s="178">
        <v>2160.8000000000002</v>
      </c>
      <c r="E2861" s="155">
        <v>44801</v>
      </c>
      <c r="F2861" s="178">
        <v>2160.8000000000002</v>
      </c>
      <c r="G2861" s="179">
        <f>Tabla19[[#This Row],[Importe]]-Tabla19[[#This Row],[Pagado]]</f>
        <v>0</v>
      </c>
      <c r="H2861" s="153" t="s">
        <v>10</v>
      </c>
    </row>
    <row r="2862" spans="1:8" x14ac:dyDescent="0.25">
      <c r="A2862" s="73">
        <v>44801</v>
      </c>
      <c r="B2862" s="74" t="s">
        <v>27627</v>
      </c>
      <c r="C2862" s="75" t="s">
        <v>29</v>
      </c>
      <c r="D2862" s="176">
        <v>12002.8</v>
      </c>
      <c r="E2862" s="151">
        <v>44801</v>
      </c>
      <c r="F2862" s="176">
        <v>12002.8</v>
      </c>
      <c r="G2862" s="177">
        <f>Tabla19[[#This Row],[Importe]]-Tabla19[[#This Row],[Pagado]]</f>
        <v>0</v>
      </c>
      <c r="H2862" s="75" t="s">
        <v>10</v>
      </c>
    </row>
    <row r="2863" spans="1:8" x14ac:dyDescent="0.25">
      <c r="A2863" s="148">
        <v>44801</v>
      </c>
      <c r="B2863" s="149" t="s">
        <v>27628</v>
      </c>
      <c r="C2863" s="153" t="s">
        <v>45</v>
      </c>
      <c r="D2863" s="178">
        <v>8720.6</v>
      </c>
      <c r="E2863" s="155">
        <v>44801</v>
      </c>
      <c r="F2863" s="178">
        <v>8720.6</v>
      </c>
      <c r="G2863" s="179">
        <f>Tabla19[[#This Row],[Importe]]-Tabla19[[#This Row],[Pagado]]</f>
        <v>0</v>
      </c>
      <c r="H2863" s="153" t="s">
        <v>10</v>
      </c>
    </row>
    <row r="2864" spans="1:8" x14ac:dyDescent="0.25">
      <c r="A2864" s="73">
        <v>44801</v>
      </c>
      <c r="B2864" s="74" t="s">
        <v>27629</v>
      </c>
      <c r="C2864" s="75" t="s">
        <v>4136</v>
      </c>
      <c r="D2864" s="176">
        <v>1390.4</v>
      </c>
      <c r="E2864" s="151">
        <v>44801</v>
      </c>
      <c r="F2864" s="176">
        <v>1390.4</v>
      </c>
      <c r="G2864" s="177">
        <f>Tabla19[[#This Row],[Importe]]-Tabla19[[#This Row],[Pagado]]</f>
        <v>0</v>
      </c>
      <c r="H2864" s="75" t="s">
        <v>10</v>
      </c>
    </row>
    <row r="2865" spans="1:8" x14ac:dyDescent="0.25">
      <c r="A2865" s="148">
        <v>44801</v>
      </c>
      <c r="B2865" s="149" t="s">
        <v>27630</v>
      </c>
      <c r="C2865" s="153" t="s">
        <v>97</v>
      </c>
      <c r="D2865" s="178">
        <v>4257</v>
      </c>
      <c r="E2865" s="155">
        <v>44801</v>
      </c>
      <c r="F2865" s="178">
        <v>4257</v>
      </c>
      <c r="G2865" s="179">
        <f>Tabla19[[#This Row],[Importe]]-Tabla19[[#This Row],[Pagado]]</f>
        <v>0</v>
      </c>
      <c r="H2865" s="153" t="s">
        <v>10</v>
      </c>
    </row>
    <row r="2866" spans="1:8" x14ac:dyDescent="0.25">
      <c r="A2866" s="73">
        <v>44801</v>
      </c>
      <c r="B2866" s="74" t="s">
        <v>27631</v>
      </c>
      <c r="C2866" s="75" t="s">
        <v>1003</v>
      </c>
      <c r="D2866" s="176">
        <v>6919.2</v>
      </c>
      <c r="E2866" s="151">
        <v>44803</v>
      </c>
      <c r="F2866" s="176">
        <v>6919.2</v>
      </c>
      <c r="G2866" s="177">
        <f>Tabla19[[#This Row],[Importe]]-Tabla19[[#This Row],[Pagado]]</f>
        <v>0</v>
      </c>
      <c r="H2866" s="75" t="s">
        <v>10</v>
      </c>
    </row>
    <row r="2867" spans="1:8" x14ac:dyDescent="0.25">
      <c r="A2867" s="148">
        <v>44801</v>
      </c>
      <c r="B2867" s="149" t="s">
        <v>27632</v>
      </c>
      <c r="C2867" s="153" t="s">
        <v>31</v>
      </c>
      <c r="D2867" s="178">
        <v>537.6</v>
      </c>
      <c r="E2867" s="155">
        <v>44801</v>
      </c>
      <c r="F2867" s="178">
        <v>537.6</v>
      </c>
      <c r="G2867" s="179">
        <f>Tabla19[[#This Row],[Importe]]-Tabla19[[#This Row],[Pagado]]</f>
        <v>0</v>
      </c>
      <c r="H2867" s="153" t="s">
        <v>10</v>
      </c>
    </row>
    <row r="2868" spans="1:8" x14ac:dyDescent="0.25">
      <c r="A2868" s="73">
        <v>44801</v>
      </c>
      <c r="B2868" s="74" t="s">
        <v>27633</v>
      </c>
      <c r="C2868" s="75" t="s">
        <v>24</v>
      </c>
      <c r="D2868" s="176">
        <v>3200</v>
      </c>
      <c r="E2868" s="151">
        <v>44801</v>
      </c>
      <c r="F2868" s="176">
        <v>3200</v>
      </c>
      <c r="G2868" s="177">
        <f>Tabla19[[#This Row],[Importe]]-Tabla19[[#This Row],[Pagado]]</f>
        <v>0</v>
      </c>
      <c r="H2868" s="75" t="s">
        <v>10</v>
      </c>
    </row>
    <row r="2869" spans="1:8" x14ac:dyDescent="0.25">
      <c r="A2869" s="148">
        <v>44801</v>
      </c>
      <c r="B2869" s="149" t="s">
        <v>27634</v>
      </c>
      <c r="C2869" s="153" t="s">
        <v>24</v>
      </c>
      <c r="D2869" s="178">
        <v>972.8</v>
      </c>
      <c r="E2869" s="155">
        <v>44801</v>
      </c>
      <c r="F2869" s="178">
        <v>972.8</v>
      </c>
      <c r="G2869" s="179">
        <f>Tabla19[[#This Row],[Importe]]-Tabla19[[#This Row],[Pagado]]</f>
        <v>0</v>
      </c>
      <c r="H2869" s="153" t="s">
        <v>10</v>
      </c>
    </row>
    <row r="2870" spans="1:8" x14ac:dyDescent="0.25">
      <c r="A2870" s="73">
        <v>44801</v>
      </c>
      <c r="B2870" s="74" t="s">
        <v>27635</v>
      </c>
      <c r="C2870" s="75" t="s">
        <v>56</v>
      </c>
      <c r="D2870" s="176">
        <v>5162.3999999999996</v>
      </c>
      <c r="E2870" s="151">
        <v>44801</v>
      </c>
      <c r="F2870" s="176">
        <v>5162.3999999999996</v>
      </c>
      <c r="G2870" s="177">
        <f>Tabla19[[#This Row],[Importe]]-Tabla19[[#This Row],[Pagado]]</f>
        <v>0</v>
      </c>
      <c r="H2870" s="75" t="s">
        <v>10</v>
      </c>
    </row>
    <row r="2871" spans="1:8" x14ac:dyDescent="0.25">
      <c r="A2871" s="148">
        <v>44801</v>
      </c>
      <c r="B2871" s="149" t="s">
        <v>27636</v>
      </c>
      <c r="C2871" s="153" t="s">
        <v>56</v>
      </c>
      <c r="D2871" s="178">
        <v>1358.5</v>
      </c>
      <c r="E2871" s="155">
        <v>44801</v>
      </c>
      <c r="F2871" s="178">
        <v>1358.5</v>
      </c>
      <c r="G2871" s="179">
        <f>Tabla19[[#This Row],[Importe]]-Tabla19[[#This Row],[Pagado]]</f>
        <v>0</v>
      </c>
      <c r="H2871" s="153" t="s">
        <v>10</v>
      </c>
    </row>
    <row r="2872" spans="1:8" x14ac:dyDescent="0.25">
      <c r="A2872" s="73">
        <v>44801</v>
      </c>
      <c r="B2872" s="74" t="s">
        <v>27637</v>
      </c>
      <c r="C2872" s="75" t="s">
        <v>53</v>
      </c>
      <c r="D2872" s="176">
        <v>1860</v>
      </c>
      <c r="E2872" s="151">
        <v>44801</v>
      </c>
      <c r="F2872" s="176">
        <v>1860</v>
      </c>
      <c r="G2872" s="177">
        <f>Tabla19[[#This Row],[Importe]]-Tabla19[[#This Row],[Pagado]]</f>
        <v>0</v>
      </c>
      <c r="H2872" s="75" t="s">
        <v>10</v>
      </c>
    </row>
    <row r="2873" spans="1:8" x14ac:dyDescent="0.25">
      <c r="A2873" s="148">
        <v>44801</v>
      </c>
      <c r="B2873" s="149" t="s">
        <v>27638</v>
      </c>
      <c r="C2873" s="153" t="s">
        <v>191</v>
      </c>
      <c r="D2873" s="178">
        <v>3307.5</v>
      </c>
      <c r="E2873" s="155">
        <v>44801</v>
      </c>
      <c r="F2873" s="178">
        <v>3307.5</v>
      </c>
      <c r="G2873" s="179">
        <f>Tabla19[[#This Row],[Importe]]-Tabla19[[#This Row],[Pagado]]</f>
        <v>0</v>
      </c>
      <c r="H2873" s="153" t="s">
        <v>10</v>
      </c>
    </row>
    <row r="2874" spans="1:8" x14ac:dyDescent="0.25">
      <c r="A2874" s="73">
        <v>44801</v>
      </c>
      <c r="B2874" s="74" t="s">
        <v>27639</v>
      </c>
      <c r="C2874" s="75" t="s">
        <v>53</v>
      </c>
      <c r="D2874" s="176">
        <v>70</v>
      </c>
      <c r="E2874" s="151">
        <v>44801</v>
      </c>
      <c r="F2874" s="176">
        <v>70</v>
      </c>
      <c r="G2874" s="177">
        <f>Tabla19[[#This Row],[Importe]]-Tabla19[[#This Row],[Pagado]]</f>
        <v>0</v>
      </c>
      <c r="H2874" s="75" t="s">
        <v>10</v>
      </c>
    </row>
    <row r="2875" spans="1:8" x14ac:dyDescent="0.25">
      <c r="A2875" s="148">
        <v>44801</v>
      </c>
      <c r="B2875" s="149" t="s">
        <v>27640</v>
      </c>
      <c r="C2875" s="153" t="s">
        <v>58</v>
      </c>
      <c r="D2875" s="178">
        <v>4056.3</v>
      </c>
      <c r="E2875" s="155">
        <v>44801</v>
      </c>
      <c r="F2875" s="178">
        <v>4056.3</v>
      </c>
      <c r="G2875" s="179">
        <f>Tabla19[[#This Row],[Importe]]-Tabla19[[#This Row],[Pagado]]</f>
        <v>0</v>
      </c>
      <c r="H2875" s="153" t="s">
        <v>10</v>
      </c>
    </row>
    <row r="2876" spans="1:8" x14ac:dyDescent="0.25">
      <c r="A2876" s="73">
        <v>44801</v>
      </c>
      <c r="B2876" s="74" t="s">
        <v>27641</v>
      </c>
      <c r="C2876" s="75" t="s">
        <v>24284</v>
      </c>
      <c r="D2876" s="176">
        <v>1694.6</v>
      </c>
      <c r="E2876" s="151">
        <v>44801</v>
      </c>
      <c r="F2876" s="176">
        <v>1694.6</v>
      </c>
      <c r="G2876" s="177">
        <f>Tabla19[[#This Row],[Importe]]-Tabla19[[#This Row],[Pagado]]</f>
        <v>0</v>
      </c>
      <c r="H2876" s="75" t="s">
        <v>10</v>
      </c>
    </row>
    <row r="2877" spans="1:8" x14ac:dyDescent="0.25">
      <c r="A2877" s="148">
        <v>44801</v>
      </c>
      <c r="B2877" s="149" t="s">
        <v>27642</v>
      </c>
      <c r="C2877" s="153" t="s">
        <v>67</v>
      </c>
      <c r="D2877" s="178">
        <v>2424.8000000000002</v>
      </c>
      <c r="E2877" s="155">
        <v>44801</v>
      </c>
      <c r="F2877" s="178">
        <v>2424.8000000000002</v>
      </c>
      <c r="G2877" s="179">
        <f>Tabla19[[#This Row],[Importe]]-Tabla19[[#This Row],[Pagado]]</f>
        <v>0</v>
      </c>
      <c r="H2877" s="153" t="s">
        <v>10</v>
      </c>
    </row>
    <row r="2878" spans="1:8" x14ac:dyDescent="0.25">
      <c r="A2878" s="73">
        <v>44801</v>
      </c>
      <c r="B2878" s="74" t="s">
        <v>27643</v>
      </c>
      <c r="C2878" s="75" t="s">
        <v>22</v>
      </c>
      <c r="D2878" s="176">
        <v>11648</v>
      </c>
      <c r="E2878" s="151">
        <v>44803</v>
      </c>
      <c r="F2878" s="176">
        <v>11648</v>
      </c>
      <c r="G2878" s="177">
        <f>Tabla19[[#This Row],[Importe]]-Tabla19[[#This Row],[Pagado]]</f>
        <v>0</v>
      </c>
      <c r="H2878" s="75" t="s">
        <v>10</v>
      </c>
    </row>
    <row r="2879" spans="1:8" x14ac:dyDescent="0.25">
      <c r="A2879" s="148">
        <v>44801</v>
      </c>
      <c r="B2879" s="149" t="s">
        <v>27644</v>
      </c>
      <c r="C2879" s="153" t="s">
        <v>670</v>
      </c>
      <c r="D2879" s="178">
        <v>4569.8</v>
      </c>
      <c r="E2879" s="155">
        <v>44801</v>
      </c>
      <c r="F2879" s="178">
        <v>4569.8</v>
      </c>
      <c r="G2879" s="179">
        <f>Tabla19[[#This Row],[Importe]]-Tabla19[[#This Row],[Pagado]]</f>
        <v>0</v>
      </c>
      <c r="H2879" s="153" t="s">
        <v>10</v>
      </c>
    </row>
    <row r="2880" spans="1:8" x14ac:dyDescent="0.25">
      <c r="A2880" s="73">
        <v>44801</v>
      </c>
      <c r="B2880" s="74" t="s">
        <v>27645</v>
      </c>
      <c r="C2880" s="75" t="s">
        <v>31</v>
      </c>
      <c r="D2880" s="176">
        <v>1208.5999999999999</v>
      </c>
      <c r="E2880" s="151">
        <v>44801</v>
      </c>
      <c r="F2880" s="176">
        <v>1208.5999999999999</v>
      </c>
      <c r="G2880" s="177">
        <f>Tabla19[[#This Row],[Importe]]-Tabla19[[#This Row],[Pagado]]</f>
        <v>0</v>
      </c>
      <c r="H2880" s="75" t="s">
        <v>10</v>
      </c>
    </row>
    <row r="2881" spans="1:8" x14ac:dyDescent="0.25">
      <c r="A2881" s="148">
        <v>44801</v>
      </c>
      <c r="B2881" s="149" t="s">
        <v>27646</v>
      </c>
      <c r="C2881" s="153" t="s">
        <v>214</v>
      </c>
      <c r="D2881" s="178">
        <v>1710</v>
      </c>
      <c r="E2881" s="155">
        <v>44801</v>
      </c>
      <c r="F2881" s="178">
        <v>1710</v>
      </c>
      <c r="G2881" s="179">
        <f>Tabla19[[#This Row],[Importe]]-Tabla19[[#This Row],[Pagado]]</f>
        <v>0</v>
      </c>
      <c r="H2881" s="153" t="s">
        <v>10</v>
      </c>
    </row>
    <row r="2882" spans="1:8" x14ac:dyDescent="0.25">
      <c r="A2882" s="73">
        <v>44801</v>
      </c>
      <c r="B2882" s="74" t="s">
        <v>27647</v>
      </c>
      <c r="C2882" s="75" t="s">
        <v>421</v>
      </c>
      <c r="D2882" s="176">
        <v>3524.8</v>
      </c>
      <c r="E2882" s="151">
        <v>44801</v>
      </c>
      <c r="F2882" s="176">
        <v>3524.8</v>
      </c>
      <c r="G2882" s="177">
        <f>Tabla19[[#This Row],[Importe]]-Tabla19[[#This Row],[Pagado]]</f>
        <v>0</v>
      </c>
      <c r="H2882" s="75" t="s">
        <v>10</v>
      </c>
    </row>
    <row r="2883" spans="1:8" x14ac:dyDescent="0.25">
      <c r="A2883" s="148">
        <v>44801</v>
      </c>
      <c r="B2883" s="149" t="s">
        <v>27648</v>
      </c>
      <c r="C2883" s="153" t="s">
        <v>296</v>
      </c>
      <c r="D2883" s="178">
        <v>4230</v>
      </c>
      <c r="E2883" s="155">
        <v>44801</v>
      </c>
      <c r="F2883" s="178">
        <v>4230</v>
      </c>
      <c r="G2883" s="179">
        <f>Tabla19[[#This Row],[Importe]]-Tabla19[[#This Row],[Pagado]]</f>
        <v>0</v>
      </c>
      <c r="H2883" s="153" t="s">
        <v>10</v>
      </c>
    </row>
    <row r="2884" spans="1:8" x14ac:dyDescent="0.25">
      <c r="A2884" s="73">
        <v>44801</v>
      </c>
      <c r="B2884" s="74" t="s">
        <v>27649</v>
      </c>
      <c r="C2884" s="75" t="s">
        <v>69</v>
      </c>
      <c r="D2884" s="176">
        <v>1848</v>
      </c>
      <c r="E2884" s="151">
        <v>44801</v>
      </c>
      <c r="F2884" s="176">
        <v>1848</v>
      </c>
      <c r="G2884" s="177">
        <f>Tabla19[[#This Row],[Importe]]-Tabla19[[#This Row],[Pagado]]</f>
        <v>0</v>
      </c>
      <c r="H2884" s="75" t="s">
        <v>10</v>
      </c>
    </row>
    <row r="2885" spans="1:8" x14ac:dyDescent="0.25">
      <c r="A2885" s="148">
        <v>44801</v>
      </c>
      <c r="B2885" s="149" t="s">
        <v>27650</v>
      </c>
      <c r="C2885" s="153" t="s">
        <v>71</v>
      </c>
      <c r="D2885" s="178">
        <v>2041.2</v>
      </c>
      <c r="E2885" s="155">
        <v>44801</v>
      </c>
      <c r="F2885" s="178">
        <v>2041.2</v>
      </c>
      <c r="G2885" s="179">
        <f>Tabla19[[#This Row],[Importe]]-Tabla19[[#This Row],[Pagado]]</f>
        <v>0</v>
      </c>
      <c r="H2885" s="153" t="s">
        <v>10</v>
      </c>
    </row>
    <row r="2886" spans="1:8" x14ac:dyDescent="0.25">
      <c r="A2886" s="73">
        <v>44801</v>
      </c>
      <c r="B2886" s="74" t="s">
        <v>27651</v>
      </c>
      <c r="C2886" s="75" t="s">
        <v>31</v>
      </c>
      <c r="D2886" s="176">
        <v>3848</v>
      </c>
      <c r="E2886" s="151">
        <v>44801</v>
      </c>
      <c r="F2886" s="176">
        <v>3848</v>
      </c>
      <c r="G2886" s="177">
        <f>Tabla19[[#This Row],[Importe]]-Tabla19[[#This Row],[Pagado]]</f>
        <v>0</v>
      </c>
      <c r="H2886" s="75" t="s">
        <v>10</v>
      </c>
    </row>
    <row r="2887" spans="1:8" x14ac:dyDescent="0.25">
      <c r="A2887" s="148">
        <v>44801</v>
      </c>
      <c r="B2887" s="149" t="s">
        <v>27652</v>
      </c>
      <c r="C2887" s="153" t="s">
        <v>2139</v>
      </c>
      <c r="D2887" s="178">
        <v>2859.7</v>
      </c>
      <c r="E2887" s="155">
        <v>44801</v>
      </c>
      <c r="F2887" s="178">
        <v>2859.7</v>
      </c>
      <c r="G2887" s="179">
        <f>Tabla19[[#This Row],[Importe]]-Tabla19[[#This Row],[Pagado]]</f>
        <v>0</v>
      </c>
      <c r="H2887" s="153" t="s">
        <v>10</v>
      </c>
    </row>
    <row r="2888" spans="1:8" x14ac:dyDescent="0.25">
      <c r="A2888" s="73">
        <v>44801</v>
      </c>
      <c r="B2888" s="74" t="s">
        <v>27653</v>
      </c>
      <c r="C2888" s="75" t="s">
        <v>22</v>
      </c>
      <c r="D2888" s="176">
        <v>2716.2</v>
      </c>
      <c r="E2888" s="151">
        <v>44801</v>
      </c>
      <c r="F2888" s="176">
        <v>2716.2</v>
      </c>
      <c r="G2888" s="177">
        <f>Tabla19[[#This Row],[Importe]]-Tabla19[[#This Row],[Pagado]]</f>
        <v>0</v>
      </c>
      <c r="H2888" s="75" t="s">
        <v>10</v>
      </c>
    </row>
    <row r="2889" spans="1:8" x14ac:dyDescent="0.25">
      <c r="A2889" s="148">
        <v>44801</v>
      </c>
      <c r="B2889" s="149" t="s">
        <v>27654</v>
      </c>
      <c r="C2889" s="153" t="s">
        <v>75</v>
      </c>
      <c r="D2889" s="178">
        <v>13038.8</v>
      </c>
      <c r="E2889" s="155">
        <v>44801</v>
      </c>
      <c r="F2889" s="178">
        <v>13038.8</v>
      </c>
      <c r="G2889" s="179">
        <f>Tabla19[[#This Row],[Importe]]-Tabla19[[#This Row],[Pagado]]</f>
        <v>0</v>
      </c>
      <c r="H2889" s="153" t="s">
        <v>10</v>
      </c>
    </row>
    <row r="2890" spans="1:8" x14ac:dyDescent="0.25">
      <c r="A2890" s="73">
        <v>44801</v>
      </c>
      <c r="B2890" s="74" t="s">
        <v>27655</v>
      </c>
      <c r="C2890" s="75" t="s">
        <v>67</v>
      </c>
      <c r="D2890" s="176">
        <v>1576</v>
      </c>
      <c r="E2890" s="151">
        <v>44801</v>
      </c>
      <c r="F2890" s="176">
        <v>1576</v>
      </c>
      <c r="G2890" s="177">
        <f>Tabla19[[#This Row],[Importe]]-Tabla19[[#This Row],[Pagado]]</f>
        <v>0</v>
      </c>
      <c r="H2890" s="75" t="s">
        <v>10</v>
      </c>
    </row>
    <row r="2891" spans="1:8" x14ac:dyDescent="0.25">
      <c r="A2891" s="148">
        <v>44801</v>
      </c>
      <c r="B2891" s="149" t="s">
        <v>27656</v>
      </c>
      <c r="C2891" s="153" t="s">
        <v>27466</v>
      </c>
      <c r="D2891" s="178">
        <v>40000</v>
      </c>
      <c r="E2891" s="155">
        <v>44801</v>
      </c>
      <c r="F2891" s="178">
        <v>40000</v>
      </c>
      <c r="G2891" s="179">
        <f>Tabla19[[#This Row],[Importe]]-Tabla19[[#This Row],[Pagado]]</f>
        <v>0</v>
      </c>
      <c r="H2891" s="153" t="s">
        <v>10</v>
      </c>
    </row>
    <row r="2892" spans="1:8" x14ac:dyDescent="0.25">
      <c r="A2892" s="73">
        <v>44801</v>
      </c>
      <c r="B2892" s="74" t="s">
        <v>27657</v>
      </c>
      <c r="C2892" s="75" t="s">
        <v>296</v>
      </c>
      <c r="D2892" s="176">
        <v>4236.6000000000004</v>
      </c>
      <c r="E2892" s="151">
        <v>44801</v>
      </c>
      <c r="F2892" s="176">
        <v>4236.6000000000004</v>
      </c>
      <c r="G2892" s="177">
        <f>Tabla19[[#This Row],[Importe]]-Tabla19[[#This Row],[Pagado]]</f>
        <v>0</v>
      </c>
      <c r="H2892" s="75" t="s">
        <v>10</v>
      </c>
    </row>
    <row r="2893" spans="1:8" x14ac:dyDescent="0.25">
      <c r="A2893" s="148">
        <v>44802</v>
      </c>
      <c r="B2893" s="149" t="s">
        <v>27658</v>
      </c>
      <c r="C2893" s="153" t="s">
        <v>475</v>
      </c>
      <c r="D2893" s="178">
        <v>12000</v>
      </c>
      <c r="E2893" s="155">
        <v>44802</v>
      </c>
      <c r="F2893" s="178">
        <v>12000</v>
      </c>
      <c r="G2893" s="179">
        <f>Tabla19[[#This Row],[Importe]]-Tabla19[[#This Row],[Pagado]]</f>
        <v>0</v>
      </c>
      <c r="H2893" s="153" t="s">
        <v>10</v>
      </c>
    </row>
    <row r="2894" spans="1:8" x14ac:dyDescent="0.25">
      <c r="A2894" s="73">
        <v>44802</v>
      </c>
      <c r="B2894" s="74" t="s">
        <v>27659</v>
      </c>
      <c r="C2894" s="75" t="s">
        <v>463</v>
      </c>
      <c r="D2894" s="176">
        <v>550</v>
      </c>
      <c r="E2894" s="151">
        <v>44804</v>
      </c>
      <c r="F2894" s="176">
        <v>550</v>
      </c>
      <c r="G2894" s="177">
        <f>Tabla19[[#This Row],[Importe]]-Tabla19[[#This Row],[Pagado]]</f>
        <v>0</v>
      </c>
      <c r="H2894" s="75" t="s">
        <v>10</v>
      </c>
    </row>
    <row r="2895" spans="1:8" x14ac:dyDescent="0.25">
      <c r="A2895" s="148">
        <v>44802</v>
      </c>
      <c r="B2895" s="149" t="s">
        <v>27660</v>
      </c>
      <c r="C2895" s="153" t="s">
        <v>475</v>
      </c>
      <c r="D2895" s="178">
        <v>76193.7</v>
      </c>
      <c r="E2895" s="155">
        <v>44804</v>
      </c>
      <c r="F2895" s="178">
        <v>76193.7</v>
      </c>
      <c r="G2895" s="179">
        <f>Tabla19[[#This Row],[Importe]]-Tabla19[[#This Row],[Pagado]]</f>
        <v>0</v>
      </c>
      <c r="H2895" s="153" t="s">
        <v>10</v>
      </c>
    </row>
    <row r="2896" spans="1:8" x14ac:dyDescent="0.25">
      <c r="A2896" s="73">
        <v>44802</v>
      </c>
      <c r="B2896" s="74" t="s">
        <v>27661</v>
      </c>
      <c r="C2896" s="75" t="s">
        <v>111</v>
      </c>
      <c r="D2896" s="176">
        <v>5619.6</v>
      </c>
      <c r="E2896" s="151">
        <v>44803</v>
      </c>
      <c r="F2896" s="176">
        <v>5619.6</v>
      </c>
      <c r="G2896" s="177">
        <f>Tabla19[[#This Row],[Importe]]-Tabla19[[#This Row],[Pagado]]</f>
        <v>0</v>
      </c>
      <c r="H2896" s="75" t="s">
        <v>10</v>
      </c>
    </row>
    <row r="2897" spans="1:8" x14ac:dyDescent="0.25">
      <c r="A2897" s="148">
        <v>44802</v>
      </c>
      <c r="B2897" s="149" t="s">
        <v>27662</v>
      </c>
      <c r="C2897" s="153" t="s">
        <v>2563</v>
      </c>
      <c r="D2897" s="178">
        <v>5011.5</v>
      </c>
      <c r="E2897" s="155">
        <v>44803</v>
      </c>
      <c r="F2897" s="178">
        <v>5011.5</v>
      </c>
      <c r="G2897" s="179">
        <f>Tabla19[[#This Row],[Importe]]-Tabla19[[#This Row],[Pagado]]</f>
        <v>0</v>
      </c>
      <c r="H2897" s="153" t="s">
        <v>10</v>
      </c>
    </row>
    <row r="2898" spans="1:8" x14ac:dyDescent="0.25">
      <c r="A2898" s="73">
        <v>44802</v>
      </c>
      <c r="B2898" s="74" t="s">
        <v>27663</v>
      </c>
      <c r="C2898" s="75" t="s">
        <v>60</v>
      </c>
      <c r="D2898" s="176">
        <v>5115.5</v>
      </c>
      <c r="E2898" s="151">
        <v>44804</v>
      </c>
      <c r="F2898" s="176">
        <v>5115.5</v>
      </c>
      <c r="G2898" s="177">
        <f>Tabla19[[#This Row],[Importe]]-Tabla19[[#This Row],[Pagado]]</f>
        <v>0</v>
      </c>
      <c r="H2898" s="75" t="s">
        <v>10</v>
      </c>
    </row>
    <row r="2899" spans="1:8" x14ac:dyDescent="0.25">
      <c r="A2899" s="148">
        <v>44802</v>
      </c>
      <c r="B2899" s="149" t="s">
        <v>27664</v>
      </c>
      <c r="C2899" s="153" t="s">
        <v>1187</v>
      </c>
      <c r="D2899" s="178">
        <v>3048.5</v>
      </c>
      <c r="E2899" s="155">
        <v>44802</v>
      </c>
      <c r="F2899" s="178">
        <v>3048.5</v>
      </c>
      <c r="G2899" s="179">
        <f>Tabla19[[#This Row],[Importe]]-Tabla19[[#This Row],[Pagado]]</f>
        <v>0</v>
      </c>
      <c r="H2899" s="153" t="s">
        <v>10</v>
      </c>
    </row>
    <row r="2900" spans="1:8" x14ac:dyDescent="0.25">
      <c r="A2900" s="73">
        <v>44802</v>
      </c>
      <c r="B2900" s="74" t="s">
        <v>27665</v>
      </c>
      <c r="C2900" s="75" t="s">
        <v>89</v>
      </c>
      <c r="D2900" s="176">
        <v>3920.4</v>
      </c>
      <c r="E2900" s="151">
        <v>44803</v>
      </c>
      <c r="F2900" s="176">
        <v>3920.4</v>
      </c>
      <c r="G2900" s="177">
        <f>Tabla19[[#This Row],[Importe]]-Tabla19[[#This Row],[Pagado]]</f>
        <v>0</v>
      </c>
      <c r="H2900" s="75" t="s">
        <v>10</v>
      </c>
    </row>
    <row r="2901" spans="1:8" x14ac:dyDescent="0.25">
      <c r="A2901" s="148">
        <v>44802</v>
      </c>
      <c r="B2901" s="149" t="s">
        <v>27666</v>
      </c>
      <c r="C2901" s="153" t="s">
        <v>49</v>
      </c>
      <c r="D2901" s="178">
        <v>7113</v>
      </c>
      <c r="E2901" s="155">
        <v>44802</v>
      </c>
      <c r="F2901" s="178">
        <v>7113</v>
      </c>
      <c r="G2901" s="179">
        <f>Tabla19[[#This Row],[Importe]]-Tabla19[[#This Row],[Pagado]]</f>
        <v>0</v>
      </c>
      <c r="H2901" s="153" t="s">
        <v>10</v>
      </c>
    </row>
    <row r="2902" spans="1:8" x14ac:dyDescent="0.25">
      <c r="A2902" s="73">
        <v>44802</v>
      </c>
      <c r="B2902" s="74" t="s">
        <v>27667</v>
      </c>
      <c r="C2902" s="75" t="s">
        <v>2151</v>
      </c>
      <c r="D2902" s="176">
        <v>20745.099999999999</v>
      </c>
      <c r="E2902" s="151">
        <v>44802</v>
      </c>
      <c r="F2902" s="176">
        <v>20745.099999999999</v>
      </c>
      <c r="G2902" s="177">
        <f>Tabla19[[#This Row],[Importe]]-Tabla19[[#This Row],[Pagado]]</f>
        <v>0</v>
      </c>
      <c r="H2902" s="75" t="s">
        <v>10</v>
      </c>
    </row>
    <row r="2903" spans="1:8" x14ac:dyDescent="0.25">
      <c r="A2903" s="148">
        <v>44802</v>
      </c>
      <c r="B2903" s="149" t="s">
        <v>27668</v>
      </c>
      <c r="C2903" s="153" t="s">
        <v>326</v>
      </c>
      <c r="D2903" s="178">
        <v>676.4</v>
      </c>
      <c r="E2903" s="155">
        <v>44803</v>
      </c>
      <c r="F2903" s="178">
        <v>676.4</v>
      </c>
      <c r="G2903" s="179">
        <f>Tabla19[[#This Row],[Importe]]-Tabla19[[#This Row],[Pagado]]</f>
        <v>0</v>
      </c>
      <c r="H2903" s="153" t="s">
        <v>10</v>
      </c>
    </row>
    <row r="2904" spans="1:8" ht="31.5" x14ac:dyDescent="0.25">
      <c r="A2904" s="73">
        <v>44802</v>
      </c>
      <c r="B2904" s="74" t="s">
        <v>27669</v>
      </c>
      <c r="C2904" s="75" t="s">
        <v>93</v>
      </c>
      <c r="D2904" s="176">
        <v>6945.3</v>
      </c>
      <c r="E2904" s="147" t="s">
        <v>27997</v>
      </c>
      <c r="F2904" s="176">
        <f>5000+1945.3</f>
        <v>6945.3</v>
      </c>
      <c r="G2904" s="177">
        <f>Tabla19[[#This Row],[Importe]]-Tabla19[[#This Row],[Pagado]]</f>
        <v>0</v>
      </c>
      <c r="H2904" s="75" t="s">
        <v>10</v>
      </c>
    </row>
    <row r="2905" spans="1:8" x14ac:dyDescent="0.25">
      <c r="A2905" s="148">
        <v>44802</v>
      </c>
      <c r="B2905" s="149" t="s">
        <v>27670</v>
      </c>
      <c r="C2905" s="153" t="s">
        <v>64</v>
      </c>
      <c r="D2905" s="178">
        <v>5687.5</v>
      </c>
      <c r="E2905" s="155">
        <v>44803</v>
      </c>
      <c r="F2905" s="178">
        <v>5687.5</v>
      </c>
      <c r="G2905" s="179">
        <f>Tabla19[[#This Row],[Importe]]-Tabla19[[#This Row],[Pagado]]</f>
        <v>0</v>
      </c>
      <c r="H2905" s="153" t="s">
        <v>10</v>
      </c>
    </row>
    <row r="2906" spans="1:8" x14ac:dyDescent="0.25">
      <c r="A2906" s="73">
        <v>44802</v>
      </c>
      <c r="B2906" s="74" t="s">
        <v>27671</v>
      </c>
      <c r="C2906" s="75" t="s">
        <v>114</v>
      </c>
      <c r="D2906" s="176">
        <v>10804.4</v>
      </c>
      <c r="E2906" s="151">
        <v>44803</v>
      </c>
      <c r="F2906" s="176">
        <v>10804.4</v>
      </c>
      <c r="G2906" s="177">
        <f>Tabla19[[#This Row],[Importe]]-Tabla19[[#This Row],[Pagado]]</f>
        <v>0</v>
      </c>
      <c r="H2906" s="75" t="s">
        <v>10</v>
      </c>
    </row>
    <row r="2907" spans="1:8" x14ac:dyDescent="0.25">
      <c r="A2907" s="148">
        <v>44802</v>
      </c>
      <c r="B2907" s="149" t="s">
        <v>27672</v>
      </c>
      <c r="C2907" s="153" t="s">
        <v>7771</v>
      </c>
      <c r="D2907" s="178">
        <v>0</v>
      </c>
      <c r="E2907" s="158" t="s">
        <v>189</v>
      </c>
      <c r="F2907" s="178">
        <v>0</v>
      </c>
      <c r="G2907" s="179">
        <f>Tabla19[[#This Row],[Importe]]-Tabla19[[#This Row],[Pagado]]</f>
        <v>0</v>
      </c>
      <c r="H2907" s="153" t="s">
        <v>189</v>
      </c>
    </row>
    <row r="2908" spans="1:8" x14ac:dyDescent="0.25">
      <c r="A2908" s="73">
        <v>44802</v>
      </c>
      <c r="B2908" s="74" t="s">
        <v>27673</v>
      </c>
      <c r="C2908" s="75" t="s">
        <v>473</v>
      </c>
      <c r="D2908" s="176">
        <v>2181.6</v>
      </c>
      <c r="E2908" s="151">
        <v>44802</v>
      </c>
      <c r="F2908" s="176">
        <v>2181.6</v>
      </c>
      <c r="G2908" s="177">
        <f>Tabla19[[#This Row],[Importe]]-Tabla19[[#This Row],[Pagado]]</f>
        <v>0</v>
      </c>
      <c r="H2908" s="75" t="s">
        <v>10</v>
      </c>
    </row>
    <row r="2909" spans="1:8" x14ac:dyDescent="0.25">
      <c r="A2909" s="148">
        <v>44802</v>
      </c>
      <c r="B2909" s="149" t="s">
        <v>27674</v>
      </c>
      <c r="C2909" s="153" t="s">
        <v>75</v>
      </c>
      <c r="D2909" s="178">
        <v>6763.6</v>
      </c>
      <c r="E2909" s="155">
        <v>44802</v>
      </c>
      <c r="F2909" s="178">
        <v>6763.6</v>
      </c>
      <c r="G2909" s="179">
        <f>Tabla19[[#This Row],[Importe]]-Tabla19[[#This Row],[Pagado]]</f>
        <v>0</v>
      </c>
      <c r="H2909" s="153" t="s">
        <v>10</v>
      </c>
    </row>
    <row r="2910" spans="1:8" x14ac:dyDescent="0.25">
      <c r="A2910" s="73">
        <v>44802</v>
      </c>
      <c r="B2910" s="74" t="s">
        <v>27675</v>
      </c>
      <c r="C2910" s="75" t="s">
        <v>105</v>
      </c>
      <c r="D2910" s="176">
        <v>8378.1</v>
      </c>
      <c r="E2910" s="151">
        <v>44803</v>
      </c>
      <c r="F2910" s="176">
        <v>8378.1</v>
      </c>
      <c r="G2910" s="177">
        <f>Tabla19[[#This Row],[Importe]]-Tabla19[[#This Row],[Pagado]]</f>
        <v>0</v>
      </c>
      <c r="H2910" s="75" t="s">
        <v>10</v>
      </c>
    </row>
    <row r="2911" spans="1:8" ht="31.5" x14ac:dyDescent="0.25">
      <c r="A2911" s="148">
        <v>44802</v>
      </c>
      <c r="B2911" s="149" t="s">
        <v>27676</v>
      </c>
      <c r="C2911" s="153" t="s">
        <v>1650</v>
      </c>
      <c r="D2911" s="178">
        <v>7158.8</v>
      </c>
      <c r="E2911" s="150" t="s">
        <v>27999</v>
      </c>
      <c r="F2911" s="178">
        <f>2000+5158.8</f>
        <v>7158.8</v>
      </c>
      <c r="G2911" s="179">
        <f>Tabla19[[#This Row],[Importe]]-Tabla19[[#This Row],[Pagado]]</f>
        <v>0</v>
      </c>
      <c r="H2911" s="153" t="s">
        <v>10</v>
      </c>
    </row>
    <row r="2912" spans="1:8" x14ac:dyDescent="0.25">
      <c r="A2912" s="73">
        <v>44802</v>
      </c>
      <c r="B2912" s="74" t="s">
        <v>27677</v>
      </c>
      <c r="C2912" s="75" t="s">
        <v>353</v>
      </c>
      <c r="D2912" s="176">
        <v>1830</v>
      </c>
      <c r="E2912" s="151">
        <v>44802</v>
      </c>
      <c r="F2912" s="176">
        <v>1830</v>
      </c>
      <c r="G2912" s="177">
        <f>Tabla19[[#This Row],[Importe]]-Tabla19[[#This Row],[Pagado]]</f>
        <v>0</v>
      </c>
      <c r="H2912" s="75" t="s">
        <v>10</v>
      </c>
    </row>
    <row r="2913" spans="1:8" x14ac:dyDescent="0.25">
      <c r="A2913" s="148">
        <v>44802</v>
      </c>
      <c r="B2913" s="149" t="s">
        <v>27678</v>
      </c>
      <c r="C2913" s="153" t="s">
        <v>481</v>
      </c>
      <c r="D2913" s="178">
        <v>322</v>
      </c>
      <c r="E2913" s="155">
        <v>44802</v>
      </c>
      <c r="F2913" s="178">
        <v>322</v>
      </c>
      <c r="G2913" s="179">
        <f>Tabla19[[#This Row],[Importe]]-Tabla19[[#This Row],[Pagado]]</f>
        <v>0</v>
      </c>
      <c r="H2913" s="153" t="s">
        <v>10</v>
      </c>
    </row>
    <row r="2914" spans="1:8" x14ac:dyDescent="0.25">
      <c r="A2914" s="73">
        <v>44802</v>
      </c>
      <c r="B2914" s="74" t="s">
        <v>27679</v>
      </c>
      <c r="C2914" s="75" t="s">
        <v>9</v>
      </c>
      <c r="D2914" s="176">
        <v>8202.9</v>
      </c>
      <c r="E2914" s="151">
        <v>44802</v>
      </c>
      <c r="F2914" s="176">
        <v>8202.9</v>
      </c>
      <c r="G2914" s="177">
        <f>Tabla19[[#This Row],[Importe]]-Tabla19[[#This Row],[Pagado]]</f>
        <v>0</v>
      </c>
      <c r="H2914" s="75" t="s">
        <v>10</v>
      </c>
    </row>
    <row r="2915" spans="1:8" x14ac:dyDescent="0.25">
      <c r="A2915" s="148">
        <v>44802</v>
      </c>
      <c r="B2915" s="149" t="s">
        <v>27680</v>
      </c>
      <c r="C2915" s="153" t="s">
        <v>17556</v>
      </c>
      <c r="D2915" s="178">
        <v>3927.4</v>
      </c>
      <c r="E2915" s="155">
        <v>44802</v>
      </c>
      <c r="F2915" s="178">
        <v>3927.4</v>
      </c>
      <c r="G2915" s="179">
        <f>Tabla19[[#This Row],[Importe]]-Tabla19[[#This Row],[Pagado]]</f>
        <v>0</v>
      </c>
      <c r="H2915" s="153" t="s">
        <v>10</v>
      </c>
    </row>
    <row r="2916" spans="1:8" x14ac:dyDescent="0.25">
      <c r="A2916" s="73">
        <v>44802</v>
      </c>
      <c r="B2916" s="74" t="s">
        <v>27681</v>
      </c>
      <c r="C2916" s="75" t="s">
        <v>53</v>
      </c>
      <c r="D2916" s="176">
        <v>1650</v>
      </c>
      <c r="E2916" s="151">
        <v>44802</v>
      </c>
      <c r="F2916" s="176">
        <v>1650</v>
      </c>
      <c r="G2916" s="177">
        <f>Tabla19[[#This Row],[Importe]]-Tabla19[[#This Row],[Pagado]]</f>
        <v>0</v>
      </c>
      <c r="H2916" s="75" t="s">
        <v>10</v>
      </c>
    </row>
    <row r="2917" spans="1:8" x14ac:dyDescent="0.25">
      <c r="A2917" s="148">
        <v>44802</v>
      </c>
      <c r="B2917" s="149" t="s">
        <v>27682</v>
      </c>
      <c r="C2917" s="153" t="s">
        <v>312</v>
      </c>
      <c r="D2917" s="178">
        <v>5238</v>
      </c>
      <c r="E2917" s="155">
        <v>44802</v>
      </c>
      <c r="F2917" s="178">
        <v>5238</v>
      </c>
      <c r="G2917" s="179">
        <f>Tabla19[[#This Row],[Importe]]-Tabla19[[#This Row],[Pagado]]</f>
        <v>0</v>
      </c>
      <c r="H2917" s="153" t="s">
        <v>10</v>
      </c>
    </row>
    <row r="2918" spans="1:8" x14ac:dyDescent="0.25">
      <c r="A2918" s="73">
        <v>44802</v>
      </c>
      <c r="B2918" s="74" t="s">
        <v>27683</v>
      </c>
      <c r="C2918" s="75" t="s">
        <v>71</v>
      </c>
      <c r="D2918" s="176">
        <v>9196</v>
      </c>
      <c r="E2918" s="151">
        <v>44802</v>
      </c>
      <c r="F2918" s="176">
        <v>9196</v>
      </c>
      <c r="G2918" s="177">
        <f>Tabla19[[#This Row],[Importe]]-Tabla19[[#This Row],[Pagado]]</f>
        <v>0</v>
      </c>
      <c r="H2918" s="75" t="s">
        <v>10</v>
      </c>
    </row>
    <row r="2919" spans="1:8" x14ac:dyDescent="0.25">
      <c r="A2919" s="148">
        <v>44802</v>
      </c>
      <c r="B2919" s="149" t="s">
        <v>27684</v>
      </c>
      <c r="C2919" s="153" t="s">
        <v>27</v>
      </c>
      <c r="D2919" s="178">
        <v>5556.2</v>
      </c>
      <c r="E2919" s="155">
        <v>44802</v>
      </c>
      <c r="F2919" s="178">
        <v>5556.2</v>
      </c>
      <c r="G2919" s="179">
        <f>Tabla19[[#This Row],[Importe]]-Tabla19[[#This Row],[Pagado]]</f>
        <v>0</v>
      </c>
      <c r="H2919" s="153" t="s">
        <v>10</v>
      </c>
    </row>
    <row r="2920" spans="1:8" x14ac:dyDescent="0.25">
      <c r="A2920" s="73">
        <v>44802</v>
      </c>
      <c r="B2920" s="74" t="s">
        <v>27685</v>
      </c>
      <c r="C2920" s="75" t="s">
        <v>216</v>
      </c>
      <c r="D2920" s="176">
        <v>2257</v>
      </c>
      <c r="E2920" s="151">
        <v>44802</v>
      </c>
      <c r="F2920" s="176">
        <v>2257</v>
      </c>
      <c r="G2920" s="177">
        <f>Tabla19[[#This Row],[Importe]]-Tabla19[[#This Row],[Pagado]]</f>
        <v>0</v>
      </c>
      <c r="H2920" s="75" t="s">
        <v>10</v>
      </c>
    </row>
    <row r="2921" spans="1:8" x14ac:dyDescent="0.25">
      <c r="A2921" s="148">
        <v>44802</v>
      </c>
      <c r="B2921" s="149" t="s">
        <v>27686</v>
      </c>
      <c r="C2921" s="153" t="s">
        <v>16</v>
      </c>
      <c r="D2921" s="178">
        <v>6107.7</v>
      </c>
      <c r="E2921" s="155">
        <v>44802</v>
      </c>
      <c r="F2921" s="178">
        <v>6107.7</v>
      </c>
      <c r="G2921" s="179">
        <f>Tabla19[[#This Row],[Importe]]-Tabla19[[#This Row],[Pagado]]</f>
        <v>0</v>
      </c>
      <c r="H2921" s="153" t="s">
        <v>10</v>
      </c>
    </row>
    <row r="2922" spans="1:8" x14ac:dyDescent="0.25">
      <c r="A2922" s="73">
        <v>44802</v>
      </c>
      <c r="B2922" s="74" t="s">
        <v>27687</v>
      </c>
      <c r="C2922" s="75" t="s">
        <v>56</v>
      </c>
      <c r="D2922" s="176">
        <v>8606.2000000000007</v>
      </c>
      <c r="E2922" s="151">
        <v>44802</v>
      </c>
      <c r="F2922" s="176">
        <v>8606.2000000000007</v>
      </c>
      <c r="G2922" s="177">
        <f>Tabla19[[#This Row],[Importe]]-Tabla19[[#This Row],[Pagado]]</f>
        <v>0</v>
      </c>
      <c r="H2922" s="75" t="s">
        <v>10</v>
      </c>
    </row>
    <row r="2923" spans="1:8" x14ac:dyDescent="0.25">
      <c r="A2923" s="148">
        <v>44802</v>
      </c>
      <c r="B2923" s="149" t="s">
        <v>27688</v>
      </c>
      <c r="C2923" s="153" t="s">
        <v>31</v>
      </c>
      <c r="D2923" s="178">
        <v>3142.5</v>
      </c>
      <c r="E2923" s="155">
        <v>44802</v>
      </c>
      <c r="F2923" s="178">
        <v>3142.5</v>
      </c>
      <c r="G2923" s="179">
        <f>Tabla19[[#This Row],[Importe]]-Tabla19[[#This Row],[Pagado]]</f>
        <v>0</v>
      </c>
      <c r="H2923" s="153" t="s">
        <v>10</v>
      </c>
    </row>
    <row r="2924" spans="1:8" x14ac:dyDescent="0.25">
      <c r="A2924" s="73">
        <v>44802</v>
      </c>
      <c r="B2924" s="74" t="s">
        <v>27689</v>
      </c>
      <c r="C2924" s="75" t="s">
        <v>212</v>
      </c>
      <c r="D2924" s="176">
        <v>19272.400000000001</v>
      </c>
      <c r="E2924" s="151">
        <v>44805</v>
      </c>
      <c r="F2924" s="176">
        <v>19272.400000000001</v>
      </c>
      <c r="G2924" s="177">
        <f>Tabla19[[#This Row],[Importe]]-Tabla19[[#This Row],[Pagado]]</f>
        <v>0</v>
      </c>
      <c r="H2924" s="75" t="s">
        <v>10</v>
      </c>
    </row>
    <row r="2925" spans="1:8" x14ac:dyDescent="0.25">
      <c r="A2925" s="148">
        <v>44802</v>
      </c>
      <c r="B2925" s="149" t="s">
        <v>27690</v>
      </c>
      <c r="C2925" s="153" t="s">
        <v>206</v>
      </c>
      <c r="D2925" s="178">
        <v>20811.3</v>
      </c>
      <c r="E2925" s="155">
        <v>44805</v>
      </c>
      <c r="F2925" s="178">
        <v>20811.3</v>
      </c>
      <c r="G2925" s="179">
        <f>Tabla19[[#This Row],[Importe]]-Tabla19[[#This Row],[Pagado]]</f>
        <v>0</v>
      </c>
      <c r="H2925" s="153" t="s">
        <v>10</v>
      </c>
    </row>
    <row r="2926" spans="1:8" x14ac:dyDescent="0.25">
      <c r="A2926" s="73">
        <v>44802</v>
      </c>
      <c r="B2926" s="74" t="s">
        <v>27691</v>
      </c>
      <c r="C2926" s="75" t="s">
        <v>218</v>
      </c>
      <c r="D2926" s="176">
        <v>15335.7</v>
      </c>
      <c r="E2926" s="151">
        <v>44805</v>
      </c>
      <c r="F2926" s="176">
        <v>15335.7</v>
      </c>
      <c r="G2926" s="177">
        <f>Tabla19[[#This Row],[Importe]]-Tabla19[[#This Row],[Pagado]]</f>
        <v>0</v>
      </c>
      <c r="H2926" s="75" t="s">
        <v>10</v>
      </c>
    </row>
    <row r="2927" spans="1:8" x14ac:dyDescent="0.25">
      <c r="A2927" s="148">
        <v>44802</v>
      </c>
      <c r="B2927" s="149" t="s">
        <v>27692</v>
      </c>
      <c r="C2927" s="153" t="s">
        <v>365</v>
      </c>
      <c r="D2927" s="178">
        <v>907.8</v>
      </c>
      <c r="E2927" s="155">
        <v>44802</v>
      </c>
      <c r="F2927" s="178">
        <v>907.8</v>
      </c>
      <c r="G2927" s="179">
        <f>Tabla19[[#This Row],[Importe]]-Tabla19[[#This Row],[Pagado]]</f>
        <v>0</v>
      </c>
      <c r="H2927" s="153" t="s">
        <v>10</v>
      </c>
    </row>
    <row r="2928" spans="1:8" ht="31.5" x14ac:dyDescent="0.25">
      <c r="A2928" s="73">
        <v>44802</v>
      </c>
      <c r="B2928" s="74" t="s">
        <v>27693</v>
      </c>
      <c r="C2928" s="75" t="s">
        <v>154</v>
      </c>
      <c r="D2928" s="176">
        <v>28547.4</v>
      </c>
      <c r="E2928" s="147" t="s">
        <v>28006</v>
      </c>
      <c r="F2928" s="176">
        <f>28474.4+73</f>
        <v>28547.4</v>
      </c>
      <c r="G2928" s="177">
        <f>Tabla19[[#This Row],[Importe]]-Tabla19[[#This Row],[Pagado]]</f>
        <v>0</v>
      </c>
      <c r="H2928" s="75" t="s">
        <v>4814</v>
      </c>
    </row>
    <row r="2929" spans="1:8" x14ac:dyDescent="0.25">
      <c r="A2929" s="148">
        <v>44802</v>
      </c>
      <c r="B2929" s="149" t="s">
        <v>27694</v>
      </c>
      <c r="C2929" s="153" t="s">
        <v>144</v>
      </c>
      <c r="D2929" s="178">
        <v>3733.2</v>
      </c>
      <c r="E2929" s="155">
        <v>44803</v>
      </c>
      <c r="F2929" s="178">
        <v>3733.2</v>
      </c>
      <c r="G2929" s="179">
        <f>Tabla19[[#This Row],[Importe]]-Tabla19[[#This Row],[Pagado]]</f>
        <v>0</v>
      </c>
      <c r="H2929" s="153" t="s">
        <v>10</v>
      </c>
    </row>
    <row r="2930" spans="1:8" x14ac:dyDescent="0.25">
      <c r="A2930" s="73">
        <v>44802</v>
      </c>
      <c r="B2930" s="74" t="s">
        <v>27695</v>
      </c>
      <c r="C2930" s="75" t="s">
        <v>261</v>
      </c>
      <c r="D2930" s="176">
        <v>51151.6</v>
      </c>
      <c r="E2930" s="151">
        <v>44802</v>
      </c>
      <c r="F2930" s="176">
        <v>51151.6</v>
      </c>
      <c r="G2930" s="177">
        <f>Tabla19[[#This Row],[Importe]]-Tabla19[[#This Row],[Pagado]]</f>
        <v>0</v>
      </c>
      <c r="H2930" s="75" t="s">
        <v>10</v>
      </c>
    </row>
    <row r="2931" spans="1:8" x14ac:dyDescent="0.25">
      <c r="A2931" s="148">
        <v>44802</v>
      </c>
      <c r="B2931" s="149" t="s">
        <v>27696</v>
      </c>
      <c r="C2931" s="153" t="s">
        <v>133</v>
      </c>
      <c r="D2931" s="178">
        <v>15014.6</v>
      </c>
      <c r="E2931" s="155">
        <v>44803</v>
      </c>
      <c r="F2931" s="178">
        <v>15014.6</v>
      </c>
      <c r="G2931" s="179">
        <f>Tabla19[[#This Row],[Importe]]-Tabla19[[#This Row],[Pagado]]</f>
        <v>0</v>
      </c>
      <c r="H2931" s="153" t="s">
        <v>10</v>
      </c>
    </row>
    <row r="2932" spans="1:8" x14ac:dyDescent="0.25">
      <c r="A2932" s="73">
        <v>44802</v>
      </c>
      <c r="B2932" s="74" t="s">
        <v>27697</v>
      </c>
      <c r="C2932" s="75" t="s">
        <v>12</v>
      </c>
      <c r="D2932" s="176">
        <v>1113.4000000000001</v>
      </c>
      <c r="E2932" s="151">
        <v>44804</v>
      </c>
      <c r="F2932" s="176">
        <v>1113.4000000000001</v>
      </c>
      <c r="G2932" s="177">
        <f>Tabla19[[#This Row],[Importe]]-Tabla19[[#This Row],[Pagado]]</f>
        <v>0</v>
      </c>
      <c r="H2932" s="75" t="s">
        <v>10</v>
      </c>
    </row>
    <row r="2933" spans="1:8" x14ac:dyDescent="0.25">
      <c r="A2933" s="148">
        <v>44802</v>
      </c>
      <c r="B2933" s="149" t="s">
        <v>27698</v>
      </c>
      <c r="C2933" s="153" t="s">
        <v>49</v>
      </c>
      <c r="D2933" s="178">
        <v>3855.6</v>
      </c>
      <c r="E2933" s="155">
        <v>44802</v>
      </c>
      <c r="F2933" s="178">
        <v>3855.6</v>
      </c>
      <c r="G2933" s="179">
        <f>Tabla19[[#This Row],[Importe]]-Tabla19[[#This Row],[Pagado]]</f>
        <v>0</v>
      </c>
      <c r="H2933" s="153" t="s">
        <v>10</v>
      </c>
    </row>
    <row r="2934" spans="1:8" x14ac:dyDescent="0.25">
      <c r="A2934" s="73">
        <v>44802</v>
      </c>
      <c r="B2934" s="74" t="s">
        <v>27699</v>
      </c>
      <c r="C2934" s="75" t="s">
        <v>1644</v>
      </c>
      <c r="D2934" s="176">
        <v>14977.6</v>
      </c>
      <c r="E2934" s="151">
        <v>44803</v>
      </c>
      <c r="F2934" s="176">
        <v>14977.6</v>
      </c>
      <c r="G2934" s="177">
        <f>Tabla19[[#This Row],[Importe]]-Tabla19[[#This Row],[Pagado]]</f>
        <v>0</v>
      </c>
      <c r="H2934" s="75" t="s">
        <v>10</v>
      </c>
    </row>
    <row r="2935" spans="1:8" x14ac:dyDescent="0.25">
      <c r="A2935" s="148">
        <v>44802</v>
      </c>
      <c r="B2935" s="149" t="s">
        <v>27700</v>
      </c>
      <c r="C2935" s="153" t="s">
        <v>107</v>
      </c>
      <c r="D2935" s="178">
        <v>13197.4</v>
      </c>
      <c r="E2935" s="155">
        <v>44803</v>
      </c>
      <c r="F2935" s="178">
        <v>13197.4</v>
      </c>
      <c r="G2935" s="179">
        <f>Tabla19[[#This Row],[Importe]]-Tabla19[[#This Row],[Pagado]]</f>
        <v>0</v>
      </c>
      <c r="H2935" s="153" t="s">
        <v>10</v>
      </c>
    </row>
    <row r="2936" spans="1:8" x14ac:dyDescent="0.25">
      <c r="A2936" s="73">
        <v>44802</v>
      </c>
      <c r="B2936" s="74" t="s">
        <v>27701</v>
      </c>
      <c r="C2936" s="75" t="s">
        <v>12</v>
      </c>
      <c r="D2936" s="176">
        <v>4070</v>
      </c>
      <c r="E2936" s="151">
        <v>44804</v>
      </c>
      <c r="F2936" s="176">
        <v>4070</v>
      </c>
      <c r="G2936" s="177">
        <f>Tabla19[[#This Row],[Importe]]-Tabla19[[#This Row],[Pagado]]</f>
        <v>0</v>
      </c>
      <c r="H2936" s="75" t="s">
        <v>10</v>
      </c>
    </row>
    <row r="2937" spans="1:8" x14ac:dyDescent="0.25">
      <c r="A2937" s="148">
        <v>44802</v>
      </c>
      <c r="B2937" s="149" t="s">
        <v>27702</v>
      </c>
      <c r="C2937" s="153" t="s">
        <v>357</v>
      </c>
      <c r="D2937" s="178">
        <v>5033.2</v>
      </c>
      <c r="E2937" s="155">
        <v>44803</v>
      </c>
      <c r="F2937" s="178">
        <v>5033.2</v>
      </c>
      <c r="G2937" s="179">
        <f>Tabla19[[#This Row],[Importe]]-Tabla19[[#This Row],[Pagado]]</f>
        <v>0</v>
      </c>
      <c r="H2937" s="153" t="s">
        <v>10</v>
      </c>
    </row>
    <row r="2938" spans="1:8" x14ac:dyDescent="0.25">
      <c r="A2938" s="73">
        <v>44802</v>
      </c>
      <c r="B2938" s="74" t="s">
        <v>27703</v>
      </c>
      <c r="C2938" s="75" t="s">
        <v>129</v>
      </c>
      <c r="D2938" s="176">
        <v>5217</v>
      </c>
      <c r="E2938" s="151">
        <v>44803</v>
      </c>
      <c r="F2938" s="176">
        <v>5217</v>
      </c>
      <c r="G2938" s="177">
        <f>Tabla19[[#This Row],[Importe]]-Tabla19[[#This Row],[Pagado]]</f>
        <v>0</v>
      </c>
      <c r="H2938" s="75" t="s">
        <v>10</v>
      </c>
    </row>
    <row r="2939" spans="1:8" x14ac:dyDescent="0.25">
      <c r="A2939" s="148">
        <v>44802</v>
      </c>
      <c r="B2939" s="149" t="s">
        <v>27704</v>
      </c>
      <c r="C2939" s="153" t="s">
        <v>127</v>
      </c>
      <c r="D2939" s="178">
        <v>5238.6000000000004</v>
      </c>
      <c r="E2939" s="155">
        <v>44803</v>
      </c>
      <c r="F2939" s="178">
        <v>5238.6000000000004</v>
      </c>
      <c r="G2939" s="179">
        <f>Tabla19[[#This Row],[Importe]]-Tabla19[[#This Row],[Pagado]]</f>
        <v>0</v>
      </c>
      <c r="H2939" s="153" t="s">
        <v>10</v>
      </c>
    </row>
    <row r="2940" spans="1:8" x14ac:dyDescent="0.25">
      <c r="A2940" s="73">
        <v>44802</v>
      </c>
      <c r="B2940" s="74" t="s">
        <v>27705</v>
      </c>
      <c r="C2940" s="75" t="s">
        <v>140</v>
      </c>
      <c r="D2940" s="176">
        <v>325</v>
      </c>
      <c r="E2940" s="151">
        <v>44803</v>
      </c>
      <c r="F2940" s="176">
        <v>325</v>
      </c>
      <c r="G2940" s="177">
        <f>Tabla19[[#This Row],[Importe]]-Tabla19[[#This Row],[Pagado]]</f>
        <v>0</v>
      </c>
      <c r="H2940" s="75" t="s">
        <v>10</v>
      </c>
    </row>
    <row r="2941" spans="1:8" x14ac:dyDescent="0.25">
      <c r="A2941" s="148">
        <v>44802</v>
      </c>
      <c r="B2941" s="149" t="s">
        <v>27706</v>
      </c>
      <c r="C2941" s="153" t="s">
        <v>23673</v>
      </c>
      <c r="D2941" s="178">
        <v>0</v>
      </c>
      <c r="E2941" s="158" t="s">
        <v>189</v>
      </c>
      <c r="F2941" s="178">
        <v>0</v>
      </c>
      <c r="G2941" s="179">
        <f>Tabla19[[#This Row],[Importe]]-Tabla19[[#This Row],[Pagado]]</f>
        <v>0</v>
      </c>
      <c r="H2941" s="159" t="s">
        <v>27707</v>
      </c>
    </row>
    <row r="2942" spans="1:8" x14ac:dyDescent="0.25">
      <c r="A2942" s="73">
        <v>44802</v>
      </c>
      <c r="B2942" s="74" t="s">
        <v>27708</v>
      </c>
      <c r="C2942" s="75" t="s">
        <v>333</v>
      </c>
      <c r="D2942" s="176">
        <v>626.52</v>
      </c>
      <c r="E2942" s="151">
        <v>44803</v>
      </c>
      <c r="F2942" s="176">
        <v>626.52</v>
      </c>
      <c r="G2942" s="177">
        <f>Tabla19[[#This Row],[Importe]]-Tabla19[[#This Row],[Pagado]]</f>
        <v>0</v>
      </c>
      <c r="H2942" s="75" t="s">
        <v>10</v>
      </c>
    </row>
    <row r="2943" spans="1:8" x14ac:dyDescent="0.25">
      <c r="A2943" s="148">
        <v>44802</v>
      </c>
      <c r="B2943" s="149" t="s">
        <v>27709</v>
      </c>
      <c r="C2943" s="153" t="s">
        <v>4162</v>
      </c>
      <c r="D2943" s="178">
        <v>0</v>
      </c>
      <c r="E2943" s="158" t="s">
        <v>189</v>
      </c>
      <c r="F2943" s="178">
        <v>0</v>
      </c>
      <c r="G2943" s="179">
        <f>Tabla19[[#This Row],[Importe]]-Tabla19[[#This Row],[Pagado]]</f>
        <v>0</v>
      </c>
      <c r="H2943" s="153" t="s">
        <v>189</v>
      </c>
    </row>
    <row r="2944" spans="1:8" x14ac:dyDescent="0.25">
      <c r="A2944" s="73">
        <v>44802</v>
      </c>
      <c r="B2944" s="74" t="s">
        <v>27710</v>
      </c>
      <c r="C2944" s="75" t="s">
        <v>45</v>
      </c>
      <c r="D2944" s="176">
        <v>10182.200000000001</v>
      </c>
      <c r="E2944" s="151">
        <v>44802</v>
      </c>
      <c r="F2944" s="176">
        <v>10182.200000000001</v>
      </c>
      <c r="G2944" s="177">
        <f>Tabla19[[#This Row],[Importe]]-Tabla19[[#This Row],[Pagado]]</f>
        <v>0</v>
      </c>
      <c r="H2944" s="75" t="s">
        <v>10</v>
      </c>
    </row>
    <row r="2945" spans="1:8" x14ac:dyDescent="0.25">
      <c r="A2945" s="148">
        <v>44802</v>
      </c>
      <c r="B2945" s="149" t="s">
        <v>27711</v>
      </c>
      <c r="C2945" s="153" t="s">
        <v>214</v>
      </c>
      <c r="D2945" s="178">
        <v>1554</v>
      </c>
      <c r="E2945" s="155">
        <v>44802</v>
      </c>
      <c r="F2945" s="178">
        <v>1554</v>
      </c>
      <c r="G2945" s="179">
        <f>Tabla19[[#This Row],[Importe]]-Tabla19[[#This Row],[Pagado]]</f>
        <v>0</v>
      </c>
      <c r="H2945" s="153" t="s">
        <v>10</v>
      </c>
    </row>
    <row r="2946" spans="1:8" x14ac:dyDescent="0.25">
      <c r="A2946" s="73">
        <v>44802</v>
      </c>
      <c r="B2946" s="74" t="s">
        <v>27712</v>
      </c>
      <c r="C2946" s="75" t="s">
        <v>1362</v>
      </c>
      <c r="D2946" s="176">
        <v>7346</v>
      </c>
      <c r="E2946" s="151">
        <v>44803</v>
      </c>
      <c r="F2946" s="176">
        <v>7346</v>
      </c>
      <c r="G2946" s="177">
        <f>Tabla19[[#This Row],[Importe]]-Tabla19[[#This Row],[Pagado]]</f>
        <v>0</v>
      </c>
      <c r="H2946" s="75" t="s">
        <v>10</v>
      </c>
    </row>
    <row r="2947" spans="1:8" x14ac:dyDescent="0.25">
      <c r="A2947" s="148">
        <v>44802</v>
      </c>
      <c r="B2947" s="149" t="s">
        <v>27713</v>
      </c>
      <c r="C2947" s="153" t="s">
        <v>222</v>
      </c>
      <c r="D2947" s="178">
        <v>10058.200000000001</v>
      </c>
      <c r="E2947" s="155">
        <v>44802</v>
      </c>
      <c r="F2947" s="178">
        <v>10058.200000000001</v>
      </c>
      <c r="G2947" s="179">
        <f>Tabla19[[#This Row],[Importe]]-Tabla19[[#This Row],[Pagado]]</f>
        <v>0</v>
      </c>
      <c r="H2947" s="153" t="s">
        <v>10</v>
      </c>
    </row>
    <row r="2948" spans="1:8" x14ac:dyDescent="0.25">
      <c r="A2948" s="73">
        <v>44802</v>
      </c>
      <c r="B2948" s="74" t="s">
        <v>27714</v>
      </c>
      <c r="C2948" s="75" t="s">
        <v>24</v>
      </c>
      <c r="D2948" s="176">
        <v>4244.3999999999996</v>
      </c>
      <c r="E2948" s="151">
        <v>44802</v>
      </c>
      <c r="F2948" s="176">
        <v>4244.3999999999996</v>
      </c>
      <c r="G2948" s="177">
        <f>Tabla19[[#This Row],[Importe]]-Tabla19[[#This Row],[Pagado]]</f>
        <v>0</v>
      </c>
      <c r="H2948" s="75" t="s">
        <v>10</v>
      </c>
    </row>
    <row r="2949" spans="1:8" x14ac:dyDescent="0.25">
      <c r="A2949" s="148">
        <v>44802</v>
      </c>
      <c r="B2949" s="149" t="s">
        <v>27715</v>
      </c>
      <c r="C2949" s="153" t="s">
        <v>291</v>
      </c>
      <c r="D2949" s="178">
        <v>3711</v>
      </c>
      <c r="E2949" s="155">
        <v>44803</v>
      </c>
      <c r="F2949" s="178">
        <v>3711</v>
      </c>
      <c r="G2949" s="179">
        <f>Tabla19[[#This Row],[Importe]]-Tabla19[[#This Row],[Pagado]]</f>
        <v>0</v>
      </c>
      <c r="H2949" s="153" t="s">
        <v>10</v>
      </c>
    </row>
    <row r="2950" spans="1:8" x14ac:dyDescent="0.25">
      <c r="A2950" s="73">
        <v>44802</v>
      </c>
      <c r="B2950" s="74" t="s">
        <v>27716</v>
      </c>
      <c r="C2950" s="75" t="s">
        <v>83</v>
      </c>
      <c r="D2950" s="176">
        <v>11649.2</v>
      </c>
      <c r="E2950" s="151">
        <v>44803</v>
      </c>
      <c r="F2950" s="176">
        <v>11649.2</v>
      </c>
      <c r="G2950" s="177">
        <f>Tabla19[[#This Row],[Importe]]-Tabla19[[#This Row],[Pagado]]</f>
        <v>0</v>
      </c>
      <c r="H2950" s="75" t="s">
        <v>10</v>
      </c>
    </row>
    <row r="2951" spans="1:8" x14ac:dyDescent="0.25">
      <c r="A2951" s="148">
        <v>44802</v>
      </c>
      <c r="B2951" s="149" t="s">
        <v>27717</v>
      </c>
      <c r="C2951" s="153" t="s">
        <v>664</v>
      </c>
      <c r="D2951" s="178">
        <v>3104.4</v>
      </c>
      <c r="E2951" s="155">
        <v>44803</v>
      </c>
      <c r="F2951" s="178">
        <v>3104.4</v>
      </c>
      <c r="G2951" s="179">
        <f>Tabla19[[#This Row],[Importe]]-Tabla19[[#This Row],[Pagado]]</f>
        <v>0</v>
      </c>
      <c r="H2951" s="153" t="s">
        <v>10</v>
      </c>
    </row>
    <row r="2952" spans="1:8" x14ac:dyDescent="0.25">
      <c r="A2952" s="73">
        <v>44802</v>
      </c>
      <c r="B2952" s="74" t="s">
        <v>27718</v>
      </c>
      <c r="C2952" s="75" t="s">
        <v>146</v>
      </c>
      <c r="D2952" s="176">
        <v>4780.2</v>
      </c>
      <c r="E2952" s="151">
        <v>44803</v>
      </c>
      <c r="F2952" s="176">
        <v>4780.2</v>
      </c>
      <c r="G2952" s="177">
        <f>Tabla19[[#This Row],[Importe]]-Tabla19[[#This Row],[Pagado]]</f>
        <v>0</v>
      </c>
      <c r="H2952" s="75" t="s">
        <v>10</v>
      </c>
    </row>
    <row r="2953" spans="1:8" x14ac:dyDescent="0.25">
      <c r="A2953" s="148">
        <v>44802</v>
      </c>
      <c r="B2953" s="149" t="s">
        <v>27719</v>
      </c>
      <c r="C2953" s="153" t="s">
        <v>173</v>
      </c>
      <c r="D2953" s="178">
        <v>46455.4</v>
      </c>
      <c r="E2953" s="155">
        <v>44803</v>
      </c>
      <c r="F2953" s="178">
        <v>46455.4</v>
      </c>
      <c r="G2953" s="179">
        <f>Tabla19[[#This Row],[Importe]]-Tabla19[[#This Row],[Pagado]]</f>
        <v>0</v>
      </c>
      <c r="H2953" s="153" t="s">
        <v>10</v>
      </c>
    </row>
    <row r="2954" spans="1:8" x14ac:dyDescent="0.25">
      <c r="A2954" s="73">
        <v>44802</v>
      </c>
      <c r="B2954" s="74" t="s">
        <v>27720</v>
      </c>
      <c r="C2954" s="75" t="s">
        <v>698</v>
      </c>
      <c r="D2954" s="176">
        <v>12076.8</v>
      </c>
      <c r="E2954" s="151">
        <v>44802</v>
      </c>
      <c r="F2954" s="176">
        <v>12076.8</v>
      </c>
      <c r="G2954" s="177">
        <f>Tabla19[[#This Row],[Importe]]-Tabla19[[#This Row],[Pagado]]</f>
        <v>0</v>
      </c>
      <c r="H2954" s="75" t="s">
        <v>10</v>
      </c>
    </row>
    <row r="2955" spans="1:8" x14ac:dyDescent="0.25">
      <c r="A2955" s="148">
        <v>44802</v>
      </c>
      <c r="B2955" s="149" t="s">
        <v>27721</v>
      </c>
      <c r="C2955" s="153" t="s">
        <v>154</v>
      </c>
      <c r="D2955" s="178">
        <v>0.65</v>
      </c>
      <c r="E2955" s="155">
        <v>44806</v>
      </c>
      <c r="F2955" s="178">
        <v>0.65</v>
      </c>
      <c r="G2955" s="179">
        <f>Tabla19[[#This Row],[Importe]]-Tabla19[[#This Row],[Pagado]]</f>
        <v>0</v>
      </c>
      <c r="H2955" s="153" t="s">
        <v>10</v>
      </c>
    </row>
    <row r="2956" spans="1:8" x14ac:dyDescent="0.25">
      <c r="A2956" s="73">
        <v>44802</v>
      </c>
      <c r="B2956" s="74" t="s">
        <v>27722</v>
      </c>
      <c r="C2956" s="75" t="s">
        <v>407</v>
      </c>
      <c r="D2956" s="176">
        <v>10756.8</v>
      </c>
      <c r="E2956" s="151">
        <v>44812</v>
      </c>
      <c r="F2956" s="176">
        <v>10756.8</v>
      </c>
      <c r="G2956" s="177">
        <f>Tabla19[[#This Row],[Importe]]-Tabla19[[#This Row],[Pagado]]</f>
        <v>0</v>
      </c>
      <c r="H2956" s="75" t="s">
        <v>10</v>
      </c>
    </row>
    <row r="2957" spans="1:8" ht="31.5" x14ac:dyDescent="0.25">
      <c r="A2957" s="148">
        <v>44802</v>
      </c>
      <c r="B2957" s="149" t="s">
        <v>27723</v>
      </c>
      <c r="C2957" s="153" t="s">
        <v>142</v>
      </c>
      <c r="D2957" s="178">
        <v>121622.37</v>
      </c>
      <c r="E2957" s="150" t="s">
        <v>31548</v>
      </c>
      <c r="F2957" s="178">
        <f>71753.5+49868.87</f>
        <v>121622.37</v>
      </c>
      <c r="G2957" s="179">
        <f>Tabla19[[#This Row],[Importe]]-Tabla19[[#This Row],[Pagado]]</f>
        <v>0</v>
      </c>
      <c r="H2957" s="153" t="s">
        <v>4814</v>
      </c>
    </row>
    <row r="2958" spans="1:8" x14ac:dyDescent="0.25">
      <c r="A2958" s="73">
        <v>44802</v>
      </c>
      <c r="B2958" s="74" t="s">
        <v>27724</v>
      </c>
      <c r="C2958" s="75" t="s">
        <v>226</v>
      </c>
      <c r="D2958" s="176">
        <v>18268.7</v>
      </c>
      <c r="E2958" s="151">
        <v>44802</v>
      </c>
      <c r="F2958" s="176">
        <v>18268.7</v>
      </c>
      <c r="G2958" s="177">
        <f>Tabla19[[#This Row],[Importe]]-Tabla19[[#This Row],[Pagado]]</f>
        <v>0</v>
      </c>
      <c r="H2958" s="75" t="s">
        <v>10</v>
      </c>
    </row>
    <row r="2959" spans="1:8" x14ac:dyDescent="0.25">
      <c r="A2959" s="148">
        <v>44802</v>
      </c>
      <c r="B2959" s="149" t="s">
        <v>27725</v>
      </c>
      <c r="C2959" s="153" t="s">
        <v>240</v>
      </c>
      <c r="D2959" s="178">
        <v>4568</v>
      </c>
      <c r="E2959" s="155">
        <v>44802</v>
      </c>
      <c r="F2959" s="178">
        <v>4568</v>
      </c>
      <c r="G2959" s="179">
        <f>Tabla19[[#This Row],[Importe]]-Tabla19[[#This Row],[Pagado]]</f>
        <v>0</v>
      </c>
      <c r="H2959" s="153" t="s">
        <v>10</v>
      </c>
    </row>
    <row r="2960" spans="1:8" x14ac:dyDescent="0.25">
      <c r="A2960" s="73">
        <v>44802</v>
      </c>
      <c r="B2960" s="74" t="s">
        <v>27726</v>
      </c>
      <c r="C2960" s="75" t="s">
        <v>520</v>
      </c>
      <c r="D2960" s="176">
        <v>8953.2000000000007</v>
      </c>
      <c r="E2960" s="151">
        <v>44802</v>
      </c>
      <c r="F2960" s="176">
        <v>8953.2000000000007</v>
      </c>
      <c r="G2960" s="177">
        <f>Tabla19[[#This Row],[Importe]]-Tabla19[[#This Row],[Pagado]]</f>
        <v>0</v>
      </c>
      <c r="H2960" s="75" t="s">
        <v>10</v>
      </c>
    </row>
    <row r="2961" spans="1:8" x14ac:dyDescent="0.25">
      <c r="A2961" s="148">
        <v>44802</v>
      </c>
      <c r="B2961" s="149" t="s">
        <v>27727</v>
      </c>
      <c r="C2961" s="153" t="s">
        <v>419</v>
      </c>
      <c r="D2961" s="178">
        <v>8327.9</v>
      </c>
      <c r="E2961" s="155">
        <v>44802</v>
      </c>
      <c r="F2961" s="178">
        <v>8327.9</v>
      </c>
      <c r="G2961" s="179">
        <f>Tabla19[[#This Row],[Importe]]-Tabla19[[#This Row],[Pagado]]</f>
        <v>0</v>
      </c>
      <c r="H2961" s="153" t="s">
        <v>10</v>
      </c>
    </row>
    <row r="2962" spans="1:8" x14ac:dyDescent="0.25">
      <c r="A2962" s="73">
        <v>44802</v>
      </c>
      <c r="B2962" s="74" t="s">
        <v>27728</v>
      </c>
      <c r="C2962" s="75" t="s">
        <v>67</v>
      </c>
      <c r="D2962" s="176">
        <v>2749.7</v>
      </c>
      <c r="E2962" s="151">
        <v>44802</v>
      </c>
      <c r="F2962" s="176">
        <v>2749.7</v>
      </c>
      <c r="G2962" s="177">
        <f>Tabla19[[#This Row],[Importe]]-Tabla19[[#This Row],[Pagado]]</f>
        <v>0</v>
      </c>
      <c r="H2962" s="75" t="s">
        <v>10</v>
      </c>
    </row>
    <row r="2963" spans="1:8" x14ac:dyDescent="0.25">
      <c r="A2963" s="148">
        <v>44802</v>
      </c>
      <c r="B2963" s="149" t="s">
        <v>27729</v>
      </c>
      <c r="C2963" s="153" t="s">
        <v>240</v>
      </c>
      <c r="D2963" s="178">
        <v>985.6</v>
      </c>
      <c r="E2963" s="155">
        <v>44802</v>
      </c>
      <c r="F2963" s="178">
        <v>985.6</v>
      </c>
      <c r="G2963" s="179">
        <f>Tabla19[[#This Row],[Importe]]-Tabla19[[#This Row],[Pagado]]</f>
        <v>0</v>
      </c>
      <c r="H2963" s="153" t="s">
        <v>10</v>
      </c>
    </row>
    <row r="2964" spans="1:8" x14ac:dyDescent="0.25">
      <c r="A2964" s="73">
        <v>44802</v>
      </c>
      <c r="B2964" s="74" t="s">
        <v>27730</v>
      </c>
      <c r="C2964" s="75" t="s">
        <v>1265</v>
      </c>
      <c r="D2964" s="176">
        <v>702.9</v>
      </c>
      <c r="E2964" s="151">
        <v>44802</v>
      </c>
      <c r="F2964" s="176">
        <v>702.9</v>
      </c>
      <c r="G2964" s="177">
        <f>Tabla19[[#This Row],[Importe]]-Tabla19[[#This Row],[Pagado]]</f>
        <v>0</v>
      </c>
      <c r="H2964" s="75" t="s">
        <v>10</v>
      </c>
    </row>
    <row r="2965" spans="1:8" x14ac:dyDescent="0.25">
      <c r="A2965" s="148">
        <v>44802</v>
      </c>
      <c r="B2965" s="149" t="s">
        <v>27731</v>
      </c>
      <c r="C2965" s="153" t="s">
        <v>62</v>
      </c>
      <c r="D2965" s="178">
        <v>4074</v>
      </c>
      <c r="E2965" s="155">
        <v>44802</v>
      </c>
      <c r="F2965" s="178">
        <v>4074</v>
      </c>
      <c r="G2965" s="179">
        <f>Tabla19[[#This Row],[Importe]]-Tabla19[[#This Row],[Pagado]]</f>
        <v>0</v>
      </c>
      <c r="H2965" s="153" t="s">
        <v>10</v>
      </c>
    </row>
    <row r="2966" spans="1:8" x14ac:dyDescent="0.25">
      <c r="A2966" s="73">
        <v>44802</v>
      </c>
      <c r="B2966" s="74" t="s">
        <v>27732</v>
      </c>
      <c r="C2966" s="75" t="s">
        <v>224</v>
      </c>
      <c r="D2966" s="176">
        <v>13956</v>
      </c>
      <c r="E2966" s="151">
        <v>44816</v>
      </c>
      <c r="F2966" s="176">
        <v>13956</v>
      </c>
      <c r="G2966" s="177">
        <f>Tabla19[[#This Row],[Importe]]-Tabla19[[#This Row],[Pagado]]</f>
        <v>0</v>
      </c>
      <c r="H2966" s="75" t="s">
        <v>10</v>
      </c>
    </row>
    <row r="2967" spans="1:8" x14ac:dyDescent="0.25">
      <c r="A2967" s="148">
        <v>44802</v>
      </c>
      <c r="B2967" s="149" t="s">
        <v>27733</v>
      </c>
      <c r="C2967" s="153" t="s">
        <v>857</v>
      </c>
      <c r="D2967" s="178">
        <v>568</v>
      </c>
      <c r="E2967" s="155">
        <v>44802</v>
      </c>
      <c r="F2967" s="178">
        <v>568</v>
      </c>
      <c r="G2967" s="179">
        <f>Tabla19[[#This Row],[Importe]]-Tabla19[[#This Row],[Pagado]]</f>
        <v>0</v>
      </c>
      <c r="H2967" s="153" t="s">
        <v>10</v>
      </c>
    </row>
    <row r="2968" spans="1:8" x14ac:dyDescent="0.25">
      <c r="A2968" s="73">
        <v>44802</v>
      </c>
      <c r="B2968" s="74" t="s">
        <v>27734</v>
      </c>
      <c r="C2968" s="75" t="s">
        <v>296</v>
      </c>
      <c r="D2968" s="176">
        <v>3920</v>
      </c>
      <c r="E2968" s="151">
        <v>44802</v>
      </c>
      <c r="F2968" s="176">
        <v>3920</v>
      </c>
      <c r="G2968" s="177">
        <f>Tabla19[[#This Row],[Importe]]-Tabla19[[#This Row],[Pagado]]</f>
        <v>0</v>
      </c>
      <c r="H2968" s="75" t="s">
        <v>10</v>
      </c>
    </row>
    <row r="2969" spans="1:8" x14ac:dyDescent="0.25">
      <c r="A2969" s="148">
        <v>44802</v>
      </c>
      <c r="B2969" s="149" t="s">
        <v>27735</v>
      </c>
      <c r="C2969" s="153" t="s">
        <v>97</v>
      </c>
      <c r="D2969" s="178">
        <v>9646.6</v>
      </c>
      <c r="E2969" s="155">
        <v>44804</v>
      </c>
      <c r="F2969" s="178">
        <v>9646.6</v>
      </c>
      <c r="G2969" s="179">
        <f>Tabla19[[#This Row],[Importe]]-Tabla19[[#This Row],[Pagado]]</f>
        <v>0</v>
      </c>
      <c r="H2969" s="153" t="s">
        <v>10</v>
      </c>
    </row>
    <row r="2970" spans="1:8" x14ac:dyDescent="0.25">
      <c r="A2970" s="73">
        <v>44802</v>
      </c>
      <c r="B2970" s="74" t="s">
        <v>27736</v>
      </c>
      <c r="C2970" s="75" t="s">
        <v>9415</v>
      </c>
      <c r="D2970" s="176">
        <v>847</v>
      </c>
      <c r="E2970" s="151">
        <v>44803</v>
      </c>
      <c r="F2970" s="176">
        <v>847</v>
      </c>
      <c r="G2970" s="177">
        <f>Tabla19[[#This Row],[Importe]]-Tabla19[[#This Row],[Pagado]]</f>
        <v>0</v>
      </c>
      <c r="H2970" s="75" t="s">
        <v>10</v>
      </c>
    </row>
    <row r="2971" spans="1:8" x14ac:dyDescent="0.25">
      <c r="A2971" s="148">
        <v>44802</v>
      </c>
      <c r="B2971" s="149" t="s">
        <v>27737</v>
      </c>
      <c r="C2971" s="153" t="s">
        <v>142</v>
      </c>
      <c r="D2971" s="178">
        <v>7506</v>
      </c>
      <c r="E2971" s="155">
        <v>44847</v>
      </c>
      <c r="F2971" s="178">
        <v>7506</v>
      </c>
      <c r="G2971" s="179">
        <f>Tabla19[[#This Row],[Importe]]-Tabla19[[#This Row],[Pagado]]</f>
        <v>0</v>
      </c>
      <c r="H2971" s="153" t="s">
        <v>10</v>
      </c>
    </row>
    <row r="2972" spans="1:8" x14ac:dyDescent="0.25">
      <c r="A2972" s="73">
        <v>44802</v>
      </c>
      <c r="B2972" s="74" t="s">
        <v>27738</v>
      </c>
      <c r="C2972" s="75" t="s">
        <v>3177</v>
      </c>
      <c r="D2972" s="176">
        <v>4000</v>
      </c>
      <c r="E2972" s="151">
        <v>44802</v>
      </c>
      <c r="F2972" s="176">
        <v>4000</v>
      </c>
      <c r="G2972" s="177">
        <f>Tabla19[[#This Row],[Importe]]-Tabla19[[#This Row],[Pagado]]</f>
        <v>0</v>
      </c>
      <c r="H2972" s="75" t="s">
        <v>10</v>
      </c>
    </row>
    <row r="2973" spans="1:8" x14ac:dyDescent="0.25">
      <c r="A2973" s="148">
        <v>44802</v>
      </c>
      <c r="B2973" s="149" t="s">
        <v>27739</v>
      </c>
      <c r="C2973" s="153" t="s">
        <v>459</v>
      </c>
      <c r="D2973" s="178">
        <v>213</v>
      </c>
      <c r="E2973" s="155">
        <v>44802</v>
      </c>
      <c r="F2973" s="178">
        <v>213</v>
      </c>
      <c r="G2973" s="179">
        <f>Tabla19[[#This Row],[Importe]]-Tabla19[[#This Row],[Pagado]]</f>
        <v>0</v>
      </c>
      <c r="H2973" s="153" t="s">
        <v>10</v>
      </c>
    </row>
    <row r="2974" spans="1:8" x14ac:dyDescent="0.25">
      <c r="A2974" s="73">
        <v>44802</v>
      </c>
      <c r="B2974" s="74" t="s">
        <v>27740</v>
      </c>
      <c r="C2974" s="75" t="s">
        <v>5694</v>
      </c>
      <c r="D2974" s="176">
        <v>4033</v>
      </c>
      <c r="E2974" s="151">
        <v>44802</v>
      </c>
      <c r="F2974" s="176">
        <v>4033</v>
      </c>
      <c r="G2974" s="177">
        <f>Tabla19[[#This Row],[Importe]]-Tabla19[[#This Row],[Pagado]]</f>
        <v>0</v>
      </c>
      <c r="H2974" s="75" t="s">
        <v>10</v>
      </c>
    </row>
    <row r="2975" spans="1:8" x14ac:dyDescent="0.25">
      <c r="A2975" s="148">
        <v>44802</v>
      </c>
      <c r="B2975" s="149" t="s">
        <v>27741</v>
      </c>
      <c r="C2975" s="153" t="s">
        <v>10819</v>
      </c>
      <c r="D2975" s="178">
        <v>777</v>
      </c>
      <c r="E2975" s="155">
        <v>44803</v>
      </c>
      <c r="F2975" s="178">
        <v>777</v>
      </c>
      <c r="G2975" s="179">
        <f>Tabla19[[#This Row],[Importe]]-Tabla19[[#This Row],[Pagado]]</f>
        <v>0</v>
      </c>
      <c r="H2975" s="153" t="s">
        <v>10</v>
      </c>
    </row>
    <row r="2976" spans="1:8" x14ac:dyDescent="0.25">
      <c r="A2976" s="73">
        <v>44802</v>
      </c>
      <c r="B2976" s="74" t="s">
        <v>27742</v>
      </c>
      <c r="C2976" s="75" t="s">
        <v>87</v>
      </c>
      <c r="D2976" s="176">
        <v>3575</v>
      </c>
      <c r="E2976" s="151">
        <v>44803</v>
      </c>
      <c r="F2976" s="176">
        <v>3575</v>
      </c>
      <c r="G2976" s="177">
        <f>Tabla19[[#This Row],[Importe]]-Tabla19[[#This Row],[Pagado]]</f>
        <v>0</v>
      </c>
      <c r="H2976" s="75" t="s">
        <v>10</v>
      </c>
    </row>
    <row r="2977" spans="1:8" x14ac:dyDescent="0.25">
      <c r="A2977" s="148">
        <v>44802</v>
      </c>
      <c r="B2977" s="149" t="s">
        <v>27743</v>
      </c>
      <c r="C2977" s="153" t="s">
        <v>282</v>
      </c>
      <c r="D2977" s="178">
        <v>1435.6</v>
      </c>
      <c r="E2977" s="155">
        <v>44803</v>
      </c>
      <c r="F2977" s="178">
        <v>1435.6</v>
      </c>
      <c r="G2977" s="179">
        <f>Tabla19[[#This Row],[Importe]]-Tabla19[[#This Row],[Pagado]]</f>
        <v>0</v>
      </c>
      <c r="H2977" s="153" t="s">
        <v>10</v>
      </c>
    </row>
    <row r="2978" spans="1:8" x14ac:dyDescent="0.25">
      <c r="A2978" s="73">
        <v>44802</v>
      </c>
      <c r="B2978" s="74" t="s">
        <v>27744</v>
      </c>
      <c r="C2978" s="75" t="s">
        <v>1237</v>
      </c>
      <c r="D2978" s="176">
        <v>4140.4799999999996</v>
      </c>
      <c r="E2978" s="151">
        <v>44803</v>
      </c>
      <c r="F2978" s="176">
        <v>4140.4799999999996</v>
      </c>
      <c r="G2978" s="177">
        <f>Tabla19[[#This Row],[Importe]]-Tabla19[[#This Row],[Pagado]]</f>
        <v>0</v>
      </c>
      <c r="H2978" s="75" t="s">
        <v>10</v>
      </c>
    </row>
    <row r="2979" spans="1:8" x14ac:dyDescent="0.25">
      <c r="A2979" s="148">
        <v>44802</v>
      </c>
      <c r="B2979" s="149" t="s">
        <v>27745</v>
      </c>
      <c r="C2979" s="153" t="s">
        <v>280</v>
      </c>
      <c r="D2979" s="178">
        <v>747.4</v>
      </c>
      <c r="E2979" s="155">
        <v>44803</v>
      </c>
      <c r="F2979" s="178">
        <v>747.4</v>
      </c>
      <c r="G2979" s="179">
        <f>Tabla19[[#This Row],[Importe]]-Tabla19[[#This Row],[Pagado]]</f>
        <v>0</v>
      </c>
      <c r="H2979" s="153" t="s">
        <v>10</v>
      </c>
    </row>
    <row r="2980" spans="1:8" x14ac:dyDescent="0.25">
      <c r="A2980" s="73">
        <v>44802</v>
      </c>
      <c r="B2980" s="74" t="s">
        <v>27746</v>
      </c>
      <c r="C2980" s="75" t="s">
        <v>5345</v>
      </c>
      <c r="D2980" s="176">
        <v>1413.4</v>
      </c>
      <c r="E2980" s="151">
        <v>44803</v>
      </c>
      <c r="F2980" s="176">
        <v>1413.4</v>
      </c>
      <c r="G2980" s="177">
        <f>Tabla19[[#This Row],[Importe]]-Tabla19[[#This Row],[Pagado]]</f>
        <v>0</v>
      </c>
      <c r="H2980" s="75" t="s">
        <v>10</v>
      </c>
    </row>
    <row r="2981" spans="1:8" x14ac:dyDescent="0.25">
      <c r="A2981" s="148">
        <v>44802</v>
      </c>
      <c r="B2981" s="149" t="s">
        <v>27747</v>
      </c>
      <c r="C2981" s="153" t="s">
        <v>1350</v>
      </c>
      <c r="D2981" s="178">
        <v>1258.4000000000001</v>
      </c>
      <c r="E2981" s="155">
        <v>44803</v>
      </c>
      <c r="F2981" s="178">
        <v>1258.4000000000001</v>
      </c>
      <c r="G2981" s="179">
        <f>Tabla19[[#This Row],[Importe]]-Tabla19[[#This Row],[Pagado]]</f>
        <v>0</v>
      </c>
      <c r="H2981" s="153" t="s">
        <v>10</v>
      </c>
    </row>
    <row r="2982" spans="1:8" x14ac:dyDescent="0.25">
      <c r="A2982" s="73">
        <v>44802</v>
      </c>
      <c r="B2982" s="74" t="s">
        <v>27748</v>
      </c>
      <c r="C2982" s="75" t="s">
        <v>9</v>
      </c>
      <c r="D2982" s="176">
        <v>1617</v>
      </c>
      <c r="E2982" s="151">
        <v>44802</v>
      </c>
      <c r="F2982" s="176">
        <v>1617</v>
      </c>
      <c r="G2982" s="177">
        <f>Tabla19[[#This Row],[Importe]]-Tabla19[[#This Row],[Pagado]]</f>
        <v>0</v>
      </c>
      <c r="H2982" s="75" t="s">
        <v>10</v>
      </c>
    </row>
    <row r="2983" spans="1:8" x14ac:dyDescent="0.25">
      <c r="A2983" s="148">
        <v>44802</v>
      </c>
      <c r="B2983" s="149" t="s">
        <v>27749</v>
      </c>
      <c r="C2983" s="153" t="s">
        <v>9827</v>
      </c>
      <c r="D2983" s="178">
        <v>4366</v>
      </c>
      <c r="E2983" s="155">
        <v>44802</v>
      </c>
      <c r="F2983" s="178">
        <v>4366</v>
      </c>
      <c r="G2983" s="179">
        <f>Tabla19[[#This Row],[Importe]]-Tabla19[[#This Row],[Pagado]]</f>
        <v>0</v>
      </c>
      <c r="H2983" s="153" t="s">
        <v>10</v>
      </c>
    </row>
    <row r="2984" spans="1:8" x14ac:dyDescent="0.25">
      <c r="A2984" s="73">
        <v>44802</v>
      </c>
      <c r="B2984" s="74" t="s">
        <v>27750</v>
      </c>
      <c r="C2984" s="75" t="s">
        <v>16</v>
      </c>
      <c r="D2984" s="176">
        <v>140.80000000000001</v>
      </c>
      <c r="E2984" s="151">
        <v>44802</v>
      </c>
      <c r="F2984" s="176">
        <v>140.80000000000001</v>
      </c>
      <c r="G2984" s="177">
        <f>Tabla19[[#This Row],[Importe]]-Tabla19[[#This Row],[Pagado]]</f>
        <v>0</v>
      </c>
      <c r="H2984" s="75" t="s">
        <v>10</v>
      </c>
    </row>
    <row r="2985" spans="1:8" x14ac:dyDescent="0.25">
      <c r="A2985" s="148">
        <v>44802</v>
      </c>
      <c r="B2985" s="149" t="s">
        <v>27751</v>
      </c>
      <c r="C2985" s="153" t="s">
        <v>301</v>
      </c>
      <c r="D2985" s="178">
        <v>21067.200000000001</v>
      </c>
      <c r="E2985" s="155">
        <v>44802</v>
      </c>
      <c r="F2985" s="178">
        <v>21067.200000000001</v>
      </c>
      <c r="G2985" s="179">
        <f>Tabla19[[#This Row],[Importe]]-Tabla19[[#This Row],[Pagado]]</f>
        <v>0</v>
      </c>
      <c r="H2985" s="153" t="s">
        <v>10</v>
      </c>
    </row>
    <row r="2986" spans="1:8" x14ac:dyDescent="0.25">
      <c r="A2986" s="73">
        <v>44802</v>
      </c>
      <c r="B2986" s="74" t="s">
        <v>27752</v>
      </c>
      <c r="C2986" s="75" t="s">
        <v>301</v>
      </c>
      <c r="D2986" s="176">
        <v>1432.8</v>
      </c>
      <c r="E2986" s="151">
        <v>44802</v>
      </c>
      <c r="F2986" s="176">
        <v>1432.8</v>
      </c>
      <c r="G2986" s="177">
        <f>Tabla19[[#This Row],[Importe]]-Tabla19[[#This Row],[Pagado]]</f>
        <v>0</v>
      </c>
      <c r="H2986" s="75" t="s">
        <v>10</v>
      </c>
    </row>
    <row r="2987" spans="1:8" x14ac:dyDescent="0.25">
      <c r="A2987" s="148">
        <v>44802</v>
      </c>
      <c r="B2987" s="149" t="s">
        <v>27753</v>
      </c>
      <c r="C2987" s="153" t="s">
        <v>470</v>
      </c>
      <c r="D2987" s="178">
        <v>7742</v>
      </c>
      <c r="E2987" s="155">
        <v>44803</v>
      </c>
      <c r="F2987" s="178">
        <v>7742</v>
      </c>
      <c r="G2987" s="179">
        <f>Tabla19[[#This Row],[Importe]]-Tabla19[[#This Row],[Pagado]]</f>
        <v>0</v>
      </c>
      <c r="H2987" s="153" t="s">
        <v>10</v>
      </c>
    </row>
    <row r="2988" spans="1:8" x14ac:dyDescent="0.25">
      <c r="A2988" s="73">
        <v>44802</v>
      </c>
      <c r="B2988" s="74" t="s">
        <v>27754</v>
      </c>
      <c r="C2988" s="75" t="s">
        <v>275</v>
      </c>
      <c r="D2988" s="176">
        <v>94066</v>
      </c>
      <c r="E2988" s="151">
        <v>44823</v>
      </c>
      <c r="F2988" s="176">
        <f>26002+68064</f>
        <v>94066</v>
      </c>
      <c r="G2988" s="177">
        <f>Tabla19[[#This Row],[Importe]]-Tabla19[[#This Row],[Pagado]]</f>
        <v>0</v>
      </c>
      <c r="H2988" s="75" t="s">
        <v>10</v>
      </c>
    </row>
    <row r="2989" spans="1:8" x14ac:dyDescent="0.25">
      <c r="A2989" s="148">
        <v>44802</v>
      </c>
      <c r="B2989" s="149" t="s">
        <v>27755</v>
      </c>
      <c r="C2989" s="153" t="s">
        <v>440</v>
      </c>
      <c r="D2989" s="178">
        <v>7358.32</v>
      </c>
      <c r="E2989" s="155">
        <v>44811</v>
      </c>
      <c r="F2989" s="178">
        <v>7358.32</v>
      </c>
      <c r="G2989" s="179">
        <f>Tabla19[[#This Row],[Importe]]-Tabla19[[#This Row],[Pagado]]</f>
        <v>0</v>
      </c>
      <c r="H2989" s="153" t="s">
        <v>10</v>
      </c>
    </row>
    <row r="2990" spans="1:8" x14ac:dyDescent="0.25">
      <c r="A2990" s="73">
        <v>44802</v>
      </c>
      <c r="B2990" s="74" t="s">
        <v>27756</v>
      </c>
      <c r="C2990" s="75" t="s">
        <v>296</v>
      </c>
      <c r="D2990" s="176">
        <v>3832.5</v>
      </c>
      <c r="E2990" s="151">
        <v>44802</v>
      </c>
      <c r="F2990" s="176">
        <v>3832.5</v>
      </c>
      <c r="G2990" s="177">
        <f>Tabla19[[#This Row],[Importe]]-Tabla19[[#This Row],[Pagado]]</f>
        <v>0</v>
      </c>
      <c r="H2990" s="75" t="s">
        <v>10</v>
      </c>
    </row>
    <row r="2991" spans="1:8" x14ac:dyDescent="0.25">
      <c r="A2991" s="148">
        <v>44802</v>
      </c>
      <c r="B2991" s="149" t="s">
        <v>27757</v>
      </c>
      <c r="C2991" s="153" t="s">
        <v>27171</v>
      </c>
      <c r="D2991" s="178">
        <v>7187.6</v>
      </c>
      <c r="E2991" s="155">
        <v>44802</v>
      </c>
      <c r="F2991" s="178">
        <v>7187.6</v>
      </c>
      <c r="G2991" s="179">
        <f>Tabla19[[#This Row],[Importe]]-Tabla19[[#This Row],[Pagado]]</f>
        <v>0</v>
      </c>
      <c r="H2991" s="153" t="s">
        <v>10</v>
      </c>
    </row>
    <row r="2992" spans="1:8" x14ac:dyDescent="0.25">
      <c r="A2992" s="73">
        <v>44802</v>
      </c>
      <c r="B2992" s="74" t="s">
        <v>27758</v>
      </c>
      <c r="C2992" s="75" t="s">
        <v>181</v>
      </c>
      <c r="D2992" s="176">
        <v>15543.4</v>
      </c>
      <c r="E2992" s="151">
        <v>44803</v>
      </c>
      <c r="F2992" s="176">
        <v>15543.4</v>
      </c>
      <c r="G2992" s="177">
        <f>Tabla19[[#This Row],[Importe]]-Tabla19[[#This Row],[Pagado]]</f>
        <v>0</v>
      </c>
      <c r="H2992" s="75" t="s">
        <v>10</v>
      </c>
    </row>
    <row r="2993" spans="1:8" x14ac:dyDescent="0.25">
      <c r="A2993" s="148">
        <v>44802</v>
      </c>
      <c r="B2993" s="149" t="s">
        <v>27759</v>
      </c>
      <c r="C2993" s="153" t="s">
        <v>359</v>
      </c>
      <c r="D2993" s="178">
        <v>1265.4000000000001</v>
      </c>
      <c r="E2993" s="155">
        <v>44803</v>
      </c>
      <c r="F2993" s="178">
        <v>1265.4000000000001</v>
      </c>
      <c r="G2993" s="179">
        <f>Tabla19[[#This Row],[Importe]]-Tabla19[[#This Row],[Pagado]]</f>
        <v>0</v>
      </c>
      <c r="H2993" s="153" t="s">
        <v>10</v>
      </c>
    </row>
    <row r="2994" spans="1:8" x14ac:dyDescent="0.25">
      <c r="A2994" s="73">
        <v>44802</v>
      </c>
      <c r="B2994" s="74" t="s">
        <v>27760</v>
      </c>
      <c r="C2994" s="75" t="s">
        <v>31</v>
      </c>
      <c r="D2994" s="176">
        <v>569.79999999999995</v>
      </c>
      <c r="E2994" s="151">
        <v>44802</v>
      </c>
      <c r="F2994" s="176">
        <v>569.79999999999995</v>
      </c>
      <c r="G2994" s="177">
        <f>Tabla19[[#This Row],[Importe]]-Tabla19[[#This Row],[Pagado]]</f>
        <v>0</v>
      </c>
      <c r="H2994" s="75" t="s">
        <v>10</v>
      </c>
    </row>
    <row r="2995" spans="1:8" x14ac:dyDescent="0.25">
      <c r="A2995" s="148">
        <v>44802</v>
      </c>
      <c r="B2995" s="149" t="s">
        <v>27761</v>
      </c>
      <c r="C2995" s="153" t="s">
        <v>149</v>
      </c>
      <c r="D2995" s="178">
        <v>3112</v>
      </c>
      <c r="E2995" s="155">
        <v>44802</v>
      </c>
      <c r="F2995" s="178">
        <v>3112</v>
      </c>
      <c r="G2995" s="179">
        <f>Tabla19[[#This Row],[Importe]]-Tabla19[[#This Row],[Pagado]]</f>
        <v>0</v>
      </c>
      <c r="H2995" s="153" t="s">
        <v>10</v>
      </c>
    </row>
    <row r="2996" spans="1:8" x14ac:dyDescent="0.25">
      <c r="A2996" s="73">
        <v>44802</v>
      </c>
      <c r="B2996" s="74" t="s">
        <v>27762</v>
      </c>
      <c r="C2996" s="75" t="s">
        <v>53</v>
      </c>
      <c r="D2996" s="176">
        <v>1147.5</v>
      </c>
      <c r="E2996" s="151">
        <v>44802</v>
      </c>
      <c r="F2996" s="176">
        <v>1147.5</v>
      </c>
      <c r="G2996" s="177">
        <f>Tabla19[[#This Row],[Importe]]-Tabla19[[#This Row],[Pagado]]</f>
        <v>0</v>
      </c>
      <c r="H2996" s="75" t="s">
        <v>10</v>
      </c>
    </row>
    <row r="2997" spans="1:8" x14ac:dyDescent="0.25">
      <c r="A2997" s="148">
        <v>44802</v>
      </c>
      <c r="B2997" s="149" t="s">
        <v>27763</v>
      </c>
      <c r="C2997" s="153" t="s">
        <v>426</v>
      </c>
      <c r="D2997" s="178">
        <v>6592.6</v>
      </c>
      <c r="E2997" s="155">
        <v>44803</v>
      </c>
      <c r="F2997" s="178">
        <v>6592.6</v>
      </c>
      <c r="G2997" s="179">
        <f>Tabla19[[#This Row],[Importe]]-Tabla19[[#This Row],[Pagado]]</f>
        <v>0</v>
      </c>
      <c r="H2997" s="153" t="s">
        <v>10</v>
      </c>
    </row>
    <row r="2998" spans="1:8" x14ac:dyDescent="0.25">
      <c r="A2998" s="73">
        <v>44802</v>
      </c>
      <c r="B2998" s="74" t="s">
        <v>27764</v>
      </c>
      <c r="C2998" s="75" t="s">
        <v>196</v>
      </c>
      <c r="D2998" s="176">
        <v>121359.44</v>
      </c>
      <c r="E2998" s="151">
        <v>44806</v>
      </c>
      <c r="F2998" s="176">
        <v>121359.44</v>
      </c>
      <c r="G2998" s="177">
        <f>Tabla19[[#This Row],[Importe]]-Tabla19[[#This Row],[Pagado]]</f>
        <v>0</v>
      </c>
      <c r="H2998" s="75" t="s">
        <v>10</v>
      </c>
    </row>
    <row r="2999" spans="1:8" x14ac:dyDescent="0.25">
      <c r="A2999" s="148">
        <v>44802</v>
      </c>
      <c r="B2999" s="149" t="s">
        <v>27765</v>
      </c>
      <c r="C2999" s="153" t="s">
        <v>421</v>
      </c>
      <c r="D2999" s="178">
        <v>11721.4</v>
      </c>
      <c r="E2999" s="155">
        <v>44810</v>
      </c>
      <c r="F2999" s="178">
        <v>11721.4</v>
      </c>
      <c r="G2999" s="179">
        <f>Tabla19[[#This Row],[Importe]]-Tabla19[[#This Row],[Pagado]]</f>
        <v>0</v>
      </c>
      <c r="H2999" s="153" t="s">
        <v>10</v>
      </c>
    </row>
    <row r="3000" spans="1:8" x14ac:dyDescent="0.25">
      <c r="A3000" s="73">
        <v>44802</v>
      </c>
      <c r="B3000" s="74" t="s">
        <v>27766</v>
      </c>
      <c r="C3000" s="75" t="s">
        <v>175</v>
      </c>
      <c r="D3000" s="176">
        <v>11577.85</v>
      </c>
      <c r="E3000" s="151">
        <v>44803</v>
      </c>
      <c r="F3000" s="176">
        <v>11577.85</v>
      </c>
      <c r="G3000" s="177">
        <f>Tabla19[[#This Row],[Importe]]-Tabla19[[#This Row],[Pagado]]</f>
        <v>0</v>
      </c>
      <c r="H3000" s="75" t="s">
        <v>10</v>
      </c>
    </row>
    <row r="3001" spans="1:8" x14ac:dyDescent="0.25">
      <c r="A3001" s="148">
        <v>44802</v>
      </c>
      <c r="B3001" s="149" t="s">
        <v>27767</v>
      </c>
      <c r="C3001" s="153" t="s">
        <v>31</v>
      </c>
      <c r="D3001" s="178">
        <v>60</v>
      </c>
      <c r="E3001" s="155">
        <v>44802</v>
      </c>
      <c r="F3001" s="178">
        <v>60</v>
      </c>
      <c r="G3001" s="179">
        <f>Tabla19[[#This Row],[Importe]]-Tabla19[[#This Row],[Pagado]]</f>
        <v>0</v>
      </c>
      <c r="H3001" s="153" t="s">
        <v>10</v>
      </c>
    </row>
    <row r="3002" spans="1:8" x14ac:dyDescent="0.25">
      <c r="A3002" s="73">
        <v>44802</v>
      </c>
      <c r="B3002" s="74" t="s">
        <v>27768</v>
      </c>
      <c r="C3002" s="75" t="s">
        <v>10678</v>
      </c>
      <c r="D3002" s="176">
        <v>4295.8</v>
      </c>
      <c r="E3002" s="151">
        <v>44802</v>
      </c>
      <c r="F3002" s="176">
        <v>4295.8</v>
      </c>
      <c r="G3002" s="177">
        <f>Tabla19[[#This Row],[Importe]]-Tabla19[[#This Row],[Pagado]]</f>
        <v>0</v>
      </c>
      <c r="H3002" s="75" t="s">
        <v>10</v>
      </c>
    </row>
    <row r="3003" spans="1:8" x14ac:dyDescent="0.25">
      <c r="A3003" s="148">
        <v>44802</v>
      </c>
      <c r="B3003" s="149" t="s">
        <v>27769</v>
      </c>
      <c r="C3003" s="153" t="s">
        <v>58</v>
      </c>
      <c r="D3003" s="178">
        <v>2062.8000000000002</v>
      </c>
      <c r="E3003" s="155">
        <v>44802</v>
      </c>
      <c r="F3003" s="178">
        <v>2062.8000000000002</v>
      </c>
      <c r="G3003" s="179">
        <f>Tabla19[[#This Row],[Importe]]-Tabla19[[#This Row],[Pagado]]</f>
        <v>0</v>
      </c>
      <c r="H3003" s="153" t="s">
        <v>10</v>
      </c>
    </row>
    <row r="3004" spans="1:8" x14ac:dyDescent="0.25">
      <c r="A3004" s="73">
        <v>44802</v>
      </c>
      <c r="B3004" s="74" t="s">
        <v>27770</v>
      </c>
      <c r="C3004" s="75" t="s">
        <v>31</v>
      </c>
      <c r="D3004" s="176">
        <v>330.6</v>
      </c>
      <c r="E3004" s="151">
        <v>44802</v>
      </c>
      <c r="F3004" s="176">
        <v>330.6</v>
      </c>
      <c r="G3004" s="177">
        <f>Tabla19[[#This Row],[Importe]]-Tabla19[[#This Row],[Pagado]]</f>
        <v>0</v>
      </c>
      <c r="H3004" s="75" t="s">
        <v>10</v>
      </c>
    </row>
    <row r="3005" spans="1:8" x14ac:dyDescent="0.25">
      <c r="A3005" s="148">
        <v>44802</v>
      </c>
      <c r="B3005" s="149" t="s">
        <v>27771</v>
      </c>
      <c r="C3005" s="153" t="s">
        <v>296</v>
      </c>
      <c r="D3005" s="178">
        <v>2838.4</v>
      </c>
      <c r="E3005" s="155">
        <v>44803</v>
      </c>
      <c r="F3005" s="178">
        <v>2838.4</v>
      </c>
      <c r="G3005" s="179">
        <f>Tabla19[[#This Row],[Importe]]-Tabla19[[#This Row],[Pagado]]</f>
        <v>0</v>
      </c>
      <c r="H3005" s="153" t="s">
        <v>10</v>
      </c>
    </row>
    <row r="3006" spans="1:8" x14ac:dyDescent="0.25">
      <c r="A3006" s="73">
        <v>44802</v>
      </c>
      <c r="B3006" s="74" t="s">
        <v>27772</v>
      </c>
      <c r="C3006" s="75" t="s">
        <v>27773</v>
      </c>
      <c r="D3006" s="176">
        <v>80000</v>
      </c>
      <c r="E3006" s="151">
        <v>44803</v>
      </c>
      <c r="F3006" s="176">
        <v>80000</v>
      </c>
      <c r="G3006" s="177">
        <f>Tabla19[[#This Row],[Importe]]-Tabla19[[#This Row],[Pagado]]</f>
        <v>0</v>
      </c>
      <c r="H3006" s="75" t="s">
        <v>10</v>
      </c>
    </row>
    <row r="3007" spans="1:8" x14ac:dyDescent="0.25">
      <c r="A3007" s="148">
        <v>44802</v>
      </c>
      <c r="B3007" s="149" t="s">
        <v>27774</v>
      </c>
      <c r="C3007" s="153" t="s">
        <v>69</v>
      </c>
      <c r="D3007" s="178">
        <v>1420.8</v>
      </c>
      <c r="E3007" s="155">
        <v>44803</v>
      </c>
      <c r="F3007" s="178">
        <v>1420.8</v>
      </c>
      <c r="G3007" s="179">
        <f>Tabla19[[#This Row],[Importe]]-Tabla19[[#This Row],[Pagado]]</f>
        <v>0</v>
      </c>
      <c r="H3007" s="153" t="s">
        <v>10</v>
      </c>
    </row>
    <row r="3008" spans="1:8" x14ac:dyDescent="0.25">
      <c r="A3008" s="73">
        <v>44802</v>
      </c>
      <c r="B3008" s="74" t="s">
        <v>27775</v>
      </c>
      <c r="C3008" s="75" t="s">
        <v>179</v>
      </c>
      <c r="D3008" s="176">
        <v>1909.2</v>
      </c>
      <c r="E3008" s="151">
        <v>44803</v>
      </c>
      <c r="F3008" s="176">
        <v>1909.2</v>
      </c>
      <c r="G3008" s="177">
        <f>Tabla19[[#This Row],[Importe]]-Tabla19[[#This Row],[Pagado]]</f>
        <v>0</v>
      </c>
      <c r="H3008" s="75" t="s">
        <v>10</v>
      </c>
    </row>
    <row r="3009" spans="1:8" x14ac:dyDescent="0.25">
      <c r="A3009" s="148">
        <v>44803</v>
      </c>
      <c r="B3009" s="149" t="s">
        <v>27776</v>
      </c>
      <c r="C3009" s="153" t="s">
        <v>887</v>
      </c>
      <c r="D3009" s="178">
        <v>15678</v>
      </c>
      <c r="E3009" s="155">
        <v>44803</v>
      </c>
      <c r="F3009" s="178">
        <v>15678</v>
      </c>
      <c r="G3009" s="179">
        <f>Tabla19[[#This Row],[Importe]]-Tabla19[[#This Row],[Pagado]]</f>
        <v>0</v>
      </c>
      <c r="H3009" s="153" t="s">
        <v>10</v>
      </c>
    </row>
    <row r="3010" spans="1:8" x14ac:dyDescent="0.25">
      <c r="A3010" s="73">
        <v>44803</v>
      </c>
      <c r="B3010" s="74" t="s">
        <v>27777</v>
      </c>
      <c r="C3010" s="75" t="s">
        <v>89</v>
      </c>
      <c r="D3010" s="176">
        <v>3801.6</v>
      </c>
      <c r="E3010" s="151">
        <v>44804</v>
      </c>
      <c r="F3010" s="176">
        <v>3801.6</v>
      </c>
      <c r="G3010" s="177">
        <f>Tabla19[[#This Row],[Importe]]-Tabla19[[#This Row],[Pagado]]</f>
        <v>0</v>
      </c>
      <c r="H3010" s="75" t="s">
        <v>10</v>
      </c>
    </row>
    <row r="3011" spans="1:8" x14ac:dyDescent="0.25">
      <c r="A3011" s="148">
        <v>44803</v>
      </c>
      <c r="B3011" s="149" t="s">
        <v>27778</v>
      </c>
      <c r="C3011" s="153" t="s">
        <v>348</v>
      </c>
      <c r="D3011" s="178">
        <v>4138.2</v>
      </c>
      <c r="E3011" s="155">
        <v>44803</v>
      </c>
      <c r="F3011" s="178">
        <v>4138.2</v>
      </c>
      <c r="G3011" s="179">
        <f>Tabla19[[#This Row],[Importe]]-Tabla19[[#This Row],[Pagado]]</f>
        <v>0</v>
      </c>
      <c r="H3011" s="153" t="s">
        <v>10</v>
      </c>
    </row>
    <row r="3012" spans="1:8" x14ac:dyDescent="0.25">
      <c r="A3012" s="73">
        <v>44803</v>
      </c>
      <c r="B3012" s="74" t="s">
        <v>27779</v>
      </c>
      <c r="C3012" s="75" t="s">
        <v>2151</v>
      </c>
      <c r="D3012" s="176">
        <v>11951.2</v>
      </c>
      <c r="E3012" s="151">
        <v>44803</v>
      </c>
      <c r="F3012" s="176">
        <v>11951.2</v>
      </c>
      <c r="G3012" s="177">
        <f>Tabla19[[#This Row],[Importe]]-Tabla19[[#This Row],[Pagado]]</f>
        <v>0</v>
      </c>
      <c r="H3012" s="75" t="s">
        <v>10</v>
      </c>
    </row>
    <row r="3013" spans="1:8" x14ac:dyDescent="0.25">
      <c r="A3013" s="148">
        <v>44803</v>
      </c>
      <c r="B3013" s="149" t="s">
        <v>27780</v>
      </c>
      <c r="C3013" s="153" t="s">
        <v>2151</v>
      </c>
      <c r="D3013" s="178">
        <v>490</v>
      </c>
      <c r="E3013" s="155">
        <v>44803</v>
      </c>
      <c r="F3013" s="178">
        <v>490</v>
      </c>
      <c r="G3013" s="179">
        <f>Tabla19[[#This Row],[Importe]]-Tabla19[[#This Row],[Pagado]]</f>
        <v>0</v>
      </c>
      <c r="H3013" s="153" t="s">
        <v>10</v>
      </c>
    </row>
    <row r="3014" spans="1:8" x14ac:dyDescent="0.25">
      <c r="A3014" s="73">
        <v>44803</v>
      </c>
      <c r="B3014" s="74" t="s">
        <v>27781</v>
      </c>
      <c r="C3014" s="75" t="s">
        <v>114</v>
      </c>
      <c r="D3014" s="176">
        <v>7302.8</v>
      </c>
      <c r="E3014" s="151">
        <v>44804</v>
      </c>
      <c r="F3014" s="176">
        <v>7302.8</v>
      </c>
      <c r="G3014" s="177">
        <f>Tabla19[[#This Row],[Importe]]-Tabla19[[#This Row],[Pagado]]</f>
        <v>0</v>
      </c>
      <c r="H3014" s="75" t="s">
        <v>10</v>
      </c>
    </row>
    <row r="3015" spans="1:8" x14ac:dyDescent="0.25">
      <c r="A3015" s="148">
        <v>44803</v>
      </c>
      <c r="B3015" s="149" t="s">
        <v>27782</v>
      </c>
      <c r="C3015" s="153" t="s">
        <v>22</v>
      </c>
      <c r="D3015" s="178">
        <v>45229.5</v>
      </c>
      <c r="E3015" s="155">
        <v>44804</v>
      </c>
      <c r="F3015" s="178">
        <v>45229.5</v>
      </c>
      <c r="G3015" s="179">
        <f>Tabla19[[#This Row],[Importe]]-Tabla19[[#This Row],[Pagado]]</f>
        <v>0</v>
      </c>
      <c r="H3015" s="153" t="s">
        <v>10</v>
      </c>
    </row>
    <row r="3016" spans="1:8" x14ac:dyDescent="0.25">
      <c r="A3016" s="73">
        <v>44803</v>
      </c>
      <c r="B3016" s="74" t="s">
        <v>27783</v>
      </c>
      <c r="C3016" s="75" t="s">
        <v>326</v>
      </c>
      <c r="D3016" s="176">
        <v>10926.5</v>
      </c>
      <c r="E3016" s="151">
        <v>44804</v>
      </c>
      <c r="F3016" s="176">
        <v>10926.5</v>
      </c>
      <c r="G3016" s="177">
        <f>Tabla19[[#This Row],[Importe]]-Tabla19[[#This Row],[Pagado]]</f>
        <v>0</v>
      </c>
      <c r="H3016" s="75" t="s">
        <v>10</v>
      </c>
    </row>
    <row r="3017" spans="1:8" x14ac:dyDescent="0.25">
      <c r="A3017" s="148">
        <v>44803</v>
      </c>
      <c r="B3017" s="149" t="s">
        <v>27784</v>
      </c>
      <c r="C3017" s="153" t="s">
        <v>109</v>
      </c>
      <c r="D3017" s="178">
        <v>5928.3</v>
      </c>
      <c r="E3017" s="155">
        <v>44804</v>
      </c>
      <c r="F3017" s="178">
        <v>5928.3</v>
      </c>
      <c r="G3017" s="179">
        <f>Tabla19[[#This Row],[Importe]]-Tabla19[[#This Row],[Pagado]]</f>
        <v>0</v>
      </c>
      <c r="H3017" s="153" t="s">
        <v>10</v>
      </c>
    </row>
    <row r="3018" spans="1:8" x14ac:dyDescent="0.25">
      <c r="A3018" s="73">
        <v>44803</v>
      </c>
      <c r="B3018" s="74" t="s">
        <v>27785</v>
      </c>
      <c r="C3018" s="75" t="s">
        <v>105</v>
      </c>
      <c r="D3018" s="176">
        <v>6237</v>
      </c>
      <c r="E3018" s="151">
        <v>44804</v>
      </c>
      <c r="F3018" s="176">
        <v>6237</v>
      </c>
      <c r="G3018" s="177">
        <f>Tabla19[[#This Row],[Importe]]-Tabla19[[#This Row],[Pagado]]</f>
        <v>0</v>
      </c>
      <c r="H3018" s="75" t="s">
        <v>10</v>
      </c>
    </row>
    <row r="3019" spans="1:8" x14ac:dyDescent="0.25">
      <c r="A3019" s="148">
        <v>44803</v>
      </c>
      <c r="B3019" s="149" t="s">
        <v>27786</v>
      </c>
      <c r="C3019" s="153" t="s">
        <v>93</v>
      </c>
      <c r="D3019" s="178">
        <v>5499.9</v>
      </c>
      <c r="E3019" s="155">
        <v>44806</v>
      </c>
      <c r="F3019" s="178">
        <v>5499.9</v>
      </c>
      <c r="G3019" s="179">
        <f>Tabla19[[#This Row],[Importe]]-Tabla19[[#This Row],[Pagado]]</f>
        <v>0</v>
      </c>
      <c r="H3019" s="153" t="s">
        <v>10</v>
      </c>
    </row>
    <row r="3020" spans="1:8" x14ac:dyDescent="0.25">
      <c r="A3020" s="73">
        <v>44803</v>
      </c>
      <c r="B3020" s="74" t="s">
        <v>27787</v>
      </c>
      <c r="C3020" s="75" t="s">
        <v>481</v>
      </c>
      <c r="D3020" s="176">
        <v>555</v>
      </c>
      <c r="E3020" s="151">
        <v>44803</v>
      </c>
      <c r="F3020" s="176">
        <v>555</v>
      </c>
      <c r="G3020" s="177">
        <f>Tabla19[[#This Row],[Importe]]-Tabla19[[#This Row],[Pagado]]</f>
        <v>0</v>
      </c>
      <c r="H3020" s="75" t="s">
        <v>10</v>
      </c>
    </row>
    <row r="3021" spans="1:8" x14ac:dyDescent="0.25">
      <c r="A3021" s="148">
        <v>44803</v>
      </c>
      <c r="B3021" s="149" t="s">
        <v>27788</v>
      </c>
      <c r="C3021" s="153" t="s">
        <v>64</v>
      </c>
      <c r="D3021" s="178">
        <v>5219.5</v>
      </c>
      <c r="E3021" s="155">
        <v>44804</v>
      </c>
      <c r="F3021" s="178">
        <v>5219.5</v>
      </c>
      <c r="G3021" s="179">
        <f>Tabla19[[#This Row],[Importe]]-Tabla19[[#This Row],[Pagado]]</f>
        <v>0</v>
      </c>
      <c r="H3021" s="153" t="s">
        <v>10</v>
      </c>
    </row>
    <row r="3022" spans="1:8" x14ac:dyDescent="0.25">
      <c r="A3022" s="73">
        <v>44803</v>
      </c>
      <c r="B3022" s="74" t="s">
        <v>27789</v>
      </c>
      <c r="C3022" s="75" t="s">
        <v>75</v>
      </c>
      <c r="D3022" s="176">
        <v>6571.2</v>
      </c>
      <c r="E3022" s="151">
        <v>44803</v>
      </c>
      <c r="F3022" s="176">
        <v>6571.2</v>
      </c>
      <c r="G3022" s="177">
        <f>Tabla19[[#This Row],[Importe]]-Tabla19[[#This Row],[Pagado]]</f>
        <v>0</v>
      </c>
      <c r="H3022" s="75" t="s">
        <v>10</v>
      </c>
    </row>
    <row r="3023" spans="1:8" x14ac:dyDescent="0.25">
      <c r="A3023" s="148">
        <v>44803</v>
      </c>
      <c r="B3023" s="149" t="s">
        <v>27790</v>
      </c>
      <c r="C3023" s="153" t="s">
        <v>473</v>
      </c>
      <c r="D3023" s="178">
        <v>6283.4</v>
      </c>
      <c r="E3023" s="155">
        <v>44803</v>
      </c>
      <c r="F3023" s="178">
        <v>6283.4</v>
      </c>
      <c r="G3023" s="179">
        <f>Tabla19[[#This Row],[Importe]]-Tabla19[[#This Row],[Pagado]]</f>
        <v>0</v>
      </c>
      <c r="H3023" s="153" t="s">
        <v>10</v>
      </c>
    </row>
    <row r="3024" spans="1:8" x14ac:dyDescent="0.25">
      <c r="A3024" s="73">
        <v>44803</v>
      </c>
      <c r="B3024" s="74" t="s">
        <v>27791</v>
      </c>
      <c r="C3024" s="75" t="s">
        <v>9</v>
      </c>
      <c r="D3024" s="176">
        <v>12918.6</v>
      </c>
      <c r="E3024" s="151">
        <v>44803</v>
      </c>
      <c r="F3024" s="176">
        <v>12918.6</v>
      </c>
      <c r="G3024" s="177">
        <f>Tabla19[[#This Row],[Importe]]-Tabla19[[#This Row],[Pagado]]</f>
        <v>0</v>
      </c>
      <c r="H3024" s="75" t="s">
        <v>10</v>
      </c>
    </row>
    <row r="3025" spans="1:8" x14ac:dyDescent="0.25">
      <c r="A3025" s="148">
        <v>44803</v>
      </c>
      <c r="B3025" s="149" t="s">
        <v>27792</v>
      </c>
      <c r="C3025" s="153" t="s">
        <v>51</v>
      </c>
      <c r="D3025" s="178">
        <v>637.5</v>
      </c>
      <c r="E3025" s="155">
        <v>44803</v>
      </c>
      <c r="F3025" s="178">
        <v>637.5</v>
      </c>
      <c r="G3025" s="179">
        <f>Tabla19[[#This Row],[Importe]]-Tabla19[[#This Row],[Pagado]]</f>
        <v>0</v>
      </c>
      <c r="H3025" s="153" t="s">
        <v>10</v>
      </c>
    </row>
    <row r="3026" spans="1:8" x14ac:dyDescent="0.25">
      <c r="A3026" s="73">
        <v>44803</v>
      </c>
      <c r="B3026" s="74" t="s">
        <v>27793</v>
      </c>
      <c r="C3026" s="75" t="s">
        <v>17556</v>
      </c>
      <c r="D3026" s="176">
        <v>4394.6000000000004</v>
      </c>
      <c r="E3026" s="151">
        <v>44803</v>
      </c>
      <c r="F3026" s="176">
        <v>4394.6000000000004</v>
      </c>
      <c r="G3026" s="177">
        <f>Tabla19[[#This Row],[Importe]]-Tabla19[[#This Row],[Pagado]]</f>
        <v>0</v>
      </c>
      <c r="H3026" s="75" t="s">
        <v>10</v>
      </c>
    </row>
    <row r="3027" spans="1:8" x14ac:dyDescent="0.25">
      <c r="A3027" s="148">
        <v>44803</v>
      </c>
      <c r="B3027" s="149" t="s">
        <v>27794</v>
      </c>
      <c r="C3027" s="153" t="s">
        <v>353</v>
      </c>
      <c r="D3027" s="178">
        <v>22746.799999999999</v>
      </c>
      <c r="E3027" s="155">
        <v>44803</v>
      </c>
      <c r="F3027" s="178">
        <v>22746.799999999999</v>
      </c>
      <c r="G3027" s="179">
        <f>Tabla19[[#This Row],[Importe]]-Tabla19[[#This Row],[Pagado]]</f>
        <v>0</v>
      </c>
      <c r="H3027" s="153" t="s">
        <v>10</v>
      </c>
    </row>
    <row r="3028" spans="1:8" x14ac:dyDescent="0.25">
      <c r="A3028" s="73">
        <v>44803</v>
      </c>
      <c r="B3028" s="74" t="s">
        <v>27795</v>
      </c>
      <c r="C3028" s="75" t="s">
        <v>56</v>
      </c>
      <c r="D3028" s="176">
        <v>9412.7999999999993</v>
      </c>
      <c r="E3028" s="151">
        <v>44803</v>
      </c>
      <c r="F3028" s="176">
        <v>9412.7999999999993</v>
      </c>
      <c r="G3028" s="177">
        <f>Tabla19[[#This Row],[Importe]]-Tabla19[[#This Row],[Pagado]]</f>
        <v>0</v>
      </c>
      <c r="H3028" s="75" t="s">
        <v>10</v>
      </c>
    </row>
    <row r="3029" spans="1:8" x14ac:dyDescent="0.25">
      <c r="A3029" s="148">
        <v>44803</v>
      </c>
      <c r="B3029" s="149" t="s">
        <v>27796</v>
      </c>
      <c r="C3029" s="153" t="s">
        <v>9827</v>
      </c>
      <c r="D3029" s="178">
        <v>1332</v>
      </c>
      <c r="E3029" s="155">
        <v>44803</v>
      </c>
      <c r="F3029" s="178">
        <v>1332</v>
      </c>
      <c r="G3029" s="179">
        <f>Tabla19[[#This Row],[Importe]]-Tabla19[[#This Row],[Pagado]]</f>
        <v>0</v>
      </c>
      <c r="H3029" s="153" t="s">
        <v>10</v>
      </c>
    </row>
    <row r="3030" spans="1:8" x14ac:dyDescent="0.25">
      <c r="A3030" s="73">
        <v>44803</v>
      </c>
      <c r="B3030" s="74" t="s">
        <v>27797</v>
      </c>
      <c r="C3030" s="75" t="s">
        <v>18</v>
      </c>
      <c r="D3030" s="176">
        <v>1807.5</v>
      </c>
      <c r="E3030" s="151">
        <v>44803</v>
      </c>
      <c r="F3030" s="176">
        <v>1807.5</v>
      </c>
      <c r="G3030" s="177">
        <f>Tabla19[[#This Row],[Importe]]-Tabla19[[#This Row],[Pagado]]</f>
        <v>0</v>
      </c>
      <c r="H3030" s="75" t="s">
        <v>10</v>
      </c>
    </row>
    <row r="3031" spans="1:8" x14ac:dyDescent="0.25">
      <c r="A3031" s="148">
        <v>44803</v>
      </c>
      <c r="B3031" s="149" t="s">
        <v>27798</v>
      </c>
      <c r="C3031" s="153" t="s">
        <v>22539</v>
      </c>
      <c r="D3031" s="178">
        <v>0</v>
      </c>
      <c r="E3031" s="158" t="s">
        <v>189</v>
      </c>
      <c r="F3031" s="178">
        <v>0</v>
      </c>
      <c r="G3031" s="179">
        <f>Tabla19[[#This Row],[Importe]]-Tabla19[[#This Row],[Pagado]]</f>
        <v>0</v>
      </c>
      <c r="H3031" s="159" t="s">
        <v>27799</v>
      </c>
    </row>
    <row r="3032" spans="1:8" x14ac:dyDescent="0.25">
      <c r="A3032" s="73">
        <v>44803</v>
      </c>
      <c r="B3032" s="74" t="s">
        <v>27800</v>
      </c>
      <c r="C3032" s="75" t="s">
        <v>466</v>
      </c>
      <c r="D3032" s="176">
        <v>25522.5</v>
      </c>
      <c r="E3032" s="151">
        <v>44803</v>
      </c>
      <c r="F3032" s="176">
        <v>25522.5</v>
      </c>
      <c r="G3032" s="177">
        <f>Tabla19[[#This Row],[Importe]]-Tabla19[[#This Row],[Pagado]]</f>
        <v>0</v>
      </c>
      <c r="H3032" s="75" t="s">
        <v>10</v>
      </c>
    </row>
    <row r="3033" spans="1:8" x14ac:dyDescent="0.25">
      <c r="A3033" s="148">
        <v>44803</v>
      </c>
      <c r="B3033" s="149" t="s">
        <v>27801</v>
      </c>
      <c r="C3033" s="153" t="s">
        <v>16</v>
      </c>
      <c r="D3033" s="178">
        <v>6332.4</v>
      </c>
      <c r="E3033" s="155">
        <v>44803</v>
      </c>
      <c r="F3033" s="178">
        <v>6332.4</v>
      </c>
      <c r="G3033" s="179">
        <f>Tabla19[[#This Row],[Importe]]-Tabla19[[#This Row],[Pagado]]</f>
        <v>0</v>
      </c>
      <c r="H3033" s="153" t="s">
        <v>10</v>
      </c>
    </row>
    <row r="3034" spans="1:8" x14ac:dyDescent="0.25">
      <c r="A3034" s="73">
        <v>44803</v>
      </c>
      <c r="B3034" s="74" t="s">
        <v>27802</v>
      </c>
      <c r="C3034" s="75" t="s">
        <v>107</v>
      </c>
      <c r="D3034" s="176">
        <v>16386.900000000001</v>
      </c>
      <c r="E3034" s="151">
        <v>44803</v>
      </c>
      <c r="F3034" s="176">
        <v>16386.900000000001</v>
      </c>
      <c r="G3034" s="177">
        <f>Tabla19[[#This Row],[Importe]]-Tabla19[[#This Row],[Pagado]]</f>
        <v>0</v>
      </c>
      <c r="H3034" s="75" t="s">
        <v>10</v>
      </c>
    </row>
    <row r="3035" spans="1:8" x14ac:dyDescent="0.25">
      <c r="A3035" s="148">
        <v>44803</v>
      </c>
      <c r="B3035" s="149" t="s">
        <v>27803</v>
      </c>
      <c r="C3035" s="153" t="s">
        <v>214</v>
      </c>
      <c r="D3035" s="178">
        <v>5472</v>
      </c>
      <c r="E3035" s="155">
        <v>44803</v>
      </c>
      <c r="F3035" s="178">
        <v>5472</v>
      </c>
      <c r="G3035" s="179">
        <f>Tabla19[[#This Row],[Importe]]-Tabla19[[#This Row],[Pagado]]</f>
        <v>0</v>
      </c>
      <c r="H3035" s="153" t="s">
        <v>10</v>
      </c>
    </row>
    <row r="3036" spans="1:8" x14ac:dyDescent="0.25">
      <c r="A3036" s="73">
        <v>44803</v>
      </c>
      <c r="B3036" s="74" t="s">
        <v>27804</v>
      </c>
      <c r="C3036" s="75" t="s">
        <v>53</v>
      </c>
      <c r="D3036" s="176">
        <v>3075</v>
      </c>
      <c r="E3036" s="151">
        <v>44803</v>
      </c>
      <c r="F3036" s="176">
        <v>3075</v>
      </c>
      <c r="G3036" s="177">
        <f>Tabla19[[#This Row],[Importe]]-Tabla19[[#This Row],[Pagado]]</f>
        <v>0</v>
      </c>
      <c r="H3036" s="75" t="s">
        <v>10</v>
      </c>
    </row>
    <row r="3037" spans="1:8" x14ac:dyDescent="0.25">
      <c r="A3037" s="148">
        <v>44803</v>
      </c>
      <c r="B3037" s="149" t="s">
        <v>27805</v>
      </c>
      <c r="C3037" s="153" t="s">
        <v>314</v>
      </c>
      <c r="D3037" s="178">
        <v>2264.4</v>
      </c>
      <c r="E3037" s="155">
        <v>44803</v>
      </c>
      <c r="F3037" s="178">
        <v>2264.4</v>
      </c>
      <c r="G3037" s="179">
        <f>Tabla19[[#This Row],[Importe]]-Tabla19[[#This Row],[Pagado]]</f>
        <v>0</v>
      </c>
      <c r="H3037" s="153" t="s">
        <v>10</v>
      </c>
    </row>
    <row r="3038" spans="1:8" x14ac:dyDescent="0.25">
      <c r="A3038" s="73">
        <v>44803</v>
      </c>
      <c r="B3038" s="74" t="s">
        <v>27806</v>
      </c>
      <c r="C3038" s="75" t="s">
        <v>87</v>
      </c>
      <c r="D3038" s="176">
        <v>2163.8000000000002</v>
      </c>
      <c r="E3038" s="151">
        <v>44803</v>
      </c>
      <c r="F3038" s="176">
        <v>2163.8000000000002</v>
      </c>
      <c r="G3038" s="177">
        <f>Tabla19[[#This Row],[Importe]]-Tabla19[[#This Row],[Pagado]]</f>
        <v>0</v>
      </c>
      <c r="H3038" s="75" t="s">
        <v>10</v>
      </c>
    </row>
    <row r="3039" spans="1:8" x14ac:dyDescent="0.25">
      <c r="A3039" s="148">
        <v>44803</v>
      </c>
      <c r="B3039" s="149" t="s">
        <v>27807</v>
      </c>
      <c r="C3039" s="153" t="s">
        <v>149</v>
      </c>
      <c r="D3039" s="178">
        <v>748.8</v>
      </c>
      <c r="E3039" s="155">
        <v>44803</v>
      </c>
      <c r="F3039" s="178">
        <v>748.8</v>
      </c>
      <c r="G3039" s="179">
        <f>Tabla19[[#This Row],[Importe]]-Tabla19[[#This Row],[Pagado]]</f>
        <v>0</v>
      </c>
      <c r="H3039" s="153" t="s">
        <v>10</v>
      </c>
    </row>
    <row r="3040" spans="1:8" x14ac:dyDescent="0.25">
      <c r="A3040" s="73">
        <v>44803</v>
      </c>
      <c r="B3040" s="74" t="s">
        <v>27808</v>
      </c>
      <c r="C3040" s="75" t="s">
        <v>289</v>
      </c>
      <c r="D3040" s="176">
        <v>11851.2</v>
      </c>
      <c r="E3040" s="151">
        <v>44803</v>
      </c>
      <c r="F3040" s="176">
        <v>11851.2</v>
      </c>
      <c r="G3040" s="177">
        <f>Tabla19[[#This Row],[Importe]]-Tabla19[[#This Row],[Pagado]]</f>
        <v>0</v>
      </c>
      <c r="H3040" s="75" t="s">
        <v>10</v>
      </c>
    </row>
    <row r="3041" spans="1:8" x14ac:dyDescent="0.25">
      <c r="A3041" s="148">
        <v>44803</v>
      </c>
      <c r="B3041" s="149" t="s">
        <v>27809</v>
      </c>
      <c r="C3041" s="153" t="s">
        <v>357</v>
      </c>
      <c r="D3041" s="178">
        <v>741</v>
      </c>
      <c r="E3041" s="155">
        <v>44803</v>
      </c>
      <c r="F3041" s="178">
        <v>741</v>
      </c>
      <c r="G3041" s="179">
        <f>Tabla19[[#This Row],[Importe]]-Tabla19[[#This Row],[Pagado]]</f>
        <v>0</v>
      </c>
      <c r="H3041" s="153" t="s">
        <v>10</v>
      </c>
    </row>
    <row r="3042" spans="1:8" x14ac:dyDescent="0.25">
      <c r="A3042" s="73">
        <v>44803</v>
      </c>
      <c r="B3042" s="74" t="s">
        <v>27810</v>
      </c>
      <c r="C3042" s="75" t="s">
        <v>339</v>
      </c>
      <c r="D3042" s="176">
        <v>1341.6</v>
      </c>
      <c r="E3042" s="151">
        <v>44803</v>
      </c>
      <c r="F3042" s="176">
        <v>1341.6</v>
      </c>
      <c r="G3042" s="177">
        <f>Tabla19[[#This Row],[Importe]]-Tabla19[[#This Row],[Pagado]]</f>
        <v>0</v>
      </c>
      <c r="H3042" s="75" t="s">
        <v>10</v>
      </c>
    </row>
    <row r="3043" spans="1:8" x14ac:dyDescent="0.25">
      <c r="A3043" s="148">
        <v>44803</v>
      </c>
      <c r="B3043" s="149" t="s">
        <v>27811</v>
      </c>
      <c r="C3043" s="153" t="s">
        <v>670</v>
      </c>
      <c r="D3043" s="178">
        <v>4715.8</v>
      </c>
      <c r="E3043" s="155">
        <v>44804</v>
      </c>
      <c r="F3043" s="178">
        <v>4715.8</v>
      </c>
      <c r="G3043" s="179">
        <f>Tabla19[[#This Row],[Importe]]-Tabla19[[#This Row],[Pagado]]</f>
        <v>0</v>
      </c>
      <c r="H3043" s="153" t="s">
        <v>10</v>
      </c>
    </row>
    <row r="3044" spans="1:8" x14ac:dyDescent="0.25">
      <c r="A3044" s="73">
        <v>44803</v>
      </c>
      <c r="B3044" s="74" t="s">
        <v>27812</v>
      </c>
      <c r="C3044" s="75" t="s">
        <v>9587</v>
      </c>
      <c r="D3044" s="176">
        <v>14880</v>
      </c>
      <c r="E3044" s="151">
        <v>44803</v>
      </c>
      <c r="F3044" s="176">
        <v>14880</v>
      </c>
      <c r="G3044" s="177">
        <f>Tabla19[[#This Row],[Importe]]-Tabla19[[#This Row],[Pagado]]</f>
        <v>0</v>
      </c>
      <c r="H3044" s="75" t="s">
        <v>10</v>
      </c>
    </row>
    <row r="3045" spans="1:8" x14ac:dyDescent="0.25">
      <c r="A3045" s="148">
        <v>44803</v>
      </c>
      <c r="B3045" s="149" t="s">
        <v>27813</v>
      </c>
      <c r="C3045" s="153" t="s">
        <v>146</v>
      </c>
      <c r="D3045" s="178">
        <v>4968.6000000000004</v>
      </c>
      <c r="E3045" s="155">
        <v>44803</v>
      </c>
      <c r="F3045" s="178">
        <v>4968.6000000000004</v>
      </c>
      <c r="G3045" s="179">
        <f>Tabla19[[#This Row],[Importe]]-Tabla19[[#This Row],[Pagado]]</f>
        <v>0</v>
      </c>
      <c r="H3045" s="153" t="s">
        <v>10</v>
      </c>
    </row>
    <row r="3046" spans="1:8" x14ac:dyDescent="0.25">
      <c r="A3046" s="73">
        <v>44803</v>
      </c>
      <c r="B3046" s="74" t="s">
        <v>27814</v>
      </c>
      <c r="C3046" s="75" t="s">
        <v>79</v>
      </c>
      <c r="D3046" s="176">
        <v>16413.8</v>
      </c>
      <c r="E3046" s="151">
        <v>44803</v>
      </c>
      <c r="F3046" s="176">
        <v>16413.8</v>
      </c>
      <c r="G3046" s="177">
        <f>Tabla19[[#This Row],[Importe]]-Tabla19[[#This Row],[Pagado]]</f>
        <v>0</v>
      </c>
      <c r="H3046" s="75" t="s">
        <v>10</v>
      </c>
    </row>
    <row r="3047" spans="1:8" x14ac:dyDescent="0.25">
      <c r="A3047" s="148">
        <v>44803</v>
      </c>
      <c r="B3047" s="149" t="s">
        <v>27815</v>
      </c>
      <c r="C3047" s="153" t="s">
        <v>45</v>
      </c>
      <c r="D3047" s="178">
        <v>11995.2</v>
      </c>
      <c r="E3047" s="155">
        <v>44803</v>
      </c>
      <c r="F3047" s="178">
        <v>11995.2</v>
      </c>
      <c r="G3047" s="179">
        <f>Tabla19[[#This Row],[Importe]]-Tabla19[[#This Row],[Pagado]]</f>
        <v>0</v>
      </c>
      <c r="H3047" s="153" t="s">
        <v>10</v>
      </c>
    </row>
    <row r="3048" spans="1:8" x14ac:dyDescent="0.25">
      <c r="A3048" s="73">
        <v>44803</v>
      </c>
      <c r="B3048" s="74" t="s">
        <v>27816</v>
      </c>
      <c r="C3048" s="75" t="s">
        <v>31</v>
      </c>
      <c r="D3048" s="176">
        <v>4192</v>
      </c>
      <c r="E3048" s="151">
        <v>44803</v>
      </c>
      <c r="F3048" s="176">
        <v>4192</v>
      </c>
      <c r="G3048" s="177">
        <f>Tabla19[[#This Row],[Importe]]-Tabla19[[#This Row],[Pagado]]</f>
        <v>0</v>
      </c>
      <c r="H3048" s="75" t="s">
        <v>10</v>
      </c>
    </row>
    <row r="3049" spans="1:8" x14ac:dyDescent="0.25">
      <c r="A3049" s="148">
        <v>44803</v>
      </c>
      <c r="B3049" s="149" t="s">
        <v>27817</v>
      </c>
      <c r="C3049" s="153" t="s">
        <v>214</v>
      </c>
      <c r="D3049" s="178">
        <v>1576.2</v>
      </c>
      <c r="E3049" s="155">
        <v>44803</v>
      </c>
      <c r="F3049" s="178">
        <v>1576.2</v>
      </c>
      <c r="G3049" s="179">
        <f>Tabla19[[#This Row],[Importe]]-Tabla19[[#This Row],[Pagado]]</f>
        <v>0</v>
      </c>
      <c r="H3049" s="153" t="s">
        <v>10</v>
      </c>
    </row>
    <row r="3050" spans="1:8" x14ac:dyDescent="0.25">
      <c r="A3050" s="73">
        <v>44803</v>
      </c>
      <c r="B3050" s="74" t="s">
        <v>27818</v>
      </c>
      <c r="C3050" s="75" t="s">
        <v>83</v>
      </c>
      <c r="D3050" s="176">
        <v>8505.7999999999993</v>
      </c>
      <c r="E3050" s="151">
        <v>44803</v>
      </c>
      <c r="F3050" s="176">
        <v>8505.7999999999993</v>
      </c>
      <c r="G3050" s="177">
        <f>Tabla19[[#This Row],[Importe]]-Tabla19[[#This Row],[Pagado]]</f>
        <v>0</v>
      </c>
      <c r="H3050" s="75" t="s">
        <v>10</v>
      </c>
    </row>
    <row r="3051" spans="1:8" x14ac:dyDescent="0.25">
      <c r="A3051" s="148">
        <v>44803</v>
      </c>
      <c r="B3051" s="149" t="s">
        <v>27819</v>
      </c>
      <c r="C3051" s="153" t="s">
        <v>348</v>
      </c>
      <c r="D3051" s="178">
        <v>3555</v>
      </c>
      <c r="E3051" s="155">
        <v>44803</v>
      </c>
      <c r="F3051" s="178">
        <v>3555</v>
      </c>
      <c r="G3051" s="179">
        <f>Tabla19[[#This Row],[Importe]]-Tabla19[[#This Row],[Pagado]]</f>
        <v>0</v>
      </c>
      <c r="H3051" s="153" t="s">
        <v>10</v>
      </c>
    </row>
    <row r="3052" spans="1:8" x14ac:dyDescent="0.25">
      <c r="A3052" s="73">
        <v>44803</v>
      </c>
      <c r="B3052" s="74" t="s">
        <v>27820</v>
      </c>
      <c r="C3052" s="75" t="s">
        <v>127</v>
      </c>
      <c r="D3052" s="176">
        <v>4610.2</v>
      </c>
      <c r="E3052" s="151">
        <v>44803</v>
      </c>
      <c r="F3052" s="176">
        <v>4610.2</v>
      </c>
      <c r="G3052" s="177">
        <f>Tabla19[[#This Row],[Importe]]-Tabla19[[#This Row],[Pagado]]</f>
        <v>0</v>
      </c>
      <c r="H3052" s="75" t="s">
        <v>10</v>
      </c>
    </row>
    <row r="3053" spans="1:8" x14ac:dyDescent="0.25">
      <c r="A3053" s="148">
        <v>44803</v>
      </c>
      <c r="B3053" s="149" t="s">
        <v>27821</v>
      </c>
      <c r="C3053" s="153" t="s">
        <v>140</v>
      </c>
      <c r="D3053" s="178">
        <v>4262.3999999999996</v>
      </c>
      <c r="E3053" s="155">
        <v>44803</v>
      </c>
      <c r="F3053" s="178">
        <v>4262.3999999999996</v>
      </c>
      <c r="G3053" s="179">
        <f>Tabla19[[#This Row],[Importe]]-Tabla19[[#This Row],[Pagado]]</f>
        <v>0</v>
      </c>
      <c r="H3053" s="153" t="s">
        <v>10</v>
      </c>
    </row>
    <row r="3054" spans="1:8" x14ac:dyDescent="0.25">
      <c r="A3054" s="73">
        <v>44803</v>
      </c>
      <c r="B3054" s="74" t="s">
        <v>27822</v>
      </c>
      <c r="C3054" s="75" t="s">
        <v>226</v>
      </c>
      <c r="D3054" s="176">
        <v>11403</v>
      </c>
      <c r="E3054" s="151">
        <v>44803</v>
      </c>
      <c r="F3054" s="176">
        <v>11403</v>
      </c>
      <c r="G3054" s="177">
        <f>Tabla19[[#This Row],[Importe]]-Tabla19[[#This Row],[Pagado]]</f>
        <v>0</v>
      </c>
      <c r="H3054" s="75" t="s">
        <v>10</v>
      </c>
    </row>
    <row r="3055" spans="1:8" x14ac:dyDescent="0.25">
      <c r="A3055" s="148">
        <v>44803</v>
      </c>
      <c r="B3055" s="149" t="s">
        <v>27823</v>
      </c>
      <c r="C3055" s="153" t="s">
        <v>698</v>
      </c>
      <c r="D3055" s="178">
        <v>3336.1</v>
      </c>
      <c r="E3055" s="155">
        <v>44803</v>
      </c>
      <c r="F3055" s="178">
        <v>3336.1</v>
      </c>
      <c r="G3055" s="179">
        <f>Tabla19[[#This Row],[Importe]]-Tabla19[[#This Row],[Pagado]]</f>
        <v>0</v>
      </c>
      <c r="H3055" s="153" t="s">
        <v>10</v>
      </c>
    </row>
    <row r="3056" spans="1:8" x14ac:dyDescent="0.25">
      <c r="A3056" s="73">
        <v>44803</v>
      </c>
      <c r="B3056" s="74" t="s">
        <v>27824</v>
      </c>
      <c r="C3056" s="75" t="s">
        <v>24</v>
      </c>
      <c r="D3056" s="176">
        <v>5330.8</v>
      </c>
      <c r="E3056" s="151">
        <v>44803</v>
      </c>
      <c r="F3056" s="176">
        <v>5330.8</v>
      </c>
      <c r="G3056" s="177">
        <f>Tabla19[[#This Row],[Importe]]-Tabla19[[#This Row],[Pagado]]</f>
        <v>0</v>
      </c>
      <c r="H3056" s="75" t="s">
        <v>10</v>
      </c>
    </row>
    <row r="3057" spans="1:8" x14ac:dyDescent="0.25">
      <c r="A3057" s="148">
        <v>44803</v>
      </c>
      <c r="B3057" s="149" t="s">
        <v>27825</v>
      </c>
      <c r="C3057" s="153" t="s">
        <v>31</v>
      </c>
      <c r="D3057" s="178">
        <v>2685.6</v>
      </c>
      <c r="E3057" s="155">
        <v>44803</v>
      </c>
      <c r="F3057" s="178">
        <v>2685.6</v>
      </c>
      <c r="G3057" s="179">
        <f>Tabla19[[#This Row],[Importe]]-Tabla19[[#This Row],[Pagado]]</f>
        <v>0</v>
      </c>
      <c r="H3057" s="153" t="s">
        <v>10</v>
      </c>
    </row>
    <row r="3058" spans="1:8" x14ac:dyDescent="0.25">
      <c r="A3058" s="73">
        <v>44803</v>
      </c>
      <c r="B3058" s="74" t="s">
        <v>27826</v>
      </c>
      <c r="C3058" s="75" t="s">
        <v>191</v>
      </c>
      <c r="D3058" s="176">
        <v>2190</v>
      </c>
      <c r="E3058" s="151">
        <v>44803</v>
      </c>
      <c r="F3058" s="176">
        <v>2190</v>
      </c>
      <c r="G3058" s="177">
        <f>Tabla19[[#This Row],[Importe]]-Tabla19[[#This Row],[Pagado]]</f>
        <v>0</v>
      </c>
      <c r="H3058" s="75" t="s">
        <v>10</v>
      </c>
    </row>
    <row r="3059" spans="1:8" ht="31.5" x14ac:dyDescent="0.25">
      <c r="A3059" s="148">
        <v>44803</v>
      </c>
      <c r="B3059" s="149" t="s">
        <v>27827</v>
      </c>
      <c r="C3059" s="160" t="s">
        <v>17856</v>
      </c>
      <c r="D3059" s="178">
        <v>0</v>
      </c>
      <c r="E3059" s="158" t="s">
        <v>189</v>
      </c>
      <c r="F3059" s="178">
        <v>0</v>
      </c>
      <c r="G3059" s="179">
        <f>Tabla19[[#This Row],[Importe]]-Tabla19[[#This Row],[Pagado]]</f>
        <v>0</v>
      </c>
      <c r="H3059" s="159" t="s">
        <v>27828</v>
      </c>
    </row>
    <row r="3060" spans="1:8" x14ac:dyDescent="0.25">
      <c r="A3060" s="73">
        <v>44803</v>
      </c>
      <c r="B3060" s="74" t="s">
        <v>27829</v>
      </c>
      <c r="C3060" s="75" t="s">
        <v>24284</v>
      </c>
      <c r="D3060" s="176">
        <v>1258</v>
      </c>
      <c r="E3060" s="151">
        <v>44803</v>
      </c>
      <c r="F3060" s="176">
        <v>1258</v>
      </c>
      <c r="G3060" s="177">
        <f>Tabla19[[#This Row],[Importe]]-Tabla19[[#This Row],[Pagado]]</f>
        <v>0</v>
      </c>
      <c r="H3060" s="75" t="s">
        <v>10</v>
      </c>
    </row>
    <row r="3061" spans="1:8" x14ac:dyDescent="0.25">
      <c r="A3061" s="148">
        <v>44803</v>
      </c>
      <c r="B3061" s="149" t="s">
        <v>27830</v>
      </c>
      <c r="C3061" s="153" t="s">
        <v>396</v>
      </c>
      <c r="D3061" s="178">
        <v>19197.7</v>
      </c>
      <c r="E3061" s="155">
        <v>44805</v>
      </c>
      <c r="F3061" s="178">
        <v>19197.7</v>
      </c>
      <c r="G3061" s="179">
        <f>Tabla19[[#This Row],[Importe]]-Tabla19[[#This Row],[Pagado]]</f>
        <v>0</v>
      </c>
      <c r="H3061" s="153" t="s">
        <v>10</v>
      </c>
    </row>
    <row r="3062" spans="1:8" x14ac:dyDescent="0.25">
      <c r="A3062" s="73">
        <v>44803</v>
      </c>
      <c r="B3062" s="74" t="s">
        <v>27831</v>
      </c>
      <c r="C3062" s="75" t="s">
        <v>233</v>
      </c>
      <c r="D3062" s="176">
        <v>4669</v>
      </c>
      <c r="E3062" s="151">
        <v>44803</v>
      </c>
      <c r="F3062" s="176">
        <v>4669</v>
      </c>
      <c r="G3062" s="177">
        <f>Tabla19[[#This Row],[Importe]]-Tabla19[[#This Row],[Pagado]]</f>
        <v>0</v>
      </c>
      <c r="H3062" s="75" t="s">
        <v>10</v>
      </c>
    </row>
    <row r="3063" spans="1:8" x14ac:dyDescent="0.25">
      <c r="A3063" s="148">
        <v>44803</v>
      </c>
      <c r="B3063" s="149" t="s">
        <v>27832</v>
      </c>
      <c r="C3063" s="153" t="s">
        <v>1003</v>
      </c>
      <c r="D3063" s="178">
        <v>3551.8</v>
      </c>
      <c r="E3063" s="155">
        <v>44806</v>
      </c>
      <c r="F3063" s="178">
        <v>3551.8</v>
      </c>
      <c r="G3063" s="179">
        <f>Tabla19[[#This Row],[Importe]]-Tabla19[[#This Row],[Pagado]]</f>
        <v>0</v>
      </c>
      <c r="H3063" s="153" t="s">
        <v>10</v>
      </c>
    </row>
    <row r="3064" spans="1:8" x14ac:dyDescent="0.25">
      <c r="A3064" s="73">
        <v>44803</v>
      </c>
      <c r="B3064" s="74" t="s">
        <v>27833</v>
      </c>
      <c r="C3064" s="75" t="s">
        <v>62</v>
      </c>
      <c r="D3064" s="176">
        <v>4262.3999999999996</v>
      </c>
      <c r="E3064" s="151">
        <v>44803</v>
      </c>
      <c r="F3064" s="176">
        <v>4262.3999999999996</v>
      </c>
      <c r="G3064" s="177">
        <f>Tabla19[[#This Row],[Importe]]-Tabla19[[#This Row],[Pagado]]</f>
        <v>0</v>
      </c>
      <c r="H3064" s="75" t="s">
        <v>10</v>
      </c>
    </row>
    <row r="3065" spans="1:8" x14ac:dyDescent="0.25">
      <c r="A3065" s="148">
        <v>44803</v>
      </c>
      <c r="B3065" s="149" t="s">
        <v>27834</v>
      </c>
      <c r="C3065" s="153" t="s">
        <v>654</v>
      </c>
      <c r="D3065" s="178">
        <v>6904</v>
      </c>
      <c r="E3065" s="155">
        <v>44803</v>
      </c>
      <c r="F3065" s="178">
        <v>6904</v>
      </c>
      <c r="G3065" s="179">
        <f>Tabla19[[#This Row],[Importe]]-Tabla19[[#This Row],[Pagado]]</f>
        <v>0</v>
      </c>
      <c r="H3065" s="153" t="s">
        <v>10</v>
      </c>
    </row>
    <row r="3066" spans="1:8" x14ac:dyDescent="0.25">
      <c r="A3066" s="73">
        <v>44803</v>
      </c>
      <c r="B3066" s="74" t="s">
        <v>27835</v>
      </c>
      <c r="C3066" s="75" t="s">
        <v>167</v>
      </c>
      <c r="D3066" s="176">
        <v>52487.1</v>
      </c>
      <c r="E3066" s="151">
        <v>44803</v>
      </c>
      <c r="F3066" s="176">
        <v>52487.1</v>
      </c>
      <c r="G3066" s="177">
        <f>Tabla19[[#This Row],[Importe]]-Tabla19[[#This Row],[Pagado]]</f>
        <v>0</v>
      </c>
      <c r="H3066" s="75" t="s">
        <v>10</v>
      </c>
    </row>
    <row r="3067" spans="1:8" x14ac:dyDescent="0.25">
      <c r="A3067" s="148">
        <v>44803</v>
      </c>
      <c r="B3067" s="149" t="s">
        <v>27836</v>
      </c>
      <c r="C3067" s="153" t="s">
        <v>157</v>
      </c>
      <c r="D3067" s="178">
        <v>5615.4</v>
      </c>
      <c r="E3067" s="155">
        <v>44804</v>
      </c>
      <c r="F3067" s="178">
        <v>5615.4</v>
      </c>
      <c r="G3067" s="179">
        <f>Tabla19[[#This Row],[Importe]]-Tabla19[[#This Row],[Pagado]]</f>
        <v>0</v>
      </c>
      <c r="H3067" s="153" t="s">
        <v>10</v>
      </c>
    </row>
    <row r="3068" spans="1:8" x14ac:dyDescent="0.25">
      <c r="A3068" s="73">
        <v>44803</v>
      </c>
      <c r="B3068" s="74" t="s">
        <v>27837</v>
      </c>
      <c r="C3068" s="75" t="s">
        <v>518</v>
      </c>
      <c r="D3068" s="176">
        <v>1533.6</v>
      </c>
      <c r="E3068" s="151">
        <v>44804</v>
      </c>
      <c r="F3068" s="176">
        <v>1533.6</v>
      </c>
      <c r="G3068" s="177">
        <f>Tabla19[[#This Row],[Importe]]-Tabla19[[#This Row],[Pagado]]</f>
        <v>0</v>
      </c>
      <c r="H3068" s="75" t="s">
        <v>10</v>
      </c>
    </row>
    <row r="3069" spans="1:8" x14ac:dyDescent="0.25">
      <c r="A3069" s="148">
        <v>44803</v>
      </c>
      <c r="B3069" s="149" t="s">
        <v>27838</v>
      </c>
      <c r="C3069" s="153" t="s">
        <v>159</v>
      </c>
      <c r="D3069" s="178">
        <v>2143.8000000000002</v>
      </c>
      <c r="E3069" s="155">
        <v>44804</v>
      </c>
      <c r="F3069" s="178">
        <v>2143.8000000000002</v>
      </c>
      <c r="G3069" s="179">
        <f>Tabla19[[#This Row],[Importe]]-Tabla19[[#This Row],[Pagado]]</f>
        <v>0</v>
      </c>
      <c r="H3069" s="153" t="s">
        <v>10</v>
      </c>
    </row>
    <row r="3070" spans="1:8" ht="31.5" x14ac:dyDescent="0.25">
      <c r="A3070" s="73">
        <v>44803</v>
      </c>
      <c r="B3070" s="74" t="s">
        <v>27839</v>
      </c>
      <c r="C3070" s="75" t="s">
        <v>10840</v>
      </c>
      <c r="D3070" s="176">
        <v>44353.2</v>
      </c>
      <c r="E3070" s="147" t="s">
        <v>28004</v>
      </c>
      <c r="F3070" s="176">
        <f>36353+8000.2</f>
        <v>44353.2</v>
      </c>
      <c r="G3070" s="177">
        <f>Tabla19[[#This Row],[Importe]]-Tabla19[[#This Row],[Pagado]]</f>
        <v>0</v>
      </c>
      <c r="H3070" s="75" t="s">
        <v>1695</v>
      </c>
    </row>
    <row r="3071" spans="1:8" x14ac:dyDescent="0.25">
      <c r="A3071" s="148">
        <v>44803</v>
      </c>
      <c r="B3071" s="149" t="s">
        <v>27840</v>
      </c>
      <c r="C3071" s="153" t="s">
        <v>10678</v>
      </c>
      <c r="D3071" s="178">
        <v>2323.9</v>
      </c>
      <c r="E3071" s="155">
        <v>44803</v>
      </c>
      <c r="F3071" s="178">
        <v>2323.9</v>
      </c>
      <c r="G3071" s="179">
        <f>Tabla19[[#This Row],[Importe]]-Tabla19[[#This Row],[Pagado]]</f>
        <v>0</v>
      </c>
      <c r="H3071" s="153" t="s">
        <v>10</v>
      </c>
    </row>
    <row r="3072" spans="1:8" x14ac:dyDescent="0.25">
      <c r="A3072" s="73">
        <v>44803</v>
      </c>
      <c r="B3072" s="74" t="s">
        <v>27841</v>
      </c>
      <c r="C3072" s="75" t="s">
        <v>475</v>
      </c>
      <c r="D3072" s="176">
        <v>9924.9</v>
      </c>
      <c r="E3072" s="151">
        <v>44803</v>
      </c>
      <c r="F3072" s="176">
        <v>9924.9</v>
      </c>
      <c r="G3072" s="177">
        <f>Tabla19[[#This Row],[Importe]]-Tabla19[[#This Row],[Pagado]]</f>
        <v>0</v>
      </c>
      <c r="H3072" s="75" t="s">
        <v>10</v>
      </c>
    </row>
    <row r="3073" spans="1:8" x14ac:dyDescent="0.25">
      <c r="A3073" s="148">
        <v>44803</v>
      </c>
      <c r="B3073" s="149" t="s">
        <v>27842</v>
      </c>
      <c r="C3073" s="153" t="s">
        <v>14</v>
      </c>
      <c r="D3073" s="178">
        <v>18456.2</v>
      </c>
      <c r="E3073" s="155">
        <v>44803</v>
      </c>
      <c r="F3073" s="178">
        <v>18456.2</v>
      </c>
      <c r="G3073" s="179">
        <f>Tabla19[[#This Row],[Importe]]-Tabla19[[#This Row],[Pagado]]</f>
        <v>0</v>
      </c>
      <c r="H3073" s="153" t="s">
        <v>10</v>
      </c>
    </row>
    <row r="3074" spans="1:8" x14ac:dyDescent="0.25">
      <c r="A3074" s="73">
        <v>44803</v>
      </c>
      <c r="B3074" s="74" t="s">
        <v>27843</v>
      </c>
      <c r="C3074" s="75" t="s">
        <v>14</v>
      </c>
      <c r="D3074" s="176">
        <v>3460.6</v>
      </c>
      <c r="E3074" s="151">
        <v>44803</v>
      </c>
      <c r="F3074" s="176">
        <v>3460.6</v>
      </c>
      <c r="G3074" s="177">
        <f>Tabla19[[#This Row],[Importe]]-Tabla19[[#This Row],[Pagado]]</f>
        <v>0</v>
      </c>
      <c r="H3074" s="75" t="s">
        <v>10</v>
      </c>
    </row>
    <row r="3075" spans="1:8" x14ac:dyDescent="0.25">
      <c r="A3075" s="148">
        <v>44803</v>
      </c>
      <c r="B3075" s="149" t="s">
        <v>27844</v>
      </c>
      <c r="C3075" s="153" t="s">
        <v>31</v>
      </c>
      <c r="D3075" s="178">
        <v>748.5</v>
      </c>
      <c r="E3075" s="155">
        <v>44803</v>
      </c>
      <c r="F3075" s="178">
        <v>748.5</v>
      </c>
      <c r="G3075" s="179">
        <f>Tabla19[[#This Row],[Importe]]-Tabla19[[#This Row],[Pagado]]</f>
        <v>0</v>
      </c>
      <c r="H3075" s="153" t="s">
        <v>10</v>
      </c>
    </row>
    <row r="3076" spans="1:8" x14ac:dyDescent="0.25">
      <c r="A3076" s="73">
        <v>44803</v>
      </c>
      <c r="B3076" s="74" t="s">
        <v>27845</v>
      </c>
      <c r="C3076" s="75" t="s">
        <v>419</v>
      </c>
      <c r="D3076" s="176">
        <v>10016.5</v>
      </c>
      <c r="E3076" s="151">
        <v>44803</v>
      </c>
      <c r="F3076" s="176">
        <v>10016.5</v>
      </c>
      <c r="G3076" s="177">
        <f>Tabla19[[#This Row],[Importe]]-Tabla19[[#This Row],[Pagado]]</f>
        <v>0</v>
      </c>
      <c r="H3076" s="75" t="s">
        <v>10</v>
      </c>
    </row>
    <row r="3077" spans="1:8" x14ac:dyDescent="0.25">
      <c r="A3077" s="148">
        <v>44803</v>
      </c>
      <c r="B3077" s="149" t="s">
        <v>27846</v>
      </c>
      <c r="C3077" s="153" t="s">
        <v>419</v>
      </c>
      <c r="D3077" s="178">
        <v>240</v>
      </c>
      <c r="E3077" s="155">
        <v>44803</v>
      </c>
      <c r="F3077" s="178">
        <v>240</v>
      </c>
      <c r="G3077" s="179">
        <f>Tabla19[[#This Row],[Importe]]-Tabla19[[#This Row],[Pagado]]</f>
        <v>0</v>
      </c>
      <c r="H3077" s="153" t="s">
        <v>10</v>
      </c>
    </row>
    <row r="3078" spans="1:8" x14ac:dyDescent="0.25">
      <c r="A3078" s="73">
        <v>44803</v>
      </c>
      <c r="B3078" s="74" t="s">
        <v>27847</v>
      </c>
      <c r="C3078" s="75" t="s">
        <v>419</v>
      </c>
      <c r="D3078" s="176">
        <v>160</v>
      </c>
      <c r="E3078" s="151">
        <v>44803</v>
      </c>
      <c r="F3078" s="176">
        <v>160</v>
      </c>
      <c r="G3078" s="177">
        <f>Tabla19[[#This Row],[Importe]]-Tabla19[[#This Row],[Pagado]]</f>
        <v>0</v>
      </c>
      <c r="H3078" s="75" t="s">
        <v>10</v>
      </c>
    </row>
    <row r="3079" spans="1:8" x14ac:dyDescent="0.25">
      <c r="A3079" s="148">
        <v>44803</v>
      </c>
      <c r="B3079" s="149" t="s">
        <v>27848</v>
      </c>
      <c r="C3079" s="153" t="s">
        <v>31</v>
      </c>
      <c r="D3079" s="178">
        <v>584.6</v>
      </c>
      <c r="E3079" s="155">
        <v>44803</v>
      </c>
      <c r="F3079" s="178">
        <v>584.6</v>
      </c>
      <c r="G3079" s="179">
        <f>Tabla19[[#This Row],[Importe]]-Tabla19[[#This Row],[Pagado]]</f>
        <v>0</v>
      </c>
      <c r="H3079" s="153" t="s">
        <v>10</v>
      </c>
    </row>
    <row r="3080" spans="1:8" x14ac:dyDescent="0.25">
      <c r="A3080" s="73">
        <v>44803</v>
      </c>
      <c r="B3080" s="74" t="s">
        <v>27849</v>
      </c>
      <c r="C3080" s="75" t="s">
        <v>520</v>
      </c>
      <c r="D3080" s="176">
        <v>11179.6</v>
      </c>
      <c r="E3080" s="151">
        <v>44804</v>
      </c>
      <c r="F3080" s="176">
        <v>11179.6</v>
      </c>
      <c r="G3080" s="177">
        <f>Tabla19[[#This Row],[Importe]]-Tabla19[[#This Row],[Pagado]]</f>
        <v>0</v>
      </c>
      <c r="H3080" s="75" t="s">
        <v>10</v>
      </c>
    </row>
    <row r="3081" spans="1:8" x14ac:dyDescent="0.25">
      <c r="A3081" s="148">
        <v>44803</v>
      </c>
      <c r="B3081" s="149" t="s">
        <v>27850</v>
      </c>
      <c r="C3081" s="153" t="s">
        <v>319</v>
      </c>
      <c r="D3081" s="178">
        <v>2397.6</v>
      </c>
      <c r="E3081" s="155">
        <v>44804</v>
      </c>
      <c r="F3081" s="178">
        <v>2397.6</v>
      </c>
      <c r="G3081" s="179">
        <f>Tabla19[[#This Row],[Importe]]-Tabla19[[#This Row],[Pagado]]</f>
        <v>0</v>
      </c>
      <c r="H3081" s="153" t="s">
        <v>10</v>
      </c>
    </row>
    <row r="3082" spans="1:8" x14ac:dyDescent="0.25">
      <c r="A3082" s="73">
        <v>44803</v>
      </c>
      <c r="B3082" s="74" t="s">
        <v>27851</v>
      </c>
      <c r="C3082" s="75" t="s">
        <v>151</v>
      </c>
      <c r="D3082" s="176">
        <v>12802.4</v>
      </c>
      <c r="E3082" s="151">
        <v>44804</v>
      </c>
      <c r="F3082" s="176">
        <v>12802.4</v>
      </c>
      <c r="G3082" s="177">
        <f>Tabla19[[#This Row],[Importe]]-Tabla19[[#This Row],[Pagado]]</f>
        <v>0</v>
      </c>
      <c r="H3082" s="75" t="s">
        <v>10</v>
      </c>
    </row>
    <row r="3083" spans="1:8" x14ac:dyDescent="0.25">
      <c r="A3083" s="148">
        <v>44803</v>
      </c>
      <c r="B3083" s="149" t="s">
        <v>27852</v>
      </c>
      <c r="C3083" s="153" t="s">
        <v>67</v>
      </c>
      <c r="D3083" s="178">
        <v>1820.4</v>
      </c>
      <c r="E3083" s="155">
        <v>44803</v>
      </c>
      <c r="F3083" s="178">
        <v>1820.4</v>
      </c>
      <c r="G3083" s="179">
        <f>Tabla19[[#This Row],[Importe]]-Tabla19[[#This Row],[Pagado]]</f>
        <v>0</v>
      </c>
      <c r="H3083" s="153" t="s">
        <v>10</v>
      </c>
    </row>
    <row r="3084" spans="1:8" x14ac:dyDescent="0.25">
      <c r="A3084" s="73">
        <v>44803</v>
      </c>
      <c r="B3084" s="74" t="s">
        <v>27853</v>
      </c>
      <c r="C3084" s="75" t="s">
        <v>932</v>
      </c>
      <c r="D3084" s="176">
        <v>5243</v>
      </c>
      <c r="E3084" s="151">
        <v>44804</v>
      </c>
      <c r="F3084" s="176">
        <v>5243</v>
      </c>
      <c r="G3084" s="177">
        <f>Tabla19[[#This Row],[Importe]]-Tabla19[[#This Row],[Pagado]]</f>
        <v>0</v>
      </c>
      <c r="H3084" s="75" t="s">
        <v>10</v>
      </c>
    </row>
    <row r="3085" spans="1:8" x14ac:dyDescent="0.25">
      <c r="A3085" s="148">
        <v>44803</v>
      </c>
      <c r="B3085" s="149" t="s">
        <v>27854</v>
      </c>
      <c r="C3085" s="153" t="s">
        <v>319</v>
      </c>
      <c r="D3085" s="178">
        <v>8234.2999999999993</v>
      </c>
      <c r="E3085" s="155">
        <v>44804</v>
      </c>
      <c r="F3085" s="178">
        <v>8234.2999999999993</v>
      </c>
      <c r="G3085" s="179">
        <f>Tabla19[[#This Row],[Importe]]-Tabla19[[#This Row],[Pagado]]</f>
        <v>0</v>
      </c>
      <c r="H3085" s="153" t="s">
        <v>10</v>
      </c>
    </row>
    <row r="3086" spans="1:8" x14ac:dyDescent="0.25">
      <c r="A3086" s="73">
        <v>44803</v>
      </c>
      <c r="B3086" s="74" t="s">
        <v>27855</v>
      </c>
      <c r="C3086" s="75" t="s">
        <v>159</v>
      </c>
      <c r="D3086" s="176">
        <v>5859</v>
      </c>
      <c r="E3086" s="151">
        <v>44804</v>
      </c>
      <c r="F3086" s="176">
        <v>5859</v>
      </c>
      <c r="G3086" s="177">
        <f>Tabla19[[#This Row],[Importe]]-Tabla19[[#This Row],[Pagado]]</f>
        <v>0</v>
      </c>
      <c r="H3086" s="75" t="s">
        <v>10</v>
      </c>
    </row>
    <row r="3087" spans="1:8" x14ac:dyDescent="0.25">
      <c r="A3087" s="148">
        <v>44803</v>
      </c>
      <c r="B3087" s="149" t="s">
        <v>27856</v>
      </c>
      <c r="C3087" s="153" t="s">
        <v>27857</v>
      </c>
      <c r="D3087" s="178">
        <v>0</v>
      </c>
      <c r="E3087" s="158" t="s">
        <v>189</v>
      </c>
      <c r="F3087" s="178">
        <v>0</v>
      </c>
      <c r="G3087" s="179">
        <f>Tabla19[[#This Row],[Importe]]-Tabla19[[#This Row],[Pagado]]</f>
        <v>0</v>
      </c>
      <c r="H3087" s="153" t="s">
        <v>27858</v>
      </c>
    </row>
    <row r="3088" spans="1:8" x14ac:dyDescent="0.25">
      <c r="A3088" s="73">
        <v>44803</v>
      </c>
      <c r="B3088" s="74" t="s">
        <v>27859</v>
      </c>
      <c r="C3088" s="75" t="s">
        <v>167</v>
      </c>
      <c r="D3088" s="176">
        <v>48609.8</v>
      </c>
      <c r="E3088" s="151">
        <v>44803</v>
      </c>
      <c r="F3088" s="176">
        <v>48609.8</v>
      </c>
      <c r="G3088" s="177">
        <f>Tabla19[[#This Row],[Importe]]-Tabla19[[#This Row],[Pagado]]</f>
        <v>0</v>
      </c>
      <c r="H3088" s="75" t="s">
        <v>10</v>
      </c>
    </row>
    <row r="3089" spans="1:8" x14ac:dyDescent="0.25">
      <c r="A3089" s="148">
        <v>44803</v>
      </c>
      <c r="B3089" s="149" t="s">
        <v>27860</v>
      </c>
      <c r="C3089" s="153" t="s">
        <v>31</v>
      </c>
      <c r="D3089" s="178">
        <v>391.5</v>
      </c>
      <c r="E3089" s="155">
        <v>44803</v>
      </c>
      <c r="F3089" s="178">
        <v>391.5</v>
      </c>
      <c r="G3089" s="179">
        <f>Tabla19[[#This Row],[Importe]]-Tabla19[[#This Row],[Pagado]]</f>
        <v>0</v>
      </c>
      <c r="H3089" s="153" t="s">
        <v>10</v>
      </c>
    </row>
    <row r="3090" spans="1:8" x14ac:dyDescent="0.25">
      <c r="A3090" s="73">
        <v>44803</v>
      </c>
      <c r="B3090" s="74" t="s">
        <v>27861</v>
      </c>
      <c r="C3090" s="75" t="s">
        <v>994</v>
      </c>
      <c r="D3090" s="176">
        <v>1110</v>
      </c>
      <c r="E3090" s="151">
        <v>44803</v>
      </c>
      <c r="F3090" s="176">
        <v>1110</v>
      </c>
      <c r="G3090" s="177">
        <f>Tabla19[[#This Row],[Importe]]-Tabla19[[#This Row],[Pagado]]</f>
        <v>0</v>
      </c>
      <c r="H3090" s="75" t="s">
        <v>10</v>
      </c>
    </row>
    <row r="3091" spans="1:8" x14ac:dyDescent="0.25">
      <c r="A3091" s="148">
        <v>44803</v>
      </c>
      <c r="B3091" s="149" t="s">
        <v>27862</v>
      </c>
      <c r="C3091" s="153" t="s">
        <v>2139</v>
      </c>
      <c r="D3091" s="178">
        <v>7089.5</v>
      </c>
      <c r="E3091" s="155">
        <v>44803</v>
      </c>
      <c r="F3091" s="178">
        <v>7089.5</v>
      </c>
      <c r="G3091" s="179">
        <f>Tabla19[[#This Row],[Importe]]-Tabla19[[#This Row],[Pagado]]</f>
        <v>0</v>
      </c>
      <c r="H3091" s="153" t="s">
        <v>10</v>
      </c>
    </row>
    <row r="3092" spans="1:8" x14ac:dyDescent="0.25">
      <c r="A3092" s="73">
        <v>44803</v>
      </c>
      <c r="B3092" s="74" t="s">
        <v>27863</v>
      </c>
      <c r="C3092" s="75" t="s">
        <v>142</v>
      </c>
      <c r="D3092" s="176">
        <v>60096.32</v>
      </c>
      <c r="E3092" s="151">
        <v>44847</v>
      </c>
      <c r="F3092" s="176">
        <v>60096.32</v>
      </c>
      <c r="G3092" s="177">
        <f>Tabla19[[#This Row],[Importe]]-Tabla19[[#This Row],[Pagado]]</f>
        <v>0</v>
      </c>
      <c r="H3092" s="75" t="s">
        <v>10</v>
      </c>
    </row>
    <row r="3093" spans="1:8" x14ac:dyDescent="0.25">
      <c r="A3093" s="148">
        <v>44803</v>
      </c>
      <c r="B3093" s="149" t="s">
        <v>27864</v>
      </c>
      <c r="C3093" s="153" t="s">
        <v>175</v>
      </c>
      <c r="D3093" s="178">
        <v>10702.5</v>
      </c>
      <c r="E3093" s="155">
        <v>44804</v>
      </c>
      <c r="F3093" s="178">
        <v>10702.5</v>
      </c>
      <c r="G3093" s="179">
        <f>Tabla19[[#This Row],[Importe]]-Tabla19[[#This Row],[Pagado]]</f>
        <v>0</v>
      </c>
      <c r="H3093" s="153" t="s">
        <v>10</v>
      </c>
    </row>
    <row r="3094" spans="1:8" x14ac:dyDescent="0.25">
      <c r="A3094" s="73">
        <v>44803</v>
      </c>
      <c r="B3094" s="74" t="s">
        <v>27865</v>
      </c>
      <c r="C3094" s="75" t="s">
        <v>359</v>
      </c>
      <c r="D3094" s="176">
        <v>1337</v>
      </c>
      <c r="E3094" s="151">
        <v>44804</v>
      </c>
      <c r="F3094" s="176">
        <v>1337</v>
      </c>
      <c r="G3094" s="177">
        <f>Tabla19[[#This Row],[Importe]]-Tabla19[[#This Row],[Pagado]]</f>
        <v>0</v>
      </c>
      <c r="H3094" s="75" t="s">
        <v>10</v>
      </c>
    </row>
    <row r="3095" spans="1:8" x14ac:dyDescent="0.25">
      <c r="A3095" s="148">
        <v>44803</v>
      </c>
      <c r="B3095" s="149" t="s">
        <v>27866</v>
      </c>
      <c r="C3095" s="153" t="s">
        <v>200</v>
      </c>
      <c r="D3095" s="178">
        <v>717.8</v>
      </c>
      <c r="E3095" s="155">
        <v>44804</v>
      </c>
      <c r="F3095" s="178">
        <v>717.8</v>
      </c>
      <c r="G3095" s="179">
        <f>Tabla19[[#This Row],[Importe]]-Tabla19[[#This Row],[Pagado]]</f>
        <v>0</v>
      </c>
      <c r="H3095" s="153" t="s">
        <v>10</v>
      </c>
    </row>
    <row r="3096" spans="1:8" x14ac:dyDescent="0.25">
      <c r="A3096" s="73">
        <v>44803</v>
      </c>
      <c r="B3096" s="74" t="s">
        <v>27867</v>
      </c>
      <c r="C3096" s="75" t="s">
        <v>1481</v>
      </c>
      <c r="D3096" s="176">
        <v>80</v>
      </c>
      <c r="E3096" s="151">
        <v>44804</v>
      </c>
      <c r="F3096" s="176">
        <v>80</v>
      </c>
      <c r="G3096" s="177">
        <f>Tabla19[[#This Row],[Importe]]-Tabla19[[#This Row],[Pagado]]</f>
        <v>0</v>
      </c>
      <c r="H3096" s="75" t="s">
        <v>10</v>
      </c>
    </row>
    <row r="3097" spans="1:8" ht="31.5" x14ac:dyDescent="0.25">
      <c r="A3097" s="148">
        <v>44803</v>
      </c>
      <c r="B3097" s="149" t="s">
        <v>27868</v>
      </c>
      <c r="C3097" s="153" t="s">
        <v>275</v>
      </c>
      <c r="D3097" s="178">
        <v>114324.78</v>
      </c>
      <c r="E3097" s="150" t="s">
        <v>28011</v>
      </c>
      <c r="F3097" s="178">
        <f>90139+24185.78</f>
        <v>114324.78</v>
      </c>
      <c r="G3097" s="179">
        <f>Tabla19[[#This Row],[Importe]]-Tabla19[[#This Row],[Pagado]]</f>
        <v>0</v>
      </c>
      <c r="H3097" s="153" t="s">
        <v>10</v>
      </c>
    </row>
    <row r="3098" spans="1:8" x14ac:dyDescent="0.25">
      <c r="A3098" s="73">
        <v>44803</v>
      </c>
      <c r="B3098" s="74" t="s">
        <v>27869</v>
      </c>
      <c r="C3098" s="75" t="s">
        <v>275</v>
      </c>
      <c r="D3098" s="176">
        <v>975</v>
      </c>
      <c r="E3098" s="151">
        <v>44830</v>
      </c>
      <c r="F3098" s="176">
        <v>975</v>
      </c>
      <c r="G3098" s="177">
        <f>Tabla19[[#This Row],[Importe]]-Tabla19[[#This Row],[Pagado]]</f>
        <v>0</v>
      </c>
      <c r="H3098" s="75" t="s">
        <v>10</v>
      </c>
    </row>
    <row r="3099" spans="1:8" x14ac:dyDescent="0.25">
      <c r="A3099" s="148">
        <v>44803</v>
      </c>
      <c r="B3099" s="149" t="s">
        <v>27870</v>
      </c>
      <c r="C3099" s="153" t="s">
        <v>286</v>
      </c>
      <c r="D3099" s="178">
        <v>34136</v>
      </c>
      <c r="E3099" s="155">
        <v>44804</v>
      </c>
      <c r="F3099" s="178">
        <v>34136</v>
      </c>
      <c r="G3099" s="179">
        <f>Tabla19[[#This Row],[Importe]]-Tabla19[[#This Row],[Pagado]]</f>
        <v>0</v>
      </c>
      <c r="H3099" s="153" t="s">
        <v>10</v>
      </c>
    </row>
    <row r="3100" spans="1:8" x14ac:dyDescent="0.25">
      <c r="A3100" s="73">
        <v>44803</v>
      </c>
      <c r="B3100" s="74" t="s">
        <v>27871</v>
      </c>
      <c r="C3100" s="75" t="s">
        <v>1008</v>
      </c>
      <c r="D3100" s="176">
        <v>585</v>
      </c>
      <c r="E3100" s="151">
        <v>44803</v>
      </c>
      <c r="F3100" s="176">
        <v>585</v>
      </c>
      <c r="G3100" s="177">
        <f>Tabla19[[#This Row],[Importe]]-Tabla19[[#This Row],[Pagado]]</f>
        <v>0</v>
      </c>
      <c r="H3100" s="75" t="s">
        <v>10</v>
      </c>
    </row>
    <row r="3101" spans="1:8" x14ac:dyDescent="0.25">
      <c r="A3101" s="148">
        <v>44803</v>
      </c>
      <c r="B3101" s="149" t="s">
        <v>27872</v>
      </c>
      <c r="C3101" s="153" t="s">
        <v>261</v>
      </c>
      <c r="D3101" s="178">
        <v>45540</v>
      </c>
      <c r="E3101" s="155">
        <v>44804</v>
      </c>
      <c r="F3101" s="178">
        <v>45540</v>
      </c>
      <c r="G3101" s="179">
        <f>Tabla19[[#This Row],[Importe]]-Tabla19[[#This Row],[Pagado]]</f>
        <v>0</v>
      </c>
      <c r="H3101" s="153" t="s">
        <v>10</v>
      </c>
    </row>
    <row r="3102" spans="1:8" x14ac:dyDescent="0.25">
      <c r="A3102" s="73">
        <v>44803</v>
      </c>
      <c r="B3102" s="74" t="s">
        <v>27873</v>
      </c>
      <c r="C3102" s="75" t="s">
        <v>53</v>
      </c>
      <c r="D3102" s="176">
        <v>1875</v>
      </c>
      <c r="E3102" s="151">
        <v>44803</v>
      </c>
      <c r="F3102" s="176">
        <v>1875</v>
      </c>
      <c r="G3102" s="177">
        <f>Tabla19[[#This Row],[Importe]]-Tabla19[[#This Row],[Pagado]]</f>
        <v>0</v>
      </c>
      <c r="H3102" s="75" t="s">
        <v>10</v>
      </c>
    </row>
    <row r="3103" spans="1:8" x14ac:dyDescent="0.25">
      <c r="A3103" s="148">
        <v>44803</v>
      </c>
      <c r="B3103" s="149" t="s">
        <v>27874</v>
      </c>
      <c r="C3103" s="153" t="s">
        <v>296</v>
      </c>
      <c r="D3103" s="178">
        <v>1140</v>
      </c>
      <c r="E3103" s="155">
        <v>44803</v>
      </c>
      <c r="F3103" s="178">
        <v>1140</v>
      </c>
      <c r="G3103" s="179">
        <f>Tabla19[[#This Row],[Importe]]-Tabla19[[#This Row],[Pagado]]</f>
        <v>0</v>
      </c>
      <c r="H3103" s="153" t="s">
        <v>10</v>
      </c>
    </row>
    <row r="3104" spans="1:8" x14ac:dyDescent="0.25">
      <c r="A3104" s="73">
        <v>44803</v>
      </c>
      <c r="B3104" s="74" t="s">
        <v>27875</v>
      </c>
      <c r="C3104" s="75" t="s">
        <v>280</v>
      </c>
      <c r="D3104" s="176">
        <v>1450.4</v>
      </c>
      <c r="E3104" s="151">
        <v>44804</v>
      </c>
      <c r="F3104" s="176">
        <v>1450.4</v>
      </c>
      <c r="G3104" s="177">
        <f>Tabla19[[#This Row],[Importe]]-Tabla19[[#This Row],[Pagado]]</f>
        <v>0</v>
      </c>
      <c r="H3104" s="75" t="s">
        <v>10</v>
      </c>
    </row>
    <row r="3105" spans="1:8" x14ac:dyDescent="0.25">
      <c r="A3105" s="148">
        <v>44803</v>
      </c>
      <c r="B3105" s="149" t="s">
        <v>27876</v>
      </c>
      <c r="C3105" s="153" t="s">
        <v>10819</v>
      </c>
      <c r="D3105" s="178">
        <v>1419</v>
      </c>
      <c r="E3105" s="155">
        <v>44804</v>
      </c>
      <c r="F3105" s="178">
        <v>1419</v>
      </c>
      <c r="G3105" s="179">
        <f>Tabla19[[#This Row],[Importe]]-Tabla19[[#This Row],[Pagado]]</f>
        <v>0</v>
      </c>
      <c r="H3105" s="153" t="s">
        <v>10</v>
      </c>
    </row>
    <row r="3106" spans="1:8" x14ac:dyDescent="0.25">
      <c r="A3106" s="73">
        <v>44803</v>
      </c>
      <c r="B3106" s="74" t="s">
        <v>27877</v>
      </c>
      <c r="C3106" s="75" t="s">
        <v>10190</v>
      </c>
      <c r="D3106" s="176">
        <v>28014</v>
      </c>
      <c r="E3106" s="151">
        <v>44804</v>
      </c>
      <c r="F3106" s="176">
        <v>28014</v>
      </c>
      <c r="G3106" s="177">
        <f>Tabla19[[#This Row],[Importe]]-Tabla19[[#This Row],[Pagado]]</f>
        <v>0</v>
      </c>
      <c r="H3106" s="75" t="s">
        <v>10</v>
      </c>
    </row>
    <row r="3107" spans="1:8" x14ac:dyDescent="0.25">
      <c r="A3107" s="148">
        <v>44803</v>
      </c>
      <c r="B3107" s="149" t="s">
        <v>27878</v>
      </c>
      <c r="C3107" s="153" t="s">
        <v>414</v>
      </c>
      <c r="D3107" s="178">
        <v>113772</v>
      </c>
      <c r="E3107" s="155">
        <v>44825</v>
      </c>
      <c r="F3107" s="178">
        <v>113772</v>
      </c>
      <c r="G3107" s="179">
        <f>Tabla19[[#This Row],[Importe]]-Tabla19[[#This Row],[Pagado]]</f>
        <v>0</v>
      </c>
      <c r="H3107" s="153" t="s">
        <v>10</v>
      </c>
    </row>
    <row r="3108" spans="1:8" x14ac:dyDescent="0.25">
      <c r="A3108" s="73">
        <v>44803</v>
      </c>
      <c r="B3108" s="74" t="s">
        <v>27879</v>
      </c>
      <c r="C3108" s="75" t="s">
        <v>6405</v>
      </c>
      <c r="D3108" s="176">
        <v>5.26</v>
      </c>
      <c r="E3108" s="151">
        <v>44831</v>
      </c>
      <c r="F3108" s="176">
        <v>5.26</v>
      </c>
      <c r="G3108" s="177">
        <f>Tabla19[[#This Row],[Importe]]-Tabla19[[#This Row],[Pagado]]</f>
        <v>0</v>
      </c>
      <c r="H3108" s="75" t="s">
        <v>10</v>
      </c>
    </row>
    <row r="3109" spans="1:8" x14ac:dyDescent="0.25">
      <c r="A3109" s="148">
        <v>44803</v>
      </c>
      <c r="B3109" s="149" t="s">
        <v>27880</v>
      </c>
      <c r="C3109" s="153" t="s">
        <v>31</v>
      </c>
      <c r="D3109" s="178">
        <v>2301</v>
      </c>
      <c r="E3109" s="155">
        <v>44804</v>
      </c>
      <c r="F3109" s="178">
        <v>2301</v>
      </c>
      <c r="G3109" s="179">
        <f>Tabla19[[#This Row],[Importe]]-Tabla19[[#This Row],[Pagado]]</f>
        <v>0</v>
      </c>
      <c r="H3109" s="153" t="s">
        <v>10</v>
      </c>
    </row>
    <row r="3110" spans="1:8" x14ac:dyDescent="0.25">
      <c r="A3110" s="73">
        <v>44804</v>
      </c>
      <c r="B3110" s="74" t="s">
        <v>27881</v>
      </c>
      <c r="C3110" s="75" t="s">
        <v>1187</v>
      </c>
      <c r="D3110" s="176">
        <v>1286.2</v>
      </c>
      <c r="E3110" s="151">
        <v>44804</v>
      </c>
      <c r="F3110" s="176">
        <v>1286.2</v>
      </c>
      <c r="G3110" s="177">
        <f>Tabla19[[#This Row],[Importe]]-Tabla19[[#This Row],[Pagado]]</f>
        <v>0</v>
      </c>
      <c r="H3110" s="75" t="s">
        <v>10</v>
      </c>
    </row>
    <row r="3111" spans="1:8" x14ac:dyDescent="0.25">
      <c r="A3111" s="148">
        <v>44804</v>
      </c>
      <c r="B3111" s="149" t="s">
        <v>27882</v>
      </c>
      <c r="C3111" s="153" t="s">
        <v>475</v>
      </c>
      <c r="D3111" s="178">
        <v>89479.9</v>
      </c>
      <c r="E3111" s="155">
        <v>44805</v>
      </c>
      <c r="F3111" s="178">
        <v>89479.9</v>
      </c>
      <c r="G3111" s="179">
        <f>Tabla19[[#This Row],[Importe]]-Tabla19[[#This Row],[Pagado]]</f>
        <v>0</v>
      </c>
      <c r="H3111" s="153" t="s">
        <v>10</v>
      </c>
    </row>
    <row r="3112" spans="1:8" x14ac:dyDescent="0.25">
      <c r="A3112" s="73">
        <v>44804</v>
      </c>
      <c r="B3112" s="74" t="s">
        <v>27883</v>
      </c>
      <c r="C3112" s="75" t="s">
        <v>481</v>
      </c>
      <c r="D3112" s="176">
        <v>168</v>
      </c>
      <c r="E3112" s="151">
        <v>44804</v>
      </c>
      <c r="F3112" s="176">
        <v>168</v>
      </c>
      <c r="G3112" s="177">
        <f>Tabla19[[#This Row],[Importe]]-Tabla19[[#This Row],[Pagado]]</f>
        <v>0</v>
      </c>
      <c r="H3112" s="75" t="s">
        <v>10</v>
      </c>
    </row>
    <row r="3113" spans="1:8" x14ac:dyDescent="0.25">
      <c r="A3113" s="148">
        <v>44804</v>
      </c>
      <c r="B3113" s="149" t="s">
        <v>27884</v>
      </c>
      <c r="C3113" s="153" t="s">
        <v>17556</v>
      </c>
      <c r="D3113" s="178">
        <v>3650</v>
      </c>
      <c r="E3113" s="155">
        <v>44804</v>
      </c>
      <c r="F3113" s="178">
        <v>3650</v>
      </c>
      <c r="G3113" s="179">
        <f>Tabla19[[#This Row],[Importe]]-Tabla19[[#This Row],[Pagado]]</f>
        <v>0</v>
      </c>
      <c r="H3113" s="153" t="s">
        <v>10</v>
      </c>
    </row>
    <row r="3114" spans="1:8" x14ac:dyDescent="0.25">
      <c r="A3114" s="73">
        <v>44804</v>
      </c>
      <c r="B3114" s="74" t="s">
        <v>27885</v>
      </c>
      <c r="C3114" s="75" t="s">
        <v>2151</v>
      </c>
      <c r="D3114" s="176">
        <v>13908.7</v>
      </c>
      <c r="E3114" s="151">
        <v>44804</v>
      </c>
      <c r="F3114" s="176">
        <v>13908.7</v>
      </c>
      <c r="G3114" s="177">
        <f>Tabla19[[#This Row],[Importe]]-Tabla19[[#This Row],[Pagado]]</f>
        <v>0</v>
      </c>
      <c r="H3114" s="75" t="s">
        <v>10</v>
      </c>
    </row>
    <row r="3115" spans="1:8" x14ac:dyDescent="0.25">
      <c r="A3115" s="148">
        <v>44804</v>
      </c>
      <c r="B3115" s="149" t="s">
        <v>27886</v>
      </c>
      <c r="C3115" s="153" t="s">
        <v>22</v>
      </c>
      <c r="D3115" s="178">
        <v>37886.800000000003</v>
      </c>
      <c r="E3115" s="155">
        <v>44805</v>
      </c>
      <c r="F3115" s="178">
        <v>37886.800000000003</v>
      </c>
      <c r="G3115" s="179">
        <f>Tabla19[[#This Row],[Importe]]-Tabla19[[#This Row],[Pagado]]</f>
        <v>0</v>
      </c>
      <c r="H3115" s="153" t="s">
        <v>10</v>
      </c>
    </row>
    <row r="3116" spans="1:8" x14ac:dyDescent="0.25">
      <c r="A3116" s="73">
        <v>44804</v>
      </c>
      <c r="B3116" s="74" t="s">
        <v>27887</v>
      </c>
      <c r="C3116" s="75" t="s">
        <v>109</v>
      </c>
      <c r="D3116" s="176">
        <v>5687.5</v>
      </c>
      <c r="E3116" s="151">
        <v>44805</v>
      </c>
      <c r="F3116" s="176">
        <v>5687.5</v>
      </c>
      <c r="G3116" s="177">
        <f>Tabla19[[#This Row],[Importe]]-Tabla19[[#This Row],[Pagado]]</f>
        <v>0</v>
      </c>
      <c r="H3116" s="75" t="s">
        <v>10</v>
      </c>
    </row>
    <row r="3117" spans="1:8" x14ac:dyDescent="0.25">
      <c r="A3117" s="148">
        <v>44804</v>
      </c>
      <c r="B3117" s="149" t="s">
        <v>27888</v>
      </c>
      <c r="C3117" s="153" t="s">
        <v>64</v>
      </c>
      <c r="D3117" s="178">
        <v>4946.5</v>
      </c>
      <c r="E3117" s="155">
        <v>44807</v>
      </c>
      <c r="F3117" s="178">
        <v>4946.5</v>
      </c>
      <c r="G3117" s="179">
        <f>Tabla19[[#This Row],[Importe]]-Tabla19[[#This Row],[Pagado]]</f>
        <v>0</v>
      </c>
      <c r="H3117" s="153" t="s">
        <v>10</v>
      </c>
    </row>
    <row r="3118" spans="1:8" x14ac:dyDescent="0.25">
      <c r="A3118" s="73">
        <v>44804</v>
      </c>
      <c r="B3118" s="74" t="s">
        <v>27889</v>
      </c>
      <c r="C3118" s="75" t="s">
        <v>114</v>
      </c>
      <c r="D3118" s="176">
        <v>11783.1</v>
      </c>
      <c r="E3118" s="151">
        <v>44805</v>
      </c>
      <c r="F3118" s="176">
        <v>11783.1</v>
      </c>
      <c r="G3118" s="177">
        <f>Tabla19[[#This Row],[Importe]]-Tabla19[[#This Row],[Pagado]]</f>
        <v>0</v>
      </c>
      <c r="H3118" s="75" t="s">
        <v>10</v>
      </c>
    </row>
    <row r="3119" spans="1:8" x14ac:dyDescent="0.25">
      <c r="A3119" s="148">
        <v>44804</v>
      </c>
      <c r="B3119" s="149" t="s">
        <v>27890</v>
      </c>
      <c r="C3119" s="153" t="s">
        <v>60</v>
      </c>
      <c r="D3119" s="178">
        <v>4933.5</v>
      </c>
      <c r="E3119" s="155">
        <v>44809</v>
      </c>
      <c r="F3119" s="178">
        <v>4933.5</v>
      </c>
      <c r="G3119" s="179">
        <f>Tabla19[[#This Row],[Importe]]-Tabla19[[#This Row],[Pagado]]</f>
        <v>0</v>
      </c>
      <c r="H3119" s="153" t="s">
        <v>10</v>
      </c>
    </row>
    <row r="3120" spans="1:8" x14ac:dyDescent="0.25">
      <c r="A3120" s="73">
        <v>44804</v>
      </c>
      <c r="B3120" s="74" t="s">
        <v>27891</v>
      </c>
      <c r="C3120" s="75" t="s">
        <v>93</v>
      </c>
      <c r="D3120" s="176">
        <v>8755.5</v>
      </c>
      <c r="E3120" s="151">
        <v>44807</v>
      </c>
      <c r="F3120" s="176">
        <v>8755.5</v>
      </c>
      <c r="G3120" s="177">
        <f>Tabla19[[#This Row],[Importe]]-Tabla19[[#This Row],[Pagado]]</f>
        <v>0</v>
      </c>
      <c r="H3120" s="75" t="s">
        <v>10</v>
      </c>
    </row>
    <row r="3121" spans="1:8" x14ac:dyDescent="0.25">
      <c r="A3121" s="148">
        <v>44804</v>
      </c>
      <c r="B3121" s="149" t="s">
        <v>27892</v>
      </c>
      <c r="C3121" s="153" t="s">
        <v>111</v>
      </c>
      <c r="D3121" s="178">
        <v>5468.4</v>
      </c>
      <c r="E3121" s="155">
        <v>44805</v>
      </c>
      <c r="F3121" s="178">
        <v>5468.4</v>
      </c>
      <c r="G3121" s="179">
        <f>Tabla19[[#This Row],[Importe]]-Tabla19[[#This Row],[Pagado]]</f>
        <v>0</v>
      </c>
      <c r="H3121" s="153" t="s">
        <v>10</v>
      </c>
    </row>
    <row r="3122" spans="1:8" x14ac:dyDescent="0.25">
      <c r="A3122" s="73">
        <v>44804</v>
      </c>
      <c r="B3122" s="74" t="s">
        <v>27893</v>
      </c>
      <c r="C3122" s="75" t="s">
        <v>348</v>
      </c>
      <c r="D3122" s="176">
        <v>7592.4</v>
      </c>
      <c r="E3122" s="151">
        <v>44804</v>
      </c>
      <c r="F3122" s="176">
        <v>7592.4</v>
      </c>
      <c r="G3122" s="177">
        <f>Tabla19[[#This Row],[Importe]]-Tabla19[[#This Row],[Pagado]]</f>
        <v>0</v>
      </c>
      <c r="H3122" s="75" t="s">
        <v>10</v>
      </c>
    </row>
    <row r="3123" spans="1:8" x14ac:dyDescent="0.25">
      <c r="A3123" s="148">
        <v>44804</v>
      </c>
      <c r="B3123" s="149" t="s">
        <v>27894</v>
      </c>
      <c r="C3123" s="153" t="s">
        <v>105</v>
      </c>
      <c r="D3123" s="178">
        <v>8391.6</v>
      </c>
      <c r="E3123" s="155">
        <v>44805</v>
      </c>
      <c r="F3123" s="178">
        <v>8391.6</v>
      </c>
      <c r="G3123" s="179">
        <f>Tabla19[[#This Row],[Importe]]-Tabla19[[#This Row],[Pagado]]</f>
        <v>0</v>
      </c>
      <c r="H3123" s="153" t="s">
        <v>10</v>
      </c>
    </row>
    <row r="3124" spans="1:8" x14ac:dyDescent="0.25">
      <c r="A3124" s="73">
        <v>44804</v>
      </c>
      <c r="B3124" s="74" t="s">
        <v>27895</v>
      </c>
      <c r="C3124" s="75" t="s">
        <v>89</v>
      </c>
      <c r="D3124" s="176">
        <v>3969</v>
      </c>
      <c r="E3124" s="151">
        <v>44805</v>
      </c>
      <c r="F3124" s="176">
        <v>3969</v>
      </c>
      <c r="G3124" s="177">
        <f>Tabla19[[#This Row],[Importe]]-Tabla19[[#This Row],[Pagado]]</f>
        <v>0</v>
      </c>
      <c r="H3124" s="75" t="s">
        <v>10</v>
      </c>
    </row>
    <row r="3125" spans="1:8" x14ac:dyDescent="0.25">
      <c r="A3125" s="148">
        <v>44804</v>
      </c>
      <c r="B3125" s="149" t="s">
        <v>27896</v>
      </c>
      <c r="C3125" s="153" t="s">
        <v>107</v>
      </c>
      <c r="D3125" s="178">
        <v>11100.9</v>
      </c>
      <c r="E3125" s="155">
        <v>44804</v>
      </c>
      <c r="F3125" s="178">
        <v>11100.9</v>
      </c>
      <c r="G3125" s="179">
        <f>Tabla19[[#This Row],[Importe]]-Tabla19[[#This Row],[Pagado]]</f>
        <v>0</v>
      </c>
      <c r="H3125" s="153" t="s">
        <v>10</v>
      </c>
    </row>
    <row r="3126" spans="1:8" x14ac:dyDescent="0.25">
      <c r="A3126" s="73">
        <v>44804</v>
      </c>
      <c r="B3126" s="74" t="s">
        <v>27897</v>
      </c>
      <c r="C3126" s="75" t="s">
        <v>9</v>
      </c>
      <c r="D3126" s="176">
        <v>7888.8</v>
      </c>
      <c r="E3126" s="151">
        <v>44804</v>
      </c>
      <c r="F3126" s="176">
        <v>7888.8</v>
      </c>
      <c r="G3126" s="177">
        <f>Tabla19[[#This Row],[Importe]]-Tabla19[[#This Row],[Pagado]]</f>
        <v>0</v>
      </c>
      <c r="H3126" s="75" t="s">
        <v>10</v>
      </c>
    </row>
    <row r="3127" spans="1:8" x14ac:dyDescent="0.25">
      <c r="A3127" s="148">
        <v>44804</v>
      </c>
      <c r="B3127" s="149" t="s">
        <v>27898</v>
      </c>
      <c r="C3127" s="153" t="s">
        <v>51</v>
      </c>
      <c r="D3127" s="178">
        <v>615</v>
      </c>
      <c r="E3127" s="155">
        <v>44804</v>
      </c>
      <c r="F3127" s="178">
        <v>615</v>
      </c>
      <c r="G3127" s="179">
        <f>Tabla19[[#This Row],[Importe]]-Tabla19[[#This Row],[Pagado]]</f>
        <v>0</v>
      </c>
      <c r="H3127" s="153" t="s">
        <v>10</v>
      </c>
    </row>
    <row r="3128" spans="1:8" x14ac:dyDescent="0.25">
      <c r="A3128" s="73">
        <v>44804</v>
      </c>
      <c r="B3128" s="74" t="s">
        <v>27899</v>
      </c>
      <c r="C3128" s="75" t="s">
        <v>849</v>
      </c>
      <c r="D3128" s="176">
        <v>636</v>
      </c>
      <c r="E3128" s="151">
        <v>44804</v>
      </c>
      <c r="F3128" s="176">
        <v>636</v>
      </c>
      <c r="G3128" s="177">
        <f>Tabla19[[#This Row],[Importe]]-Tabla19[[#This Row],[Pagado]]</f>
        <v>0</v>
      </c>
      <c r="H3128" s="75" t="s">
        <v>10</v>
      </c>
    </row>
    <row r="3129" spans="1:8" x14ac:dyDescent="0.25">
      <c r="A3129" s="148">
        <v>44804</v>
      </c>
      <c r="B3129" s="149" t="s">
        <v>27900</v>
      </c>
      <c r="C3129" s="153" t="s">
        <v>83</v>
      </c>
      <c r="D3129" s="178">
        <v>10526.8</v>
      </c>
      <c r="E3129" s="155">
        <v>44804</v>
      </c>
      <c r="F3129" s="178">
        <v>10526.8</v>
      </c>
      <c r="G3129" s="179">
        <f>Tabla19[[#This Row],[Importe]]-Tabla19[[#This Row],[Pagado]]</f>
        <v>0</v>
      </c>
      <c r="H3129" s="153" t="s">
        <v>10</v>
      </c>
    </row>
    <row r="3130" spans="1:8" x14ac:dyDescent="0.25">
      <c r="A3130" s="73">
        <v>44804</v>
      </c>
      <c r="B3130" s="74" t="s">
        <v>27901</v>
      </c>
      <c r="C3130" s="75" t="s">
        <v>1237</v>
      </c>
      <c r="D3130" s="176">
        <v>45995</v>
      </c>
      <c r="E3130" s="151">
        <v>44804</v>
      </c>
      <c r="F3130" s="176">
        <v>45995</v>
      </c>
      <c r="G3130" s="177">
        <f>Tabla19[[#This Row],[Importe]]-Tabla19[[#This Row],[Pagado]]</f>
        <v>0</v>
      </c>
      <c r="H3130" s="75" t="s">
        <v>10</v>
      </c>
    </row>
    <row r="3131" spans="1:8" x14ac:dyDescent="0.25">
      <c r="A3131" s="148">
        <v>44804</v>
      </c>
      <c r="B3131" s="149" t="s">
        <v>27902</v>
      </c>
      <c r="C3131" s="153" t="s">
        <v>79</v>
      </c>
      <c r="D3131" s="178">
        <v>12546.8</v>
      </c>
      <c r="E3131" s="155">
        <v>44804</v>
      </c>
      <c r="F3131" s="178">
        <v>12546.8</v>
      </c>
      <c r="G3131" s="179">
        <f>Tabla19[[#This Row],[Importe]]-Tabla19[[#This Row],[Pagado]]</f>
        <v>0</v>
      </c>
      <c r="H3131" s="153" t="s">
        <v>10</v>
      </c>
    </row>
    <row r="3132" spans="1:8" x14ac:dyDescent="0.25">
      <c r="A3132" s="73">
        <v>44804</v>
      </c>
      <c r="B3132" s="74" t="s">
        <v>27903</v>
      </c>
      <c r="C3132" s="75" t="s">
        <v>16</v>
      </c>
      <c r="D3132" s="176">
        <v>5057.7</v>
      </c>
      <c r="E3132" s="151">
        <v>44804</v>
      </c>
      <c r="F3132" s="176">
        <v>5057.7</v>
      </c>
      <c r="G3132" s="177">
        <f>Tabla19[[#This Row],[Importe]]-Tabla19[[#This Row],[Pagado]]</f>
        <v>0</v>
      </c>
      <c r="H3132" s="75" t="s">
        <v>10</v>
      </c>
    </row>
    <row r="3133" spans="1:8" x14ac:dyDescent="0.25">
      <c r="A3133" s="148">
        <v>44804</v>
      </c>
      <c r="B3133" s="149" t="s">
        <v>27904</v>
      </c>
      <c r="C3133" s="153" t="s">
        <v>291</v>
      </c>
      <c r="D3133" s="178">
        <v>1713</v>
      </c>
      <c r="E3133" s="155">
        <v>44804</v>
      </c>
      <c r="F3133" s="178">
        <v>1713</v>
      </c>
      <c r="G3133" s="179">
        <f>Tabla19[[#This Row],[Importe]]-Tabla19[[#This Row],[Pagado]]</f>
        <v>0</v>
      </c>
      <c r="H3133" s="153" t="s">
        <v>10</v>
      </c>
    </row>
    <row r="3134" spans="1:8" x14ac:dyDescent="0.25">
      <c r="A3134" s="73">
        <v>44804</v>
      </c>
      <c r="B3134" s="74" t="s">
        <v>27905</v>
      </c>
      <c r="C3134" s="75" t="s">
        <v>357</v>
      </c>
      <c r="D3134" s="176">
        <v>1192.5</v>
      </c>
      <c r="E3134" s="151">
        <v>44804</v>
      </c>
      <c r="F3134" s="176">
        <v>1192.5</v>
      </c>
      <c r="G3134" s="177">
        <f>Tabla19[[#This Row],[Importe]]-Tabla19[[#This Row],[Pagado]]</f>
        <v>0</v>
      </c>
      <c r="H3134" s="75" t="s">
        <v>10</v>
      </c>
    </row>
    <row r="3135" spans="1:8" x14ac:dyDescent="0.25">
      <c r="A3135" s="148">
        <v>44804</v>
      </c>
      <c r="B3135" s="149" t="s">
        <v>27906</v>
      </c>
      <c r="C3135" s="153" t="s">
        <v>129</v>
      </c>
      <c r="D3135" s="178">
        <v>5898.9</v>
      </c>
      <c r="E3135" s="155">
        <v>44804</v>
      </c>
      <c r="F3135" s="178">
        <v>5898.9</v>
      </c>
      <c r="G3135" s="179">
        <f>Tabla19[[#This Row],[Importe]]-Tabla19[[#This Row],[Pagado]]</f>
        <v>0</v>
      </c>
      <c r="H3135" s="153" t="s">
        <v>10</v>
      </c>
    </row>
    <row r="3136" spans="1:8" x14ac:dyDescent="0.25">
      <c r="A3136" s="73">
        <v>44804</v>
      </c>
      <c r="B3136" s="74" t="s">
        <v>27907</v>
      </c>
      <c r="C3136" s="75" t="s">
        <v>127</v>
      </c>
      <c r="D3136" s="176">
        <v>1860</v>
      </c>
      <c r="E3136" s="151">
        <v>44804</v>
      </c>
      <c r="F3136" s="176">
        <v>1860</v>
      </c>
      <c r="G3136" s="177">
        <f>Tabla19[[#This Row],[Importe]]-Tabla19[[#This Row],[Pagado]]</f>
        <v>0</v>
      </c>
      <c r="H3136" s="75" t="s">
        <v>10</v>
      </c>
    </row>
    <row r="3137" spans="1:8" x14ac:dyDescent="0.25">
      <c r="A3137" s="148">
        <v>44804</v>
      </c>
      <c r="B3137" s="149" t="s">
        <v>27908</v>
      </c>
      <c r="C3137" s="153" t="s">
        <v>484</v>
      </c>
      <c r="D3137" s="178">
        <v>3034.2</v>
      </c>
      <c r="E3137" s="155">
        <v>44804</v>
      </c>
      <c r="F3137" s="178">
        <v>3034.2</v>
      </c>
      <c r="G3137" s="179">
        <f>Tabla19[[#This Row],[Importe]]-Tabla19[[#This Row],[Pagado]]</f>
        <v>0</v>
      </c>
      <c r="H3137" s="153" t="s">
        <v>10</v>
      </c>
    </row>
    <row r="3138" spans="1:8" x14ac:dyDescent="0.25">
      <c r="A3138" s="73">
        <v>44804</v>
      </c>
      <c r="B3138" s="74" t="s">
        <v>27909</v>
      </c>
      <c r="C3138" s="75" t="s">
        <v>339</v>
      </c>
      <c r="D3138" s="176">
        <v>592.5</v>
      </c>
      <c r="E3138" s="151">
        <v>44804</v>
      </c>
      <c r="F3138" s="176">
        <v>592.5</v>
      </c>
      <c r="G3138" s="177">
        <f>Tabla19[[#This Row],[Importe]]-Tabla19[[#This Row],[Pagado]]</f>
        <v>0</v>
      </c>
      <c r="H3138" s="75" t="s">
        <v>10</v>
      </c>
    </row>
    <row r="3139" spans="1:8" x14ac:dyDescent="0.25">
      <c r="A3139" s="148">
        <v>44804</v>
      </c>
      <c r="B3139" s="149" t="s">
        <v>27910</v>
      </c>
      <c r="C3139" s="153" t="s">
        <v>140</v>
      </c>
      <c r="D3139" s="178">
        <v>269.5</v>
      </c>
      <c r="E3139" s="155">
        <v>44804</v>
      </c>
      <c r="F3139" s="178">
        <v>269.5</v>
      </c>
      <c r="G3139" s="179">
        <f>Tabla19[[#This Row],[Importe]]-Tabla19[[#This Row],[Pagado]]</f>
        <v>0</v>
      </c>
      <c r="H3139" s="153" t="s">
        <v>10</v>
      </c>
    </row>
    <row r="3140" spans="1:8" x14ac:dyDescent="0.25">
      <c r="A3140" s="73">
        <v>44804</v>
      </c>
      <c r="B3140" s="74" t="s">
        <v>27911</v>
      </c>
      <c r="C3140" s="75" t="s">
        <v>27</v>
      </c>
      <c r="D3140" s="176">
        <v>604</v>
      </c>
      <c r="E3140" s="151">
        <v>44804</v>
      </c>
      <c r="F3140" s="176">
        <v>604</v>
      </c>
      <c r="G3140" s="177">
        <f>Tabla19[[#This Row],[Importe]]-Tabla19[[#This Row],[Pagado]]</f>
        <v>0</v>
      </c>
      <c r="H3140" s="75" t="s">
        <v>10</v>
      </c>
    </row>
    <row r="3141" spans="1:8" x14ac:dyDescent="0.25">
      <c r="A3141" s="148">
        <v>44804</v>
      </c>
      <c r="B3141" s="149" t="s">
        <v>27912</v>
      </c>
      <c r="C3141" s="153" t="s">
        <v>333</v>
      </c>
      <c r="D3141" s="178">
        <v>600</v>
      </c>
      <c r="E3141" s="155">
        <v>44804</v>
      </c>
      <c r="F3141" s="178">
        <v>600</v>
      </c>
      <c r="G3141" s="179">
        <f>Tabla19[[#This Row],[Importe]]-Tabla19[[#This Row],[Pagado]]</f>
        <v>0</v>
      </c>
      <c r="H3141" s="153" t="s">
        <v>10</v>
      </c>
    </row>
    <row r="3142" spans="1:8" x14ac:dyDescent="0.25">
      <c r="A3142" s="73">
        <v>44804</v>
      </c>
      <c r="B3142" s="74" t="s">
        <v>27913</v>
      </c>
      <c r="C3142" s="75" t="s">
        <v>87</v>
      </c>
      <c r="D3142" s="176">
        <v>3991</v>
      </c>
      <c r="E3142" s="151">
        <v>44804</v>
      </c>
      <c r="F3142" s="176">
        <v>3991</v>
      </c>
      <c r="G3142" s="177">
        <f>Tabla19[[#This Row],[Importe]]-Tabla19[[#This Row],[Pagado]]</f>
        <v>0</v>
      </c>
      <c r="H3142" s="75" t="s">
        <v>10</v>
      </c>
    </row>
    <row r="3143" spans="1:8" x14ac:dyDescent="0.25">
      <c r="A3143" s="148">
        <v>44804</v>
      </c>
      <c r="B3143" s="149" t="s">
        <v>27914</v>
      </c>
      <c r="C3143" s="153" t="s">
        <v>146</v>
      </c>
      <c r="D3143" s="178">
        <v>4810</v>
      </c>
      <c r="E3143" s="155">
        <v>44804</v>
      </c>
      <c r="F3143" s="178">
        <v>4810</v>
      </c>
      <c r="G3143" s="179">
        <f>Tabla19[[#This Row],[Importe]]-Tabla19[[#This Row],[Pagado]]</f>
        <v>0</v>
      </c>
      <c r="H3143" s="153" t="s">
        <v>10</v>
      </c>
    </row>
    <row r="3144" spans="1:8" x14ac:dyDescent="0.25">
      <c r="A3144" s="73">
        <v>44804</v>
      </c>
      <c r="B3144" s="74" t="s">
        <v>27915</v>
      </c>
      <c r="C3144" s="75" t="s">
        <v>214</v>
      </c>
      <c r="D3144" s="176">
        <v>182</v>
      </c>
      <c r="E3144" s="151">
        <v>44804</v>
      </c>
      <c r="F3144" s="176">
        <v>182</v>
      </c>
      <c r="G3144" s="177">
        <f>Tabla19[[#This Row],[Importe]]-Tabla19[[#This Row],[Pagado]]</f>
        <v>0</v>
      </c>
      <c r="H3144" s="75" t="s">
        <v>10</v>
      </c>
    </row>
    <row r="3145" spans="1:8" x14ac:dyDescent="0.25">
      <c r="A3145" s="148">
        <v>44804</v>
      </c>
      <c r="B3145" s="149" t="s">
        <v>27916</v>
      </c>
      <c r="C3145" s="153" t="s">
        <v>161</v>
      </c>
      <c r="D3145" s="178">
        <v>4015</v>
      </c>
      <c r="E3145" s="155">
        <v>44804</v>
      </c>
      <c r="F3145" s="178">
        <v>4015</v>
      </c>
      <c r="G3145" s="179">
        <f>Tabla19[[#This Row],[Importe]]-Tabla19[[#This Row],[Pagado]]</f>
        <v>0</v>
      </c>
      <c r="H3145" s="153" t="s">
        <v>10</v>
      </c>
    </row>
    <row r="3146" spans="1:8" x14ac:dyDescent="0.25">
      <c r="A3146" s="73">
        <v>44804</v>
      </c>
      <c r="B3146" s="74" t="s">
        <v>27917</v>
      </c>
      <c r="C3146" s="75" t="s">
        <v>1362</v>
      </c>
      <c r="D3146" s="176">
        <v>5119.8</v>
      </c>
      <c r="E3146" s="151">
        <v>44804</v>
      </c>
      <c r="F3146" s="176">
        <v>5119.8</v>
      </c>
      <c r="G3146" s="177">
        <f>Tabla19[[#This Row],[Importe]]-Tabla19[[#This Row],[Pagado]]</f>
        <v>0</v>
      </c>
      <c r="H3146" s="75" t="s">
        <v>10</v>
      </c>
    </row>
    <row r="3147" spans="1:8" x14ac:dyDescent="0.25">
      <c r="A3147" s="148">
        <v>44804</v>
      </c>
      <c r="B3147" s="149" t="s">
        <v>27918</v>
      </c>
      <c r="C3147" s="153" t="s">
        <v>56</v>
      </c>
      <c r="D3147" s="178">
        <v>5653.6</v>
      </c>
      <c r="E3147" s="155">
        <v>44804</v>
      </c>
      <c r="F3147" s="178">
        <v>5653.6</v>
      </c>
      <c r="G3147" s="179">
        <f>Tabla19[[#This Row],[Importe]]-Tabla19[[#This Row],[Pagado]]</f>
        <v>0</v>
      </c>
      <c r="H3147" s="153" t="s">
        <v>10</v>
      </c>
    </row>
    <row r="3148" spans="1:8" x14ac:dyDescent="0.25">
      <c r="A3148" s="73">
        <v>44804</v>
      </c>
      <c r="B3148" s="74" t="s">
        <v>27919</v>
      </c>
      <c r="C3148" s="75" t="s">
        <v>53</v>
      </c>
      <c r="D3148" s="176">
        <v>2272.5</v>
      </c>
      <c r="E3148" s="151">
        <v>44804</v>
      </c>
      <c r="F3148" s="176">
        <v>2272.5</v>
      </c>
      <c r="G3148" s="177">
        <f>Tabla19[[#This Row],[Importe]]-Tabla19[[#This Row],[Pagado]]</f>
        <v>0</v>
      </c>
      <c r="H3148" s="75" t="s">
        <v>10</v>
      </c>
    </row>
    <row r="3149" spans="1:8" x14ac:dyDescent="0.25">
      <c r="A3149" s="148">
        <v>44804</v>
      </c>
      <c r="B3149" s="149" t="s">
        <v>27920</v>
      </c>
      <c r="C3149" s="153" t="s">
        <v>173</v>
      </c>
      <c r="D3149" s="178">
        <v>14979</v>
      </c>
      <c r="E3149" s="155">
        <v>44804</v>
      </c>
      <c r="F3149" s="178">
        <v>14979</v>
      </c>
      <c r="G3149" s="179">
        <f>Tabla19[[#This Row],[Importe]]-Tabla19[[#This Row],[Pagado]]</f>
        <v>0</v>
      </c>
      <c r="H3149" s="153" t="s">
        <v>10</v>
      </c>
    </row>
    <row r="3150" spans="1:8" x14ac:dyDescent="0.25">
      <c r="A3150" s="73">
        <v>44804</v>
      </c>
      <c r="B3150" s="74" t="s">
        <v>27921</v>
      </c>
      <c r="C3150" s="75" t="s">
        <v>45</v>
      </c>
      <c r="D3150" s="176">
        <v>10462</v>
      </c>
      <c r="E3150" s="151">
        <v>44804</v>
      </c>
      <c r="F3150" s="176">
        <v>10462</v>
      </c>
      <c r="G3150" s="177">
        <f>Tabla19[[#This Row],[Importe]]-Tabla19[[#This Row],[Pagado]]</f>
        <v>0</v>
      </c>
      <c r="H3150" s="75" t="s">
        <v>10</v>
      </c>
    </row>
    <row r="3151" spans="1:8" x14ac:dyDescent="0.25">
      <c r="A3151" s="148">
        <v>44804</v>
      </c>
      <c r="B3151" s="149" t="s">
        <v>27922</v>
      </c>
      <c r="C3151" s="153" t="s">
        <v>53</v>
      </c>
      <c r="D3151" s="178">
        <v>1267.2</v>
      </c>
      <c r="E3151" s="155">
        <v>44804</v>
      </c>
      <c r="F3151" s="178">
        <v>1267.2</v>
      </c>
      <c r="G3151" s="179">
        <f>Tabla19[[#This Row],[Importe]]-Tabla19[[#This Row],[Pagado]]</f>
        <v>0</v>
      </c>
      <c r="H3151" s="153" t="s">
        <v>10</v>
      </c>
    </row>
    <row r="3152" spans="1:8" x14ac:dyDescent="0.25">
      <c r="A3152" s="73">
        <v>44804</v>
      </c>
      <c r="B3152" s="74" t="s">
        <v>27923</v>
      </c>
      <c r="C3152" s="75" t="s">
        <v>698</v>
      </c>
      <c r="D3152" s="176">
        <v>1731.4</v>
      </c>
      <c r="E3152" s="151">
        <v>44804</v>
      </c>
      <c r="F3152" s="176">
        <v>1731.4</v>
      </c>
      <c r="G3152" s="177">
        <f>Tabla19[[#This Row],[Importe]]-Tabla19[[#This Row],[Pagado]]</f>
        <v>0</v>
      </c>
      <c r="H3152" s="75" t="s">
        <v>10</v>
      </c>
    </row>
    <row r="3153" spans="1:8" x14ac:dyDescent="0.25">
      <c r="A3153" s="148">
        <v>44804</v>
      </c>
      <c r="B3153" s="149" t="s">
        <v>27924</v>
      </c>
      <c r="C3153" s="153" t="s">
        <v>698</v>
      </c>
      <c r="D3153" s="178">
        <v>6179</v>
      </c>
      <c r="E3153" s="155">
        <v>44804</v>
      </c>
      <c r="F3153" s="178">
        <v>6179</v>
      </c>
      <c r="G3153" s="179">
        <f>Tabla19[[#This Row],[Importe]]-Tabla19[[#This Row],[Pagado]]</f>
        <v>0</v>
      </c>
      <c r="H3153" s="153" t="s">
        <v>10</v>
      </c>
    </row>
    <row r="3154" spans="1:8" x14ac:dyDescent="0.25">
      <c r="A3154" s="73">
        <v>44804</v>
      </c>
      <c r="B3154" s="74" t="s">
        <v>27925</v>
      </c>
      <c r="C3154" s="75" t="s">
        <v>1644</v>
      </c>
      <c r="D3154" s="176">
        <v>14165.7</v>
      </c>
      <c r="E3154" s="151">
        <v>44805</v>
      </c>
      <c r="F3154" s="176">
        <v>14165.7</v>
      </c>
      <c r="G3154" s="177">
        <f>Tabla19[[#This Row],[Importe]]-Tabla19[[#This Row],[Pagado]]</f>
        <v>0</v>
      </c>
      <c r="H3154" s="75" t="s">
        <v>10</v>
      </c>
    </row>
    <row r="3155" spans="1:8" x14ac:dyDescent="0.25">
      <c r="A3155" s="148">
        <v>44804</v>
      </c>
      <c r="B3155" s="149" t="s">
        <v>27926</v>
      </c>
      <c r="C3155" s="153" t="s">
        <v>214</v>
      </c>
      <c r="D3155" s="178">
        <v>1295</v>
      </c>
      <c r="E3155" s="155">
        <v>44804</v>
      </c>
      <c r="F3155" s="178">
        <v>1295</v>
      </c>
      <c r="G3155" s="179">
        <f>Tabla19[[#This Row],[Importe]]-Tabla19[[#This Row],[Pagado]]</f>
        <v>0</v>
      </c>
      <c r="H3155" s="153" t="s">
        <v>10</v>
      </c>
    </row>
    <row r="3156" spans="1:8" x14ac:dyDescent="0.25">
      <c r="A3156" s="73">
        <v>44804</v>
      </c>
      <c r="B3156" s="74" t="s">
        <v>27927</v>
      </c>
      <c r="C3156" s="75" t="s">
        <v>664</v>
      </c>
      <c r="D3156" s="176">
        <v>3705</v>
      </c>
      <c r="E3156" s="151">
        <v>44804</v>
      </c>
      <c r="F3156" s="176">
        <v>3705</v>
      </c>
      <c r="G3156" s="177">
        <f>Tabla19[[#This Row],[Importe]]-Tabla19[[#This Row],[Pagado]]</f>
        <v>0</v>
      </c>
      <c r="H3156" s="75" t="s">
        <v>10</v>
      </c>
    </row>
    <row r="3157" spans="1:8" x14ac:dyDescent="0.25">
      <c r="A3157" s="148">
        <v>44804</v>
      </c>
      <c r="B3157" s="149" t="s">
        <v>27928</v>
      </c>
      <c r="C3157" s="153" t="s">
        <v>58</v>
      </c>
      <c r="D3157" s="178">
        <v>1323</v>
      </c>
      <c r="E3157" s="155">
        <v>44804</v>
      </c>
      <c r="F3157" s="178">
        <v>1323</v>
      </c>
      <c r="G3157" s="179">
        <f>Tabla19[[#This Row],[Importe]]-Tabla19[[#This Row],[Pagado]]</f>
        <v>0</v>
      </c>
      <c r="H3157" s="153" t="s">
        <v>10</v>
      </c>
    </row>
    <row r="3158" spans="1:8" x14ac:dyDescent="0.25">
      <c r="A3158" s="73">
        <v>44804</v>
      </c>
      <c r="B3158" s="74" t="s">
        <v>27929</v>
      </c>
      <c r="C3158" s="75" t="s">
        <v>541</v>
      </c>
      <c r="D3158" s="176">
        <v>10465.200000000001</v>
      </c>
      <c r="E3158" s="151">
        <v>44805</v>
      </c>
      <c r="F3158" s="176">
        <v>10465.200000000001</v>
      </c>
      <c r="G3158" s="177">
        <f>Tabla19[[#This Row],[Importe]]-Tabla19[[#This Row],[Pagado]]</f>
        <v>0</v>
      </c>
      <c r="H3158" s="75" t="s">
        <v>10</v>
      </c>
    </row>
    <row r="3159" spans="1:8" x14ac:dyDescent="0.25">
      <c r="A3159" s="148">
        <v>44804</v>
      </c>
      <c r="B3159" s="149" t="s">
        <v>27930</v>
      </c>
      <c r="C3159" s="153" t="s">
        <v>49</v>
      </c>
      <c r="D3159" s="178">
        <v>2870.4</v>
      </c>
      <c r="E3159" s="155">
        <v>44804</v>
      </c>
      <c r="F3159" s="178">
        <v>2870.4</v>
      </c>
      <c r="G3159" s="179">
        <f>Tabla19[[#This Row],[Importe]]-Tabla19[[#This Row],[Pagado]]</f>
        <v>0</v>
      </c>
      <c r="H3159" s="153" t="s">
        <v>10</v>
      </c>
    </row>
    <row r="3160" spans="1:8" x14ac:dyDescent="0.25">
      <c r="A3160" s="73">
        <v>44804</v>
      </c>
      <c r="B3160" s="74" t="s">
        <v>27931</v>
      </c>
      <c r="C3160" s="75" t="s">
        <v>206</v>
      </c>
      <c r="D3160" s="176">
        <v>29468.9</v>
      </c>
      <c r="E3160" s="151">
        <v>44807</v>
      </c>
      <c r="F3160" s="176">
        <v>29468.9</v>
      </c>
      <c r="G3160" s="177">
        <f>Tabla19[[#This Row],[Importe]]-Tabla19[[#This Row],[Pagado]]</f>
        <v>0</v>
      </c>
      <c r="H3160" s="75" t="s">
        <v>10</v>
      </c>
    </row>
    <row r="3161" spans="1:8" x14ac:dyDescent="0.25">
      <c r="A3161" s="148">
        <v>44804</v>
      </c>
      <c r="B3161" s="149" t="s">
        <v>27932</v>
      </c>
      <c r="C3161" s="153" t="s">
        <v>31</v>
      </c>
      <c r="D3161" s="178">
        <v>598.4</v>
      </c>
      <c r="E3161" s="155">
        <v>44804</v>
      </c>
      <c r="F3161" s="178">
        <v>598.4</v>
      </c>
      <c r="G3161" s="179">
        <f>Tabla19[[#This Row],[Importe]]-Tabla19[[#This Row],[Pagado]]</f>
        <v>0</v>
      </c>
      <c r="H3161" s="153" t="s">
        <v>10</v>
      </c>
    </row>
    <row r="3162" spans="1:8" x14ac:dyDescent="0.25">
      <c r="A3162" s="73">
        <v>44804</v>
      </c>
      <c r="B3162" s="74" t="s">
        <v>27933</v>
      </c>
      <c r="C3162" s="75" t="s">
        <v>218</v>
      </c>
      <c r="D3162" s="176">
        <v>14554.6</v>
      </c>
      <c r="E3162" s="151">
        <v>44807</v>
      </c>
      <c r="F3162" s="176">
        <v>14554.6</v>
      </c>
      <c r="G3162" s="177">
        <f>Tabla19[[#This Row],[Importe]]-Tabla19[[#This Row],[Pagado]]</f>
        <v>0</v>
      </c>
      <c r="H3162" s="75" t="s">
        <v>10</v>
      </c>
    </row>
    <row r="3163" spans="1:8" x14ac:dyDescent="0.25">
      <c r="A3163" s="148">
        <v>44804</v>
      </c>
      <c r="B3163" s="149" t="s">
        <v>27934</v>
      </c>
      <c r="C3163" s="153" t="s">
        <v>154</v>
      </c>
      <c r="D3163" s="178">
        <v>39133.800000000003</v>
      </c>
      <c r="E3163" s="155">
        <v>44807</v>
      </c>
      <c r="F3163" s="178">
        <v>39133.800000000003</v>
      </c>
      <c r="G3163" s="179">
        <f>Tabla19[[#This Row],[Importe]]-Tabla19[[#This Row],[Pagado]]</f>
        <v>0</v>
      </c>
      <c r="H3163" s="153" t="s">
        <v>10</v>
      </c>
    </row>
    <row r="3164" spans="1:8" x14ac:dyDescent="0.25">
      <c r="A3164" s="73">
        <v>44804</v>
      </c>
      <c r="B3164" s="74" t="s">
        <v>27935</v>
      </c>
      <c r="C3164" s="75" t="s">
        <v>1676</v>
      </c>
      <c r="D3164" s="176">
        <v>10635.2</v>
      </c>
      <c r="E3164" s="151">
        <v>44804</v>
      </c>
      <c r="F3164" s="176">
        <v>10635.2</v>
      </c>
      <c r="G3164" s="177">
        <f>Tabla19[[#This Row],[Importe]]-Tabla19[[#This Row],[Pagado]]</f>
        <v>0</v>
      </c>
      <c r="H3164" s="75" t="s">
        <v>10</v>
      </c>
    </row>
    <row r="3165" spans="1:8" x14ac:dyDescent="0.25">
      <c r="A3165" s="148">
        <v>44804</v>
      </c>
      <c r="B3165" s="149" t="s">
        <v>27936</v>
      </c>
      <c r="C3165" s="153" t="s">
        <v>24</v>
      </c>
      <c r="D3165" s="178">
        <v>3031.7</v>
      </c>
      <c r="E3165" s="155">
        <v>44804</v>
      </c>
      <c r="F3165" s="178">
        <v>3031.7</v>
      </c>
      <c r="G3165" s="179">
        <f>Tabla19[[#This Row],[Importe]]-Tabla19[[#This Row],[Pagado]]</f>
        <v>0</v>
      </c>
      <c r="H3165" s="153" t="s">
        <v>10</v>
      </c>
    </row>
    <row r="3166" spans="1:8" x14ac:dyDescent="0.25">
      <c r="A3166" s="73">
        <v>44804</v>
      </c>
      <c r="B3166" s="74" t="s">
        <v>27937</v>
      </c>
      <c r="C3166" s="75" t="s">
        <v>24</v>
      </c>
      <c r="D3166" s="176">
        <v>124</v>
      </c>
      <c r="E3166" s="151">
        <v>44804</v>
      </c>
      <c r="F3166" s="176">
        <v>124</v>
      </c>
      <c r="G3166" s="177">
        <f>Tabla19[[#This Row],[Importe]]-Tabla19[[#This Row],[Pagado]]</f>
        <v>0</v>
      </c>
      <c r="H3166" s="75" t="s">
        <v>10</v>
      </c>
    </row>
    <row r="3167" spans="1:8" x14ac:dyDescent="0.25">
      <c r="A3167" s="148">
        <v>44804</v>
      </c>
      <c r="B3167" s="149" t="s">
        <v>27938</v>
      </c>
      <c r="C3167" s="153" t="s">
        <v>230</v>
      </c>
      <c r="D3167" s="178">
        <v>2444</v>
      </c>
      <c r="E3167" s="155">
        <v>44804</v>
      </c>
      <c r="F3167" s="178">
        <v>2444</v>
      </c>
      <c r="G3167" s="179">
        <f>Tabla19[[#This Row],[Importe]]-Tabla19[[#This Row],[Pagado]]</f>
        <v>0</v>
      </c>
      <c r="H3167" s="153" t="s">
        <v>10</v>
      </c>
    </row>
    <row r="3168" spans="1:8" x14ac:dyDescent="0.25">
      <c r="A3168" s="73">
        <v>44804</v>
      </c>
      <c r="B3168" s="74" t="s">
        <v>27939</v>
      </c>
      <c r="C3168" s="75" t="s">
        <v>191</v>
      </c>
      <c r="D3168" s="176">
        <v>1890</v>
      </c>
      <c r="E3168" s="151">
        <v>44804</v>
      </c>
      <c r="F3168" s="176">
        <v>1890</v>
      </c>
      <c r="G3168" s="177">
        <f>Tabla19[[#This Row],[Importe]]-Tabla19[[#This Row],[Pagado]]</f>
        <v>0</v>
      </c>
      <c r="H3168" s="75" t="s">
        <v>10</v>
      </c>
    </row>
    <row r="3169" spans="1:8" x14ac:dyDescent="0.25">
      <c r="A3169" s="148">
        <v>44804</v>
      </c>
      <c r="B3169" s="149" t="s">
        <v>27940</v>
      </c>
      <c r="C3169" s="153" t="s">
        <v>15868</v>
      </c>
      <c r="D3169" s="178">
        <v>46720</v>
      </c>
      <c r="E3169" s="155">
        <v>44805</v>
      </c>
      <c r="F3169" s="178">
        <v>46720</v>
      </c>
      <c r="G3169" s="179">
        <f>Tabla19[[#This Row],[Importe]]-Tabla19[[#This Row],[Pagado]]</f>
        <v>0</v>
      </c>
      <c r="H3169" s="153" t="s">
        <v>10</v>
      </c>
    </row>
    <row r="3170" spans="1:8" x14ac:dyDescent="0.25">
      <c r="A3170" s="73">
        <v>44804</v>
      </c>
      <c r="B3170" s="74" t="s">
        <v>27941</v>
      </c>
      <c r="C3170" s="75" t="s">
        <v>555</v>
      </c>
      <c r="D3170" s="176">
        <v>25826.240000000002</v>
      </c>
      <c r="E3170" s="151">
        <v>44806</v>
      </c>
      <c r="F3170" s="176">
        <v>25826.240000000002</v>
      </c>
      <c r="G3170" s="177">
        <f>Tabla19[[#This Row],[Importe]]-Tabla19[[#This Row],[Pagado]]</f>
        <v>0</v>
      </c>
      <c r="H3170" s="75" t="s">
        <v>10</v>
      </c>
    </row>
    <row r="3171" spans="1:8" x14ac:dyDescent="0.25">
      <c r="A3171" s="148">
        <v>44804</v>
      </c>
      <c r="B3171" s="149" t="s">
        <v>27942</v>
      </c>
      <c r="C3171" s="153" t="s">
        <v>31</v>
      </c>
      <c r="D3171" s="178">
        <v>3544.8</v>
      </c>
      <c r="E3171" s="155">
        <v>44804</v>
      </c>
      <c r="F3171" s="178">
        <v>3544.8</v>
      </c>
      <c r="G3171" s="179">
        <f>Tabla19[[#This Row],[Importe]]-Tabla19[[#This Row],[Pagado]]</f>
        <v>0</v>
      </c>
      <c r="H3171" s="153" t="s">
        <v>10</v>
      </c>
    </row>
    <row r="3172" spans="1:8" x14ac:dyDescent="0.25">
      <c r="A3172" s="73">
        <v>44804</v>
      </c>
      <c r="B3172" s="74" t="s">
        <v>27943</v>
      </c>
      <c r="C3172" s="75" t="s">
        <v>31</v>
      </c>
      <c r="D3172" s="176">
        <v>2813.6</v>
      </c>
      <c r="E3172" s="151">
        <v>44804</v>
      </c>
      <c r="F3172" s="176">
        <v>2813.6</v>
      </c>
      <c r="G3172" s="177">
        <f>Tabla19[[#This Row],[Importe]]-Tabla19[[#This Row],[Pagado]]</f>
        <v>0</v>
      </c>
      <c r="H3172" s="75" t="s">
        <v>10</v>
      </c>
    </row>
    <row r="3173" spans="1:8" x14ac:dyDescent="0.25">
      <c r="A3173" s="148">
        <v>44804</v>
      </c>
      <c r="B3173" s="149" t="s">
        <v>27944</v>
      </c>
      <c r="C3173" s="153" t="s">
        <v>587</v>
      </c>
      <c r="D3173" s="178">
        <v>6210.72</v>
      </c>
      <c r="E3173" s="155">
        <v>44804</v>
      </c>
      <c r="F3173" s="178">
        <v>6210.72</v>
      </c>
      <c r="G3173" s="179">
        <f>Tabla19[[#This Row],[Importe]]-Tabla19[[#This Row],[Pagado]]</f>
        <v>0</v>
      </c>
      <c r="H3173" s="153" t="s">
        <v>10</v>
      </c>
    </row>
    <row r="3174" spans="1:8" x14ac:dyDescent="0.25">
      <c r="A3174" s="73">
        <v>44804</v>
      </c>
      <c r="B3174" s="74" t="s">
        <v>27945</v>
      </c>
      <c r="C3174" s="75" t="s">
        <v>5126</v>
      </c>
      <c r="D3174" s="176">
        <v>46220</v>
      </c>
      <c r="E3174" s="151">
        <v>44804</v>
      </c>
      <c r="F3174" s="176">
        <v>46220</v>
      </c>
      <c r="G3174" s="177">
        <f>Tabla19[[#This Row],[Importe]]-Tabla19[[#This Row],[Pagado]]</f>
        <v>0</v>
      </c>
      <c r="H3174" s="75" t="s">
        <v>10</v>
      </c>
    </row>
    <row r="3175" spans="1:8" ht="31.5" x14ac:dyDescent="0.25">
      <c r="A3175" s="148">
        <v>44804</v>
      </c>
      <c r="B3175" s="149" t="s">
        <v>27946</v>
      </c>
      <c r="C3175" s="153" t="s">
        <v>133</v>
      </c>
      <c r="D3175" s="178">
        <v>27876</v>
      </c>
      <c r="E3175" s="150" t="s">
        <v>28002</v>
      </c>
      <c r="F3175" s="178">
        <f>1024.76+26851.24</f>
        <v>27876</v>
      </c>
      <c r="G3175" s="179">
        <f>Tabla19[[#This Row],[Importe]]-Tabla19[[#This Row],[Pagado]]</f>
        <v>0</v>
      </c>
      <c r="H3175" s="153" t="s">
        <v>1695</v>
      </c>
    </row>
    <row r="3176" spans="1:8" x14ac:dyDescent="0.25">
      <c r="A3176" s="73">
        <v>44804</v>
      </c>
      <c r="B3176" s="74" t="s">
        <v>27947</v>
      </c>
      <c r="C3176" s="75" t="s">
        <v>212</v>
      </c>
      <c r="D3176" s="176">
        <v>22691.200000000001</v>
      </c>
      <c r="E3176" s="151">
        <v>44807</v>
      </c>
      <c r="F3176" s="176">
        <v>22691.200000000001</v>
      </c>
      <c r="G3176" s="177">
        <f>Tabla19[[#This Row],[Importe]]-Tabla19[[#This Row],[Pagado]]</f>
        <v>0</v>
      </c>
      <c r="H3176" s="75" t="s">
        <v>10</v>
      </c>
    </row>
    <row r="3177" spans="1:8" x14ac:dyDescent="0.25">
      <c r="A3177" s="148">
        <v>44804</v>
      </c>
      <c r="B3177" s="149" t="s">
        <v>27948</v>
      </c>
      <c r="C3177" s="153" t="s">
        <v>414</v>
      </c>
      <c r="D3177" s="178">
        <v>22995.200000000001</v>
      </c>
      <c r="E3177" s="155">
        <v>44809</v>
      </c>
      <c r="F3177" s="178">
        <v>22995.200000000001</v>
      </c>
      <c r="G3177" s="179">
        <f>Tabla19[[#This Row],[Importe]]-Tabla19[[#This Row],[Pagado]]</f>
        <v>0</v>
      </c>
      <c r="H3177" s="153" t="s">
        <v>10</v>
      </c>
    </row>
    <row r="3178" spans="1:8" x14ac:dyDescent="0.25">
      <c r="A3178" s="73">
        <v>44804</v>
      </c>
      <c r="B3178" s="74" t="s">
        <v>27949</v>
      </c>
      <c r="C3178" s="75" t="s">
        <v>27950</v>
      </c>
      <c r="D3178" s="176">
        <v>9690</v>
      </c>
      <c r="E3178" s="151">
        <v>44804</v>
      </c>
      <c r="F3178" s="176">
        <v>9690</v>
      </c>
      <c r="G3178" s="177">
        <f>Tabla19[[#This Row],[Importe]]-Tabla19[[#This Row],[Pagado]]</f>
        <v>0</v>
      </c>
      <c r="H3178" s="75" t="s">
        <v>10</v>
      </c>
    </row>
    <row r="3179" spans="1:8" x14ac:dyDescent="0.25">
      <c r="A3179" s="148">
        <v>44804</v>
      </c>
      <c r="B3179" s="149" t="s">
        <v>27951</v>
      </c>
      <c r="C3179" s="153" t="s">
        <v>1378</v>
      </c>
      <c r="D3179" s="178">
        <v>46563.199999999997</v>
      </c>
      <c r="E3179" s="155">
        <v>44805</v>
      </c>
      <c r="F3179" s="178">
        <v>46563.199999999997</v>
      </c>
      <c r="G3179" s="179">
        <f>Tabla19[[#This Row],[Importe]]-Tabla19[[#This Row],[Pagado]]</f>
        <v>0</v>
      </c>
      <c r="H3179" s="153" t="s">
        <v>10</v>
      </c>
    </row>
    <row r="3180" spans="1:8" x14ac:dyDescent="0.25">
      <c r="A3180" s="73">
        <v>44804</v>
      </c>
      <c r="B3180" s="74" t="s">
        <v>27952</v>
      </c>
      <c r="C3180" s="75" t="s">
        <v>670</v>
      </c>
      <c r="D3180" s="176">
        <v>4876.3999999999996</v>
      </c>
      <c r="E3180" s="151">
        <v>44806</v>
      </c>
      <c r="F3180" s="176">
        <v>4876.3999999999996</v>
      </c>
      <c r="G3180" s="177">
        <f>Tabla19[[#This Row],[Importe]]-Tabla19[[#This Row],[Pagado]]</f>
        <v>0</v>
      </c>
      <c r="H3180" s="75" t="s">
        <v>10</v>
      </c>
    </row>
    <row r="3181" spans="1:8" x14ac:dyDescent="0.25">
      <c r="A3181" s="148">
        <v>44804</v>
      </c>
      <c r="B3181" s="149" t="s">
        <v>27953</v>
      </c>
      <c r="C3181" s="153" t="s">
        <v>263</v>
      </c>
      <c r="D3181" s="178">
        <v>188713.5</v>
      </c>
      <c r="E3181" s="155">
        <v>44804</v>
      </c>
      <c r="F3181" s="178">
        <v>188713.5</v>
      </c>
      <c r="G3181" s="179">
        <f>Tabla19[[#This Row],[Importe]]-Tabla19[[#This Row],[Pagado]]</f>
        <v>0</v>
      </c>
      <c r="H3181" s="153" t="s">
        <v>10</v>
      </c>
    </row>
    <row r="3182" spans="1:8" x14ac:dyDescent="0.25">
      <c r="A3182" s="73">
        <v>44804</v>
      </c>
      <c r="B3182" s="74" t="s">
        <v>27954</v>
      </c>
      <c r="C3182" s="75" t="s">
        <v>31</v>
      </c>
      <c r="D3182" s="176">
        <v>1352</v>
      </c>
      <c r="E3182" s="151">
        <v>44804</v>
      </c>
      <c r="F3182" s="176">
        <v>1352</v>
      </c>
      <c r="G3182" s="177">
        <f>Tabla19[[#This Row],[Importe]]-Tabla19[[#This Row],[Pagado]]</f>
        <v>0</v>
      </c>
      <c r="H3182" s="75" t="s">
        <v>10</v>
      </c>
    </row>
    <row r="3183" spans="1:8" x14ac:dyDescent="0.25">
      <c r="A3183" s="148">
        <v>44804</v>
      </c>
      <c r="B3183" s="149" t="s">
        <v>27955</v>
      </c>
      <c r="C3183" s="153" t="s">
        <v>226</v>
      </c>
      <c r="D3183" s="178">
        <v>12996.1</v>
      </c>
      <c r="E3183" s="155">
        <v>44804</v>
      </c>
      <c r="F3183" s="178">
        <v>12996.1</v>
      </c>
      <c r="G3183" s="179">
        <f>Tabla19[[#This Row],[Importe]]-Tabla19[[#This Row],[Pagado]]</f>
        <v>0</v>
      </c>
      <c r="H3183" s="153" t="s">
        <v>10</v>
      </c>
    </row>
    <row r="3184" spans="1:8" x14ac:dyDescent="0.25">
      <c r="A3184" s="73">
        <v>44804</v>
      </c>
      <c r="B3184" s="74" t="s">
        <v>27956</v>
      </c>
      <c r="C3184" s="75" t="s">
        <v>9827</v>
      </c>
      <c r="D3184" s="176">
        <v>3502</v>
      </c>
      <c r="E3184" s="151">
        <v>44804</v>
      </c>
      <c r="F3184" s="176">
        <v>3502</v>
      </c>
      <c r="G3184" s="177">
        <f>Tabla19[[#This Row],[Importe]]-Tabla19[[#This Row],[Pagado]]</f>
        <v>0</v>
      </c>
      <c r="H3184" s="75" t="s">
        <v>10</v>
      </c>
    </row>
    <row r="3185" spans="1:8" x14ac:dyDescent="0.25">
      <c r="A3185" s="148">
        <v>44804</v>
      </c>
      <c r="B3185" s="149" t="s">
        <v>27957</v>
      </c>
      <c r="C3185" s="153" t="s">
        <v>409</v>
      </c>
      <c r="D3185" s="178">
        <v>3812.4</v>
      </c>
      <c r="E3185" s="155">
        <v>44807</v>
      </c>
      <c r="F3185" s="178">
        <v>3812.4</v>
      </c>
      <c r="G3185" s="179">
        <f>Tabla19[[#This Row],[Importe]]-Tabla19[[#This Row],[Pagado]]</f>
        <v>0</v>
      </c>
      <c r="H3185" s="153" t="s">
        <v>10</v>
      </c>
    </row>
    <row r="3186" spans="1:8" x14ac:dyDescent="0.25">
      <c r="A3186" s="73">
        <v>44804</v>
      </c>
      <c r="B3186" s="74" t="s">
        <v>27958</v>
      </c>
      <c r="C3186" s="75" t="s">
        <v>562</v>
      </c>
      <c r="D3186" s="176">
        <v>4200.8999999999996</v>
      </c>
      <c r="E3186" s="151">
        <v>44804</v>
      </c>
      <c r="F3186" s="176">
        <v>4200.8999999999996</v>
      </c>
      <c r="G3186" s="177">
        <f>Tabla19[[#This Row],[Importe]]-Tabla19[[#This Row],[Pagado]]</f>
        <v>0</v>
      </c>
      <c r="H3186" s="75" t="s">
        <v>10</v>
      </c>
    </row>
    <row r="3187" spans="1:8" x14ac:dyDescent="0.25">
      <c r="A3187" s="148">
        <v>44804</v>
      </c>
      <c r="B3187" s="149" t="s">
        <v>27959</v>
      </c>
      <c r="C3187" s="153" t="s">
        <v>67</v>
      </c>
      <c r="D3187" s="178">
        <v>2163.1999999999998</v>
      </c>
      <c r="E3187" s="155">
        <v>44804</v>
      </c>
      <c r="F3187" s="178">
        <v>2163.1999999999998</v>
      </c>
      <c r="G3187" s="179">
        <f>Tabla19[[#This Row],[Importe]]-Tabla19[[#This Row],[Pagado]]</f>
        <v>0</v>
      </c>
      <c r="H3187" s="153" t="s">
        <v>10</v>
      </c>
    </row>
    <row r="3188" spans="1:8" x14ac:dyDescent="0.25">
      <c r="A3188" s="73">
        <v>44804</v>
      </c>
      <c r="B3188" s="74" t="s">
        <v>27960</v>
      </c>
      <c r="C3188" s="75" t="s">
        <v>296</v>
      </c>
      <c r="D3188" s="176">
        <v>3616.2</v>
      </c>
      <c r="E3188" s="151">
        <v>44804</v>
      </c>
      <c r="F3188" s="176">
        <v>3616.2</v>
      </c>
      <c r="G3188" s="177">
        <f>Tabla19[[#This Row],[Importe]]-Tabla19[[#This Row],[Pagado]]</f>
        <v>0</v>
      </c>
      <c r="H3188" s="75" t="s">
        <v>10</v>
      </c>
    </row>
    <row r="3189" spans="1:8" x14ac:dyDescent="0.25">
      <c r="A3189" s="148">
        <v>44804</v>
      </c>
      <c r="B3189" s="149" t="s">
        <v>27961</v>
      </c>
      <c r="C3189" s="153" t="s">
        <v>71</v>
      </c>
      <c r="D3189" s="178">
        <v>1252.8</v>
      </c>
      <c r="E3189" s="155">
        <v>44804</v>
      </c>
      <c r="F3189" s="178">
        <v>1252.8</v>
      </c>
      <c r="G3189" s="179">
        <f>Tabla19[[#This Row],[Importe]]-Tabla19[[#This Row],[Pagado]]</f>
        <v>0</v>
      </c>
      <c r="H3189" s="153" t="s">
        <v>10</v>
      </c>
    </row>
    <row r="3190" spans="1:8" x14ac:dyDescent="0.25">
      <c r="A3190" s="73">
        <v>44804</v>
      </c>
      <c r="B3190" s="74" t="s">
        <v>27962</v>
      </c>
      <c r="C3190" s="75" t="s">
        <v>31</v>
      </c>
      <c r="D3190" s="176">
        <v>1020</v>
      </c>
      <c r="E3190" s="151">
        <v>44804</v>
      </c>
      <c r="F3190" s="176">
        <v>1020</v>
      </c>
      <c r="G3190" s="177">
        <f>Tabla19[[#This Row],[Importe]]-Tabla19[[#This Row],[Pagado]]</f>
        <v>0</v>
      </c>
      <c r="H3190" s="75" t="s">
        <v>10</v>
      </c>
    </row>
    <row r="3191" spans="1:8" x14ac:dyDescent="0.25">
      <c r="A3191" s="148">
        <v>44804</v>
      </c>
      <c r="B3191" s="149" t="s">
        <v>27963</v>
      </c>
      <c r="C3191" s="153" t="s">
        <v>31</v>
      </c>
      <c r="D3191" s="178">
        <v>3142.8</v>
      </c>
      <c r="E3191" s="155">
        <v>44804</v>
      </c>
      <c r="F3191" s="178">
        <v>3142.8</v>
      </c>
      <c r="G3191" s="179">
        <f>Tabla19[[#This Row],[Importe]]-Tabla19[[#This Row],[Pagado]]</f>
        <v>0</v>
      </c>
      <c r="H3191" s="153" t="s">
        <v>10</v>
      </c>
    </row>
    <row r="3192" spans="1:8" x14ac:dyDescent="0.25">
      <c r="A3192" s="73">
        <v>44804</v>
      </c>
      <c r="B3192" s="74" t="s">
        <v>27964</v>
      </c>
      <c r="C3192" s="75" t="s">
        <v>31</v>
      </c>
      <c r="D3192" s="176">
        <v>6146.2</v>
      </c>
      <c r="E3192" s="151">
        <v>44804</v>
      </c>
      <c r="F3192" s="176">
        <v>6146.2</v>
      </c>
      <c r="G3192" s="177">
        <f>Tabla19[[#This Row],[Importe]]-Tabla19[[#This Row],[Pagado]]</f>
        <v>0</v>
      </c>
      <c r="H3192" s="75" t="s">
        <v>10</v>
      </c>
    </row>
    <row r="3193" spans="1:8" x14ac:dyDescent="0.25">
      <c r="A3193" s="148">
        <v>44804</v>
      </c>
      <c r="B3193" s="149" t="s">
        <v>27965</v>
      </c>
      <c r="C3193" s="153" t="s">
        <v>181</v>
      </c>
      <c r="D3193" s="178">
        <v>11077</v>
      </c>
      <c r="E3193" s="155">
        <v>44805</v>
      </c>
      <c r="F3193" s="178">
        <v>11077</v>
      </c>
      <c r="G3193" s="179">
        <f>Tabla19[[#This Row],[Importe]]-Tabla19[[#This Row],[Pagado]]</f>
        <v>0</v>
      </c>
      <c r="H3193" s="153" t="s">
        <v>10</v>
      </c>
    </row>
    <row r="3194" spans="1:8" x14ac:dyDescent="0.25">
      <c r="A3194" s="73">
        <v>44804</v>
      </c>
      <c r="B3194" s="74" t="s">
        <v>27966</v>
      </c>
      <c r="C3194" s="75" t="s">
        <v>31</v>
      </c>
      <c r="D3194" s="176">
        <v>3988.2</v>
      </c>
      <c r="E3194" s="151">
        <v>44804</v>
      </c>
      <c r="F3194" s="176">
        <v>3988.2</v>
      </c>
      <c r="G3194" s="177">
        <f>Tabla19[[#This Row],[Importe]]-Tabla19[[#This Row],[Pagado]]</f>
        <v>0</v>
      </c>
      <c r="H3194" s="75" t="s">
        <v>10</v>
      </c>
    </row>
    <row r="3195" spans="1:8" x14ac:dyDescent="0.25">
      <c r="A3195" s="148">
        <v>44804</v>
      </c>
      <c r="B3195" s="149" t="s">
        <v>27967</v>
      </c>
      <c r="C3195" s="153" t="s">
        <v>426</v>
      </c>
      <c r="D3195" s="178">
        <v>6150</v>
      </c>
      <c r="E3195" s="155">
        <v>44805</v>
      </c>
      <c r="F3195" s="178">
        <v>6150</v>
      </c>
      <c r="G3195" s="179">
        <f>Tabla19[[#This Row],[Importe]]-Tabla19[[#This Row],[Pagado]]</f>
        <v>0</v>
      </c>
      <c r="H3195" s="153" t="s">
        <v>10</v>
      </c>
    </row>
    <row r="3196" spans="1:8" x14ac:dyDescent="0.25">
      <c r="A3196" s="73">
        <v>44804</v>
      </c>
      <c r="B3196" s="74" t="s">
        <v>27968</v>
      </c>
      <c r="C3196" s="75" t="s">
        <v>142</v>
      </c>
      <c r="D3196" s="176">
        <v>70935.199999999997</v>
      </c>
      <c r="E3196" s="151">
        <v>44847</v>
      </c>
      <c r="F3196" s="176">
        <v>70935.199999999997</v>
      </c>
      <c r="G3196" s="177">
        <f>Tabla19[[#This Row],[Importe]]-Tabla19[[#This Row],[Pagado]]</f>
        <v>0</v>
      </c>
      <c r="H3196" s="75" t="s">
        <v>10</v>
      </c>
    </row>
    <row r="3197" spans="1:8" x14ac:dyDescent="0.25">
      <c r="A3197" s="148">
        <v>44804</v>
      </c>
      <c r="B3197" s="149" t="s">
        <v>27969</v>
      </c>
      <c r="C3197" s="153" t="s">
        <v>175</v>
      </c>
      <c r="D3197" s="178">
        <v>13095</v>
      </c>
      <c r="E3197" s="155">
        <v>44805</v>
      </c>
      <c r="F3197" s="178">
        <v>13095</v>
      </c>
      <c r="G3197" s="179">
        <f>Tabla19[[#This Row],[Importe]]-Tabla19[[#This Row],[Pagado]]</f>
        <v>0</v>
      </c>
      <c r="H3197" s="153" t="s">
        <v>10</v>
      </c>
    </row>
    <row r="3198" spans="1:8" x14ac:dyDescent="0.25">
      <c r="A3198" s="73">
        <v>44804</v>
      </c>
      <c r="B3198" s="74" t="s">
        <v>27970</v>
      </c>
      <c r="C3198" s="75" t="s">
        <v>198</v>
      </c>
      <c r="D3198" s="176">
        <v>5808.6</v>
      </c>
      <c r="E3198" s="151">
        <v>44805</v>
      </c>
      <c r="F3198" s="176">
        <v>5808.6</v>
      </c>
      <c r="G3198" s="177">
        <f>Tabla19[[#This Row],[Importe]]-Tabla19[[#This Row],[Pagado]]</f>
        <v>0</v>
      </c>
      <c r="H3198" s="75" t="s">
        <v>10</v>
      </c>
    </row>
    <row r="3199" spans="1:8" x14ac:dyDescent="0.25">
      <c r="A3199" s="148">
        <v>44804</v>
      </c>
      <c r="B3199" s="149" t="s">
        <v>27971</v>
      </c>
      <c r="C3199" s="153" t="s">
        <v>1421</v>
      </c>
      <c r="D3199" s="178">
        <v>62957.4</v>
      </c>
      <c r="E3199" s="155">
        <v>44804</v>
      </c>
      <c r="F3199" s="178">
        <v>62957.4</v>
      </c>
      <c r="G3199" s="179">
        <f>Tabla19[[#This Row],[Importe]]-Tabla19[[#This Row],[Pagado]]</f>
        <v>0</v>
      </c>
      <c r="H3199" s="153" t="s">
        <v>10</v>
      </c>
    </row>
    <row r="3200" spans="1:8" x14ac:dyDescent="0.25">
      <c r="A3200" s="73">
        <v>44804</v>
      </c>
      <c r="B3200" s="74" t="s">
        <v>27972</v>
      </c>
      <c r="C3200" s="75" t="s">
        <v>5694</v>
      </c>
      <c r="D3200" s="176">
        <v>4055.2</v>
      </c>
      <c r="E3200" s="151">
        <v>44804</v>
      </c>
      <c r="F3200" s="176">
        <v>4055.2</v>
      </c>
      <c r="G3200" s="177">
        <f>Tabla19[[#This Row],[Importe]]-Tabla19[[#This Row],[Pagado]]</f>
        <v>0</v>
      </c>
      <c r="H3200" s="75" t="s">
        <v>10</v>
      </c>
    </row>
    <row r="3201" spans="1:8" x14ac:dyDescent="0.25">
      <c r="A3201" s="148">
        <v>44804</v>
      </c>
      <c r="B3201" s="149" t="s">
        <v>27973</v>
      </c>
      <c r="C3201" s="153" t="s">
        <v>14743</v>
      </c>
      <c r="D3201" s="178">
        <v>0</v>
      </c>
      <c r="E3201" s="158" t="s">
        <v>189</v>
      </c>
      <c r="F3201" s="178">
        <v>0</v>
      </c>
      <c r="G3201" s="179">
        <f>Tabla19[[#This Row],[Importe]]-Tabla19[[#This Row],[Pagado]]</f>
        <v>0</v>
      </c>
      <c r="H3201" s="153" t="s">
        <v>189</v>
      </c>
    </row>
    <row r="3202" spans="1:8" x14ac:dyDescent="0.25">
      <c r="A3202" s="73">
        <v>44804</v>
      </c>
      <c r="B3202" s="74" t="s">
        <v>27974</v>
      </c>
      <c r="C3202" s="75" t="s">
        <v>296</v>
      </c>
      <c r="D3202" s="176">
        <v>4569.7</v>
      </c>
      <c r="E3202" s="151">
        <v>44804</v>
      </c>
      <c r="F3202" s="176">
        <v>4569.7</v>
      </c>
      <c r="G3202" s="177">
        <f>Tabla19[[#This Row],[Importe]]-Tabla19[[#This Row],[Pagado]]</f>
        <v>0</v>
      </c>
      <c r="H3202" s="75" t="s">
        <v>10</v>
      </c>
    </row>
    <row r="3203" spans="1:8" x14ac:dyDescent="0.25">
      <c r="A3203" s="148">
        <v>44804</v>
      </c>
      <c r="B3203" s="149" t="s">
        <v>27975</v>
      </c>
      <c r="C3203" s="153" t="s">
        <v>448</v>
      </c>
      <c r="D3203" s="178">
        <v>20400</v>
      </c>
      <c r="E3203" s="155">
        <v>44805</v>
      </c>
      <c r="F3203" s="178">
        <v>20400</v>
      </c>
      <c r="G3203" s="179">
        <f>Tabla19[[#This Row],[Importe]]-Tabla19[[#This Row],[Pagado]]</f>
        <v>0</v>
      </c>
      <c r="H3203" s="153" t="s">
        <v>10</v>
      </c>
    </row>
    <row r="3204" spans="1:8" x14ac:dyDescent="0.25">
      <c r="A3204" s="73">
        <v>44804</v>
      </c>
      <c r="B3204" s="74" t="s">
        <v>27976</v>
      </c>
      <c r="C3204" s="75" t="s">
        <v>1008</v>
      </c>
      <c r="D3204" s="176">
        <v>535.5</v>
      </c>
      <c r="E3204" s="151">
        <v>44804</v>
      </c>
      <c r="F3204" s="176">
        <v>535.5</v>
      </c>
      <c r="G3204" s="177">
        <f>Tabla19[[#This Row],[Importe]]-Tabla19[[#This Row],[Pagado]]</f>
        <v>0</v>
      </c>
      <c r="H3204" s="75" t="s">
        <v>10</v>
      </c>
    </row>
    <row r="3205" spans="1:8" x14ac:dyDescent="0.25">
      <c r="A3205" s="148">
        <v>44804</v>
      </c>
      <c r="B3205" s="149" t="s">
        <v>27977</v>
      </c>
      <c r="C3205" s="153" t="s">
        <v>75</v>
      </c>
      <c r="D3205" s="178">
        <v>4386</v>
      </c>
      <c r="E3205" s="155">
        <v>44805</v>
      </c>
      <c r="F3205" s="178">
        <v>4386</v>
      </c>
      <c r="G3205" s="179">
        <f>Tabla19[[#This Row],[Importe]]-Tabla19[[#This Row],[Pagado]]</f>
        <v>0</v>
      </c>
      <c r="H3205" s="153" t="s">
        <v>10</v>
      </c>
    </row>
    <row r="3206" spans="1:8" x14ac:dyDescent="0.25">
      <c r="A3206" s="73">
        <v>44804</v>
      </c>
      <c r="B3206" s="74" t="s">
        <v>27978</v>
      </c>
      <c r="C3206" s="75" t="s">
        <v>4136</v>
      </c>
      <c r="D3206" s="176">
        <v>3182.5</v>
      </c>
      <c r="E3206" s="151">
        <v>44804</v>
      </c>
      <c r="F3206" s="176">
        <v>3182.5</v>
      </c>
      <c r="G3206" s="177">
        <f>Tabla19[[#This Row],[Importe]]-Tabla19[[#This Row],[Pagado]]</f>
        <v>0</v>
      </c>
      <c r="H3206" s="75" t="s">
        <v>10</v>
      </c>
    </row>
    <row r="3207" spans="1:8" x14ac:dyDescent="0.25">
      <c r="A3207" s="148">
        <v>44804</v>
      </c>
      <c r="B3207" s="149" t="s">
        <v>27979</v>
      </c>
      <c r="C3207" s="153" t="s">
        <v>95</v>
      </c>
      <c r="D3207" s="178">
        <v>3610</v>
      </c>
      <c r="E3207" s="155">
        <v>44804</v>
      </c>
      <c r="F3207" s="178">
        <v>3610</v>
      </c>
      <c r="G3207" s="179">
        <f>Tabla19[[#This Row],[Importe]]-Tabla19[[#This Row],[Pagado]]</f>
        <v>0</v>
      </c>
      <c r="H3207" s="153" t="s">
        <v>10</v>
      </c>
    </row>
    <row r="3208" spans="1:8" x14ac:dyDescent="0.25">
      <c r="A3208" s="73">
        <v>44804</v>
      </c>
      <c r="B3208" s="74" t="s">
        <v>27980</v>
      </c>
      <c r="C3208" s="75" t="s">
        <v>27981</v>
      </c>
      <c r="D3208" s="176">
        <v>0</v>
      </c>
      <c r="E3208" s="157" t="s">
        <v>189</v>
      </c>
      <c r="F3208" s="176">
        <v>0</v>
      </c>
      <c r="G3208" s="177">
        <f>Tabla19[[#This Row],[Importe]]-Tabla19[[#This Row],[Pagado]]</f>
        <v>0</v>
      </c>
      <c r="H3208" s="161" t="s">
        <v>27982</v>
      </c>
    </row>
    <row r="3209" spans="1:8" x14ac:dyDescent="0.25">
      <c r="A3209" s="148">
        <v>44804</v>
      </c>
      <c r="B3209" s="149" t="s">
        <v>27983</v>
      </c>
      <c r="C3209" s="153" t="s">
        <v>426</v>
      </c>
      <c r="D3209" s="178">
        <v>5113.3999999999996</v>
      </c>
      <c r="E3209" s="155">
        <v>44805</v>
      </c>
      <c r="F3209" s="178">
        <v>5113.3999999999996</v>
      </c>
      <c r="G3209" s="179">
        <f>Tabla19[[#This Row],[Importe]]-Tabla19[[#This Row],[Pagado]]</f>
        <v>0</v>
      </c>
      <c r="H3209" s="153" t="s">
        <v>10</v>
      </c>
    </row>
    <row r="3210" spans="1:8" x14ac:dyDescent="0.25">
      <c r="A3210" s="73">
        <v>44804</v>
      </c>
      <c r="B3210" s="74" t="s">
        <v>27984</v>
      </c>
      <c r="C3210" s="75" t="s">
        <v>261</v>
      </c>
      <c r="D3210" s="176">
        <v>46493</v>
      </c>
      <c r="E3210" s="151">
        <v>44805</v>
      </c>
      <c r="F3210" s="176">
        <v>46493</v>
      </c>
      <c r="G3210" s="177">
        <f>Tabla19[[#This Row],[Importe]]-Tabla19[[#This Row],[Pagado]]</f>
        <v>0</v>
      </c>
      <c r="H3210" s="75" t="s">
        <v>10</v>
      </c>
    </row>
    <row r="3211" spans="1:8" x14ac:dyDescent="0.25">
      <c r="A3211" s="148">
        <v>44804</v>
      </c>
      <c r="B3211" s="149" t="s">
        <v>27985</v>
      </c>
      <c r="C3211" s="153" t="s">
        <v>24768</v>
      </c>
      <c r="D3211" s="178">
        <v>5623.2</v>
      </c>
      <c r="E3211" s="155">
        <v>44804</v>
      </c>
      <c r="F3211" s="178">
        <v>5623.2</v>
      </c>
      <c r="G3211" s="179">
        <f>Tabla19[[#This Row],[Importe]]-Tabla19[[#This Row],[Pagado]]</f>
        <v>0</v>
      </c>
      <c r="H3211" s="153" t="s">
        <v>10</v>
      </c>
    </row>
    <row r="3212" spans="1:8" x14ac:dyDescent="0.25">
      <c r="A3212" s="73">
        <v>44804</v>
      </c>
      <c r="B3212" s="74" t="s">
        <v>27986</v>
      </c>
      <c r="C3212" s="75" t="s">
        <v>69</v>
      </c>
      <c r="D3212" s="176">
        <v>1788.4</v>
      </c>
      <c r="E3212" s="151">
        <v>44804</v>
      </c>
      <c r="F3212" s="176">
        <v>1788.4</v>
      </c>
      <c r="G3212" s="177">
        <f>Tabla19[[#This Row],[Importe]]-Tabla19[[#This Row],[Pagado]]</f>
        <v>0</v>
      </c>
      <c r="H3212" s="75" t="s">
        <v>10</v>
      </c>
    </row>
    <row r="3213" spans="1:8" x14ac:dyDescent="0.25">
      <c r="A3213" s="148">
        <v>44804</v>
      </c>
      <c r="B3213" s="149" t="s">
        <v>27987</v>
      </c>
      <c r="C3213" s="153" t="s">
        <v>1437</v>
      </c>
      <c r="D3213" s="178">
        <v>25875.200000000001</v>
      </c>
      <c r="E3213" s="155">
        <v>44804</v>
      </c>
      <c r="F3213" s="178">
        <v>25875.200000000001</v>
      </c>
      <c r="G3213" s="179">
        <f>Tabla19[[#This Row],[Importe]]-Tabla19[[#This Row],[Pagado]]</f>
        <v>0</v>
      </c>
      <c r="H3213" s="153" t="s">
        <v>10</v>
      </c>
    </row>
    <row r="3214" spans="1:8" x14ac:dyDescent="0.25">
      <c r="A3214" s="73">
        <v>44804</v>
      </c>
      <c r="B3214" s="74" t="s">
        <v>27988</v>
      </c>
      <c r="C3214" s="75" t="s">
        <v>612</v>
      </c>
      <c r="D3214" s="176">
        <v>712</v>
      </c>
      <c r="E3214" s="151">
        <v>44804</v>
      </c>
      <c r="F3214" s="176">
        <v>712</v>
      </c>
      <c r="G3214" s="177">
        <f>Tabla19[[#This Row],[Importe]]-Tabla19[[#This Row],[Pagado]]</f>
        <v>0</v>
      </c>
      <c r="H3214" s="75" t="s">
        <v>10</v>
      </c>
    </row>
    <row r="3215" spans="1:8" x14ac:dyDescent="0.25">
      <c r="A3215" s="148">
        <v>44804</v>
      </c>
      <c r="B3215" s="149" t="s">
        <v>27989</v>
      </c>
      <c r="C3215" s="153" t="s">
        <v>612</v>
      </c>
      <c r="D3215" s="178">
        <v>457.2</v>
      </c>
      <c r="E3215" s="155">
        <v>44804</v>
      </c>
      <c r="F3215" s="178">
        <v>457.2</v>
      </c>
      <c r="G3215" s="179">
        <f>Tabla19[[#This Row],[Importe]]-Tabla19[[#This Row],[Pagado]]</f>
        <v>0</v>
      </c>
      <c r="H3215" s="153" t="s">
        <v>10</v>
      </c>
    </row>
    <row r="3216" spans="1:8" x14ac:dyDescent="0.25">
      <c r="A3216" s="73">
        <v>44804</v>
      </c>
      <c r="B3216" s="74" t="s">
        <v>27990</v>
      </c>
      <c r="C3216" s="75" t="s">
        <v>149</v>
      </c>
      <c r="D3216" s="176">
        <v>2400</v>
      </c>
      <c r="E3216" s="151">
        <v>44804</v>
      </c>
      <c r="F3216" s="176">
        <v>2400</v>
      </c>
      <c r="G3216" s="177">
        <f>Tabla19[[#This Row],[Importe]]-Tabla19[[#This Row],[Pagado]]</f>
        <v>0</v>
      </c>
      <c r="H3216" s="75" t="s">
        <v>10</v>
      </c>
    </row>
    <row r="3217" spans="1:8" x14ac:dyDescent="0.25">
      <c r="A3217" s="148">
        <v>44804</v>
      </c>
      <c r="B3217" s="149" t="s">
        <v>27991</v>
      </c>
      <c r="C3217" s="153" t="s">
        <v>282</v>
      </c>
      <c r="D3217" s="178">
        <v>6752.4</v>
      </c>
      <c r="E3217" s="155">
        <v>44805</v>
      </c>
      <c r="F3217" s="178">
        <v>6752.4</v>
      </c>
      <c r="G3217" s="179">
        <f>Tabla19[[#This Row],[Importe]]-Tabla19[[#This Row],[Pagado]]</f>
        <v>0</v>
      </c>
      <c r="H3217" s="153" t="s">
        <v>10</v>
      </c>
    </row>
    <row r="3218" spans="1:8" x14ac:dyDescent="0.25">
      <c r="A3218" s="73">
        <v>44804</v>
      </c>
      <c r="B3218" s="74" t="s">
        <v>27992</v>
      </c>
      <c r="C3218" s="75" t="s">
        <v>5345</v>
      </c>
      <c r="D3218" s="176">
        <v>1638.8</v>
      </c>
      <c r="E3218" s="151">
        <v>44805</v>
      </c>
      <c r="F3218" s="176">
        <v>1638.8</v>
      </c>
      <c r="G3218" s="177">
        <f>Tabla19[[#This Row],[Importe]]-Tabla19[[#This Row],[Pagado]]</f>
        <v>0</v>
      </c>
      <c r="H3218" s="75" t="s">
        <v>10</v>
      </c>
    </row>
    <row r="3219" spans="1:8" x14ac:dyDescent="0.25">
      <c r="A3219" s="148">
        <v>44804</v>
      </c>
      <c r="B3219" s="149" t="s">
        <v>27993</v>
      </c>
      <c r="C3219" s="153" t="s">
        <v>10819</v>
      </c>
      <c r="D3219" s="178">
        <v>564.4</v>
      </c>
      <c r="E3219" s="155">
        <v>44805</v>
      </c>
      <c r="F3219" s="178">
        <v>564.4</v>
      </c>
      <c r="G3219" s="179">
        <f>Tabla19[[#This Row],[Importe]]-Tabla19[[#This Row],[Pagado]]</f>
        <v>0</v>
      </c>
      <c r="H3219" s="153" t="s">
        <v>10</v>
      </c>
    </row>
    <row r="3220" spans="1:8" x14ac:dyDescent="0.25">
      <c r="A3220" s="73">
        <v>44804</v>
      </c>
      <c r="B3220" s="74" t="s">
        <v>27994</v>
      </c>
      <c r="C3220" s="75" t="s">
        <v>196</v>
      </c>
      <c r="D3220" s="176">
        <v>70490.48</v>
      </c>
      <c r="E3220" s="151">
        <v>44806</v>
      </c>
      <c r="F3220" s="176">
        <v>70490.48</v>
      </c>
      <c r="G3220" s="177">
        <f>Tabla19[[#This Row],[Importe]]-Tabla19[[#This Row],[Pagado]]</f>
        <v>0</v>
      </c>
      <c r="H3220" s="75" t="s">
        <v>10</v>
      </c>
    </row>
    <row r="3221" spans="1:8" ht="16.5" thickBot="1" x14ac:dyDescent="0.3">
      <c r="A3221" s="182"/>
      <c r="B3221" s="183"/>
      <c r="C3221" s="184"/>
      <c r="D3221" s="188">
        <v>0</v>
      </c>
      <c r="E3221" s="189"/>
      <c r="F3221" s="188">
        <v>0</v>
      </c>
      <c r="G3221" s="190">
        <f>Tabla19[[#This Row],[Importe]]-Tabla19[[#This Row],[Pagado]]</f>
        <v>0</v>
      </c>
      <c r="H3221" s="184"/>
    </row>
    <row r="3222" spans="1:8" ht="16.5" thickTop="1" x14ac:dyDescent="0.25">
      <c r="A3222" s="182"/>
      <c r="B3222" s="183"/>
      <c r="C3222" s="184"/>
      <c r="D3222" s="185">
        <f>SUBTOTAL(109,Tabla19[Importe])</f>
        <v>36642949.25999999</v>
      </c>
      <c r="E3222" s="186"/>
      <c r="F3222" s="185">
        <f>SUBTOTAL(109,Tabla19[Pagado])</f>
        <v>36485527.279999986</v>
      </c>
      <c r="G3222" s="187">
        <f>SUBTOTAL(109,Tabla19[Saldo])</f>
        <v>157421.98000000001</v>
      </c>
      <c r="H3222" s="184"/>
    </row>
    <row r="3226" spans="1:8" ht="16.5" thickBot="1" x14ac:dyDescent="0.3"/>
    <row r="3227" spans="1:8" x14ac:dyDescent="0.25">
      <c r="D3227" s="295" t="s">
        <v>27995</v>
      </c>
      <c r="E3227" s="291">
        <f>Tabla19[[#Totals],[Importe]]-Tabla19[[#Totals],[Pagado]]</f>
        <v>157421.98000000417</v>
      </c>
      <c r="F3227" s="292"/>
    </row>
    <row r="3228" spans="1:8" ht="16.5" thickBot="1" x14ac:dyDescent="0.3">
      <c r="D3228" s="296"/>
      <c r="E3228" s="293"/>
      <c r="F3228" s="294"/>
    </row>
  </sheetData>
  <mergeCells count="2">
    <mergeCell ref="E3227:F3228"/>
    <mergeCell ref="D3227:D322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416"/>
  <sheetViews>
    <sheetView zoomScale="115" zoomScaleNormal="115" workbookViewId="0">
      <pane xSplit="2" ySplit="1" topLeftCell="D3398" activePane="bottomRight" state="frozen"/>
      <selection pane="topRight" activeCell="C1" sqref="C1"/>
      <selection pane="bottomLeft" activeCell="A2" sqref="A2"/>
      <selection pane="bottomRight" activeCell="G3410" sqref="G3410"/>
    </sheetView>
  </sheetViews>
  <sheetFormatPr baseColWidth="10" defaultRowHeight="15.75" x14ac:dyDescent="0.25"/>
  <cols>
    <col min="1" max="1" width="13.140625" style="122" customWidth="1"/>
    <col min="2" max="2" width="13" style="124" bestFit="1" customWidth="1"/>
    <col min="3" max="3" width="50.140625" style="191" bestFit="1" customWidth="1"/>
    <col min="4" max="4" width="21" style="192" bestFit="1" customWidth="1"/>
    <col min="5" max="5" width="13.42578125" style="193" bestFit="1" customWidth="1"/>
    <col min="6" max="6" width="21" style="192" bestFit="1" customWidth="1"/>
    <col min="7" max="7" width="19.5703125" style="192" bestFit="1" customWidth="1"/>
    <col min="8" max="8" width="21.85546875" style="191" bestFit="1" customWidth="1"/>
    <col min="9" max="16384" width="11.42578125" style="191"/>
  </cols>
  <sheetData>
    <row r="1" spans="1:8" x14ac:dyDescent="0.25">
      <c r="A1" s="122" t="s">
        <v>0</v>
      </c>
      <c r="B1" s="124" t="s">
        <v>1</v>
      </c>
      <c r="C1" s="191" t="s">
        <v>2</v>
      </c>
      <c r="D1" s="192" t="s">
        <v>3</v>
      </c>
      <c r="E1" s="193" t="s">
        <v>4</v>
      </c>
      <c r="F1" s="192" t="s">
        <v>5</v>
      </c>
      <c r="G1" s="192" t="s">
        <v>6</v>
      </c>
      <c r="H1" s="191" t="s">
        <v>7</v>
      </c>
    </row>
    <row r="2" spans="1:8" x14ac:dyDescent="0.25">
      <c r="A2" s="127">
        <v>44805</v>
      </c>
      <c r="B2" s="128" t="s">
        <v>28013</v>
      </c>
      <c r="C2" s="194" t="s">
        <v>12</v>
      </c>
      <c r="D2" s="195">
        <v>25343.55</v>
      </c>
      <c r="E2" s="196">
        <v>44805</v>
      </c>
      <c r="F2" s="195">
        <v>25343.55</v>
      </c>
      <c r="G2" s="197">
        <f>Tabla110[[#This Row],[Importe]]-Tabla110[[#This Row],[Pagado]]</f>
        <v>0</v>
      </c>
      <c r="H2" s="194" t="s">
        <v>10</v>
      </c>
    </row>
    <row r="3" spans="1:8" x14ac:dyDescent="0.25">
      <c r="A3" s="127">
        <v>44805</v>
      </c>
      <c r="B3" s="128" t="s">
        <v>28014</v>
      </c>
      <c r="C3" s="194" t="s">
        <v>12</v>
      </c>
      <c r="D3" s="195">
        <v>5430.9</v>
      </c>
      <c r="E3" s="196">
        <v>44805</v>
      </c>
      <c r="F3" s="195">
        <v>5430.9</v>
      </c>
      <c r="G3" s="197">
        <f>Tabla110[[#This Row],[Importe]]-Tabla110[[#This Row],[Pagado]]</f>
        <v>0</v>
      </c>
      <c r="H3" s="194" t="s">
        <v>10</v>
      </c>
    </row>
    <row r="4" spans="1:8" x14ac:dyDescent="0.25">
      <c r="A4" s="127">
        <v>44805</v>
      </c>
      <c r="B4" s="128" t="s">
        <v>28015</v>
      </c>
      <c r="C4" s="194" t="s">
        <v>1187</v>
      </c>
      <c r="D4" s="195">
        <v>3165.4</v>
      </c>
      <c r="E4" s="196">
        <v>44805</v>
      </c>
      <c r="F4" s="195">
        <v>3165.4</v>
      </c>
      <c r="G4" s="197">
        <f>Tabla110[[#This Row],[Importe]]-Tabla110[[#This Row],[Pagado]]</f>
        <v>0</v>
      </c>
      <c r="H4" s="194" t="s">
        <v>10</v>
      </c>
    </row>
    <row r="5" spans="1:8" x14ac:dyDescent="0.25">
      <c r="A5" s="127">
        <v>44805</v>
      </c>
      <c r="B5" s="128" t="s">
        <v>28016</v>
      </c>
      <c r="C5" s="194" t="s">
        <v>887</v>
      </c>
      <c r="D5" s="195">
        <v>13949</v>
      </c>
      <c r="E5" s="196">
        <v>44805</v>
      </c>
      <c r="F5" s="195">
        <v>13949</v>
      </c>
      <c r="G5" s="197">
        <f>Tabla110[[#This Row],[Importe]]-Tabla110[[#This Row],[Pagado]]</f>
        <v>0</v>
      </c>
      <c r="H5" s="194" t="s">
        <v>10</v>
      </c>
    </row>
    <row r="6" spans="1:8" x14ac:dyDescent="0.25">
      <c r="A6" s="127">
        <v>44805</v>
      </c>
      <c r="B6" s="128" t="s">
        <v>28017</v>
      </c>
      <c r="C6" s="194" t="s">
        <v>475</v>
      </c>
      <c r="D6" s="195">
        <v>48587.5</v>
      </c>
      <c r="E6" s="196">
        <v>44806</v>
      </c>
      <c r="F6" s="195">
        <v>48587.5</v>
      </c>
      <c r="G6" s="197">
        <f>Tabla110[[#This Row],[Importe]]-Tabla110[[#This Row],[Pagado]]</f>
        <v>0</v>
      </c>
      <c r="H6" s="194" t="s">
        <v>10</v>
      </c>
    </row>
    <row r="7" spans="1:8" x14ac:dyDescent="0.25">
      <c r="A7" s="127">
        <v>44805</v>
      </c>
      <c r="B7" s="128" t="s">
        <v>28018</v>
      </c>
      <c r="C7" s="194" t="s">
        <v>475</v>
      </c>
      <c r="D7" s="195">
        <v>668.8</v>
      </c>
      <c r="E7" s="196">
        <v>44806</v>
      </c>
      <c r="F7" s="195">
        <v>668.8</v>
      </c>
      <c r="G7" s="197">
        <f>Tabla110[[#This Row],[Importe]]-Tabla110[[#This Row],[Pagado]]</f>
        <v>0</v>
      </c>
      <c r="H7" s="194" t="s">
        <v>10</v>
      </c>
    </row>
    <row r="8" spans="1:8" x14ac:dyDescent="0.25">
      <c r="A8" s="127">
        <v>44805</v>
      </c>
      <c r="B8" s="128" t="s">
        <v>28019</v>
      </c>
      <c r="C8" s="194" t="s">
        <v>475</v>
      </c>
      <c r="D8" s="195">
        <v>10000</v>
      </c>
      <c r="E8" s="196">
        <v>44805</v>
      </c>
      <c r="F8" s="195">
        <v>10000</v>
      </c>
      <c r="G8" s="197">
        <f>Tabla110[[#This Row],[Importe]]-Tabla110[[#This Row],[Pagado]]</f>
        <v>0</v>
      </c>
      <c r="H8" s="194" t="s">
        <v>10</v>
      </c>
    </row>
    <row r="9" spans="1:8" x14ac:dyDescent="0.25">
      <c r="A9" s="127">
        <v>44805</v>
      </c>
      <c r="B9" s="128" t="s">
        <v>28020</v>
      </c>
      <c r="C9" s="194" t="s">
        <v>348</v>
      </c>
      <c r="D9" s="195">
        <v>4627.8</v>
      </c>
      <c r="E9" s="196">
        <v>44805</v>
      </c>
      <c r="F9" s="195">
        <v>4627.8</v>
      </c>
      <c r="G9" s="197">
        <f>Tabla110[[#This Row],[Importe]]-Tabla110[[#This Row],[Pagado]]</f>
        <v>0</v>
      </c>
      <c r="H9" s="194" t="s">
        <v>10</v>
      </c>
    </row>
    <row r="10" spans="1:8" x14ac:dyDescent="0.25">
      <c r="A10" s="127">
        <v>44805</v>
      </c>
      <c r="B10" s="128" t="s">
        <v>28021</v>
      </c>
      <c r="C10" s="194" t="s">
        <v>89</v>
      </c>
      <c r="D10" s="195">
        <v>4017.6</v>
      </c>
      <c r="E10" s="196">
        <v>44806</v>
      </c>
      <c r="F10" s="195">
        <v>4017.6</v>
      </c>
      <c r="G10" s="197">
        <f>Tabla110[[#This Row],[Importe]]-Tabla110[[#This Row],[Pagado]]</f>
        <v>0</v>
      </c>
      <c r="H10" s="194" t="s">
        <v>10</v>
      </c>
    </row>
    <row r="11" spans="1:8" x14ac:dyDescent="0.25">
      <c r="A11" s="127">
        <v>44805</v>
      </c>
      <c r="B11" s="128" t="s">
        <v>28022</v>
      </c>
      <c r="C11" s="194" t="s">
        <v>114</v>
      </c>
      <c r="D11" s="195">
        <v>7446.8</v>
      </c>
      <c r="E11" s="196">
        <v>44806</v>
      </c>
      <c r="F11" s="195">
        <v>7446.8</v>
      </c>
      <c r="G11" s="197">
        <f>Tabla110[[#This Row],[Importe]]-Tabla110[[#This Row],[Pagado]]</f>
        <v>0</v>
      </c>
      <c r="H11" s="194" t="s">
        <v>10</v>
      </c>
    </row>
    <row r="12" spans="1:8" x14ac:dyDescent="0.25">
      <c r="A12" s="127">
        <v>44805</v>
      </c>
      <c r="B12" s="128" t="s">
        <v>28023</v>
      </c>
      <c r="C12" s="194" t="s">
        <v>105</v>
      </c>
      <c r="D12" s="195">
        <v>7367.4</v>
      </c>
      <c r="E12" s="196">
        <v>44806</v>
      </c>
      <c r="F12" s="195">
        <v>7367.4</v>
      </c>
      <c r="G12" s="197">
        <f>Tabla110[[#This Row],[Importe]]-Tabla110[[#This Row],[Pagado]]</f>
        <v>0</v>
      </c>
      <c r="H12" s="194" t="s">
        <v>10</v>
      </c>
    </row>
    <row r="13" spans="1:8" ht="31.5" x14ac:dyDescent="0.25">
      <c r="A13" s="127">
        <v>44805</v>
      </c>
      <c r="B13" s="128" t="s">
        <v>28024</v>
      </c>
      <c r="C13" s="194" t="s">
        <v>99</v>
      </c>
      <c r="D13" s="195">
        <v>4825.8</v>
      </c>
      <c r="E13" s="198" t="s">
        <v>28025</v>
      </c>
      <c r="F13" s="195">
        <f>3700+1125.8</f>
        <v>4825.8</v>
      </c>
      <c r="G13" s="197">
        <f>Tabla110[[#This Row],[Importe]]-Tabla110[[#This Row],[Pagado]]</f>
        <v>0</v>
      </c>
      <c r="H13" s="194" t="s">
        <v>10</v>
      </c>
    </row>
    <row r="14" spans="1:8" x14ac:dyDescent="0.25">
      <c r="A14" s="127">
        <v>44805</v>
      </c>
      <c r="B14" s="128" t="s">
        <v>28026</v>
      </c>
      <c r="C14" s="194" t="s">
        <v>670</v>
      </c>
      <c r="D14" s="195">
        <v>4667</v>
      </c>
      <c r="E14" s="196">
        <v>44807</v>
      </c>
      <c r="F14" s="195">
        <v>4667</v>
      </c>
      <c r="G14" s="197">
        <f>Tabla110[[#This Row],[Importe]]-Tabla110[[#This Row],[Pagado]]</f>
        <v>0</v>
      </c>
      <c r="H14" s="194" t="s">
        <v>10</v>
      </c>
    </row>
    <row r="15" spans="1:8" x14ac:dyDescent="0.25">
      <c r="A15" s="127">
        <v>44805</v>
      </c>
      <c r="B15" s="128" t="s">
        <v>28027</v>
      </c>
      <c r="C15" s="194" t="s">
        <v>111</v>
      </c>
      <c r="D15" s="195">
        <v>5481</v>
      </c>
      <c r="E15" s="196">
        <v>44806</v>
      </c>
      <c r="F15" s="195">
        <v>5481</v>
      </c>
      <c r="G15" s="197">
        <f>Tabla110[[#This Row],[Importe]]-Tabla110[[#This Row],[Pagado]]</f>
        <v>0</v>
      </c>
      <c r="H15" s="194" t="s">
        <v>10</v>
      </c>
    </row>
    <row r="16" spans="1:8" x14ac:dyDescent="0.25">
      <c r="A16" s="127">
        <v>44805</v>
      </c>
      <c r="B16" s="128" t="s">
        <v>28028</v>
      </c>
      <c r="C16" s="194" t="s">
        <v>5542</v>
      </c>
      <c r="D16" s="195">
        <v>0</v>
      </c>
      <c r="E16" s="199" t="s">
        <v>189</v>
      </c>
      <c r="F16" s="195">
        <v>0</v>
      </c>
      <c r="G16" s="197">
        <f>Tabla110[[#This Row],[Importe]]-Tabla110[[#This Row],[Pagado]]</f>
        <v>0</v>
      </c>
      <c r="H16" s="200" t="s">
        <v>1879</v>
      </c>
    </row>
    <row r="17" spans="1:8" x14ac:dyDescent="0.25">
      <c r="A17" s="127">
        <v>44805</v>
      </c>
      <c r="B17" s="128" t="s">
        <v>28029</v>
      </c>
      <c r="C17" s="194" t="s">
        <v>2151</v>
      </c>
      <c r="D17" s="195">
        <v>14904.5</v>
      </c>
      <c r="E17" s="196">
        <v>44805</v>
      </c>
      <c r="F17" s="195">
        <v>14904.5</v>
      </c>
      <c r="G17" s="197">
        <f>Tabla110[[#This Row],[Importe]]-Tabla110[[#This Row],[Pagado]]</f>
        <v>0</v>
      </c>
      <c r="H17" s="194" t="s">
        <v>10</v>
      </c>
    </row>
    <row r="18" spans="1:8" x14ac:dyDescent="0.25">
      <c r="A18" s="127">
        <v>44805</v>
      </c>
      <c r="B18" s="128" t="s">
        <v>28030</v>
      </c>
      <c r="C18" s="194" t="s">
        <v>120</v>
      </c>
      <c r="D18" s="195">
        <v>2721.6</v>
      </c>
      <c r="E18" s="196">
        <v>44805</v>
      </c>
      <c r="F18" s="195">
        <v>2721.6</v>
      </c>
      <c r="G18" s="197">
        <f>Tabla110[[#This Row],[Importe]]-Tabla110[[#This Row],[Pagado]]</f>
        <v>0</v>
      </c>
      <c r="H18" s="194" t="s">
        <v>10</v>
      </c>
    </row>
    <row r="19" spans="1:8" x14ac:dyDescent="0.25">
      <c r="A19" s="127">
        <v>44805</v>
      </c>
      <c r="B19" s="128" t="s">
        <v>28031</v>
      </c>
      <c r="C19" s="194" t="s">
        <v>2151</v>
      </c>
      <c r="D19" s="195">
        <v>6685.2</v>
      </c>
      <c r="E19" s="196">
        <v>44805</v>
      </c>
      <c r="F19" s="195">
        <v>6685.2</v>
      </c>
      <c r="G19" s="197">
        <f>Tabla110[[#This Row],[Importe]]-Tabla110[[#This Row],[Pagado]]</f>
        <v>0</v>
      </c>
      <c r="H19" s="194" t="s">
        <v>10</v>
      </c>
    </row>
    <row r="20" spans="1:8" x14ac:dyDescent="0.25">
      <c r="A20" s="127">
        <v>44805</v>
      </c>
      <c r="B20" s="128" t="s">
        <v>28032</v>
      </c>
      <c r="C20" s="194" t="s">
        <v>481</v>
      </c>
      <c r="D20" s="195">
        <v>800.5</v>
      </c>
      <c r="E20" s="196">
        <v>44805</v>
      </c>
      <c r="F20" s="195">
        <v>800.5</v>
      </c>
      <c r="G20" s="197">
        <f>Tabla110[[#This Row],[Importe]]-Tabla110[[#This Row],[Pagado]]</f>
        <v>0</v>
      </c>
      <c r="H20" s="194" t="s">
        <v>10</v>
      </c>
    </row>
    <row r="21" spans="1:8" x14ac:dyDescent="0.25">
      <c r="A21" s="127">
        <v>44805</v>
      </c>
      <c r="B21" s="128" t="s">
        <v>28033</v>
      </c>
      <c r="C21" s="194" t="s">
        <v>450</v>
      </c>
      <c r="D21" s="195">
        <v>9409.5</v>
      </c>
      <c r="E21" s="196">
        <v>44805</v>
      </c>
      <c r="F21" s="195">
        <v>9409.5</v>
      </c>
      <c r="G21" s="197">
        <f>Tabla110[[#This Row],[Importe]]-Tabla110[[#This Row],[Pagado]]</f>
        <v>0</v>
      </c>
      <c r="H21" s="194" t="s">
        <v>10</v>
      </c>
    </row>
    <row r="22" spans="1:8" x14ac:dyDescent="0.25">
      <c r="A22" s="127">
        <v>44805</v>
      </c>
      <c r="B22" s="128" t="s">
        <v>28034</v>
      </c>
      <c r="C22" s="194" t="s">
        <v>99</v>
      </c>
      <c r="D22" s="195">
        <v>3085.8</v>
      </c>
      <c r="E22" s="196">
        <v>44807</v>
      </c>
      <c r="F22" s="195">
        <v>3085.8</v>
      </c>
      <c r="G22" s="197">
        <f>Tabla110[[#This Row],[Importe]]-Tabla110[[#This Row],[Pagado]]</f>
        <v>0</v>
      </c>
      <c r="H22" s="194" t="s">
        <v>10</v>
      </c>
    </row>
    <row r="23" spans="1:8" x14ac:dyDescent="0.25">
      <c r="A23" s="127">
        <v>44805</v>
      </c>
      <c r="B23" s="128" t="s">
        <v>28035</v>
      </c>
      <c r="C23" s="194" t="s">
        <v>93</v>
      </c>
      <c r="D23" s="195">
        <v>2552</v>
      </c>
      <c r="E23" s="196">
        <v>44806</v>
      </c>
      <c r="F23" s="195">
        <v>2552</v>
      </c>
      <c r="G23" s="197">
        <f>Tabla110[[#This Row],[Importe]]-Tabla110[[#This Row],[Pagado]]</f>
        <v>0</v>
      </c>
      <c r="H23" s="194" t="s">
        <v>10</v>
      </c>
    </row>
    <row r="24" spans="1:8" x14ac:dyDescent="0.25">
      <c r="A24" s="127">
        <v>44805</v>
      </c>
      <c r="B24" s="128" t="s">
        <v>28036</v>
      </c>
      <c r="C24" s="194" t="s">
        <v>22</v>
      </c>
      <c r="D24" s="195">
        <v>76322.5</v>
      </c>
      <c r="E24" s="196">
        <v>44806</v>
      </c>
      <c r="F24" s="195">
        <v>76322.5</v>
      </c>
      <c r="G24" s="197">
        <f>Tabla110[[#This Row],[Importe]]-Tabla110[[#This Row],[Pagado]]</f>
        <v>0</v>
      </c>
      <c r="H24" s="194" t="s">
        <v>10</v>
      </c>
    </row>
    <row r="25" spans="1:8" x14ac:dyDescent="0.25">
      <c r="A25" s="127">
        <v>44805</v>
      </c>
      <c r="B25" s="128" t="s">
        <v>28037</v>
      </c>
      <c r="C25" s="194" t="s">
        <v>9</v>
      </c>
      <c r="D25" s="195">
        <v>4727.3</v>
      </c>
      <c r="E25" s="196">
        <v>44805</v>
      </c>
      <c r="F25" s="195">
        <v>4727.3</v>
      </c>
      <c r="G25" s="197">
        <f>Tabla110[[#This Row],[Importe]]-Tabla110[[#This Row],[Pagado]]</f>
        <v>0</v>
      </c>
      <c r="H25" s="194" t="s">
        <v>10</v>
      </c>
    </row>
    <row r="26" spans="1:8" x14ac:dyDescent="0.25">
      <c r="A26" s="127">
        <v>44805</v>
      </c>
      <c r="B26" s="128" t="s">
        <v>28038</v>
      </c>
      <c r="C26" s="194" t="s">
        <v>2151</v>
      </c>
      <c r="D26" s="195">
        <v>248</v>
      </c>
      <c r="E26" s="196">
        <v>44805</v>
      </c>
      <c r="F26" s="195">
        <v>248</v>
      </c>
      <c r="G26" s="197">
        <f>Tabla110[[#This Row],[Importe]]-Tabla110[[#This Row],[Pagado]]</f>
        <v>0</v>
      </c>
      <c r="H26" s="194" t="s">
        <v>10</v>
      </c>
    </row>
    <row r="27" spans="1:8" x14ac:dyDescent="0.25">
      <c r="A27" s="127">
        <v>44805</v>
      </c>
      <c r="B27" s="128" t="s">
        <v>28039</v>
      </c>
      <c r="C27" s="194" t="s">
        <v>365</v>
      </c>
      <c r="D27" s="195">
        <v>578</v>
      </c>
      <c r="E27" s="196">
        <v>44805</v>
      </c>
      <c r="F27" s="195">
        <v>578</v>
      </c>
      <c r="G27" s="197">
        <f>Tabla110[[#This Row],[Importe]]-Tabla110[[#This Row],[Pagado]]</f>
        <v>0</v>
      </c>
      <c r="H27" s="194" t="s">
        <v>10</v>
      </c>
    </row>
    <row r="28" spans="1:8" x14ac:dyDescent="0.25">
      <c r="A28" s="127">
        <v>44805</v>
      </c>
      <c r="B28" s="128" t="s">
        <v>28040</v>
      </c>
      <c r="C28" s="194" t="s">
        <v>131</v>
      </c>
      <c r="D28" s="195">
        <v>3484</v>
      </c>
      <c r="E28" s="196">
        <v>44805</v>
      </c>
      <c r="F28" s="195">
        <v>3484</v>
      </c>
      <c r="G28" s="197">
        <f>Tabla110[[#This Row],[Importe]]-Tabla110[[#This Row],[Pagado]]</f>
        <v>0</v>
      </c>
      <c r="H28" s="194" t="s">
        <v>10</v>
      </c>
    </row>
    <row r="29" spans="1:8" x14ac:dyDescent="0.25">
      <c r="A29" s="127">
        <v>44805</v>
      </c>
      <c r="B29" s="128" t="s">
        <v>28041</v>
      </c>
      <c r="C29" s="194" t="s">
        <v>53</v>
      </c>
      <c r="D29" s="195">
        <v>2419.9</v>
      </c>
      <c r="E29" s="196">
        <v>44805</v>
      </c>
      <c r="F29" s="195">
        <v>2419.9</v>
      </c>
      <c r="G29" s="197">
        <f>Tabla110[[#This Row],[Importe]]-Tabla110[[#This Row],[Pagado]]</f>
        <v>0</v>
      </c>
      <c r="H29" s="194" t="s">
        <v>10</v>
      </c>
    </row>
    <row r="30" spans="1:8" x14ac:dyDescent="0.25">
      <c r="A30" s="127">
        <v>44805</v>
      </c>
      <c r="B30" s="128" t="s">
        <v>28042</v>
      </c>
      <c r="C30" s="194" t="s">
        <v>18</v>
      </c>
      <c r="D30" s="195">
        <v>1890</v>
      </c>
      <c r="E30" s="196">
        <v>44805</v>
      </c>
      <c r="F30" s="195">
        <v>1890</v>
      </c>
      <c r="G30" s="197">
        <f>Tabla110[[#This Row],[Importe]]-Tabla110[[#This Row],[Pagado]]</f>
        <v>0</v>
      </c>
      <c r="H30" s="194" t="s">
        <v>10</v>
      </c>
    </row>
    <row r="31" spans="1:8" x14ac:dyDescent="0.25">
      <c r="A31" s="127">
        <v>44805</v>
      </c>
      <c r="B31" s="128" t="s">
        <v>28043</v>
      </c>
      <c r="C31" s="194" t="s">
        <v>56</v>
      </c>
      <c r="D31" s="195">
        <v>5668.4</v>
      </c>
      <c r="E31" s="196">
        <v>44805</v>
      </c>
      <c r="F31" s="195">
        <v>5668.4</v>
      </c>
      <c r="G31" s="197">
        <f>Tabla110[[#This Row],[Importe]]-Tabla110[[#This Row],[Pagado]]</f>
        <v>0</v>
      </c>
      <c r="H31" s="194" t="s">
        <v>10</v>
      </c>
    </row>
    <row r="32" spans="1:8" x14ac:dyDescent="0.25">
      <c r="A32" s="127">
        <v>44805</v>
      </c>
      <c r="B32" s="128" t="s">
        <v>28044</v>
      </c>
      <c r="C32" s="194" t="s">
        <v>473</v>
      </c>
      <c r="D32" s="195">
        <v>4004</v>
      </c>
      <c r="E32" s="196">
        <v>44805</v>
      </c>
      <c r="F32" s="195">
        <v>4004</v>
      </c>
      <c r="G32" s="197">
        <f>Tabla110[[#This Row],[Importe]]-Tabla110[[#This Row],[Pagado]]</f>
        <v>0</v>
      </c>
      <c r="H32" s="194" t="s">
        <v>10</v>
      </c>
    </row>
    <row r="33" spans="1:8" x14ac:dyDescent="0.25">
      <c r="A33" s="127">
        <v>44805</v>
      </c>
      <c r="B33" s="128" t="s">
        <v>28045</v>
      </c>
      <c r="C33" s="194" t="s">
        <v>75</v>
      </c>
      <c r="D33" s="195">
        <v>7752</v>
      </c>
      <c r="E33" s="196">
        <v>44805</v>
      </c>
      <c r="F33" s="195">
        <v>7752</v>
      </c>
      <c r="G33" s="197">
        <f>Tabla110[[#This Row],[Importe]]-Tabla110[[#This Row],[Pagado]]</f>
        <v>0</v>
      </c>
      <c r="H33" s="194" t="s">
        <v>10</v>
      </c>
    </row>
    <row r="34" spans="1:8" x14ac:dyDescent="0.25">
      <c r="A34" s="127">
        <v>44805</v>
      </c>
      <c r="B34" s="128" t="s">
        <v>28046</v>
      </c>
      <c r="C34" s="194" t="s">
        <v>198</v>
      </c>
      <c r="D34" s="195">
        <v>5412.2</v>
      </c>
      <c r="E34" s="196">
        <v>44805</v>
      </c>
      <c r="F34" s="195">
        <v>5412.2</v>
      </c>
      <c r="G34" s="197">
        <f>Tabla110[[#This Row],[Importe]]-Tabla110[[#This Row],[Pagado]]</f>
        <v>0</v>
      </c>
      <c r="H34" s="194" t="s">
        <v>10</v>
      </c>
    </row>
    <row r="35" spans="1:8" x14ac:dyDescent="0.25">
      <c r="A35" s="127">
        <v>44805</v>
      </c>
      <c r="B35" s="128" t="s">
        <v>28047</v>
      </c>
      <c r="C35" s="194" t="s">
        <v>426</v>
      </c>
      <c r="D35" s="195">
        <v>3520.8</v>
      </c>
      <c r="E35" s="196">
        <v>44805</v>
      </c>
      <c r="F35" s="195">
        <v>3520.8</v>
      </c>
      <c r="G35" s="197">
        <f>Tabla110[[#This Row],[Importe]]-Tabla110[[#This Row],[Pagado]]</f>
        <v>0</v>
      </c>
      <c r="H35" s="194" t="s">
        <v>10</v>
      </c>
    </row>
    <row r="36" spans="1:8" x14ac:dyDescent="0.25">
      <c r="A36" s="127">
        <v>44805</v>
      </c>
      <c r="B36" s="128" t="s">
        <v>28048</v>
      </c>
      <c r="C36" s="194" t="s">
        <v>83</v>
      </c>
      <c r="D36" s="195">
        <v>15868</v>
      </c>
      <c r="E36" s="196">
        <v>44805</v>
      </c>
      <c r="F36" s="195">
        <v>15868</v>
      </c>
      <c r="G36" s="197">
        <f>Tabla110[[#This Row],[Importe]]-Tabla110[[#This Row],[Pagado]]</f>
        <v>0</v>
      </c>
      <c r="H36" s="194" t="s">
        <v>10</v>
      </c>
    </row>
    <row r="37" spans="1:8" x14ac:dyDescent="0.25">
      <c r="A37" s="127">
        <v>44805</v>
      </c>
      <c r="B37" s="128" t="s">
        <v>28049</v>
      </c>
      <c r="C37" s="194" t="s">
        <v>222</v>
      </c>
      <c r="D37" s="195">
        <v>10839.6</v>
      </c>
      <c r="E37" s="196">
        <v>44805</v>
      </c>
      <c r="F37" s="195">
        <v>10839.6</v>
      </c>
      <c r="G37" s="197">
        <f>Tabla110[[#This Row],[Importe]]-Tabla110[[#This Row],[Pagado]]</f>
        <v>0</v>
      </c>
      <c r="H37" s="194" t="s">
        <v>10</v>
      </c>
    </row>
    <row r="38" spans="1:8" x14ac:dyDescent="0.25">
      <c r="A38" s="127">
        <v>44805</v>
      </c>
      <c r="B38" s="128" t="s">
        <v>28050</v>
      </c>
      <c r="C38" s="194" t="s">
        <v>175</v>
      </c>
      <c r="D38" s="195">
        <v>18972.7</v>
      </c>
      <c r="E38" s="196">
        <v>44805</v>
      </c>
      <c r="F38" s="195">
        <v>18972.7</v>
      </c>
      <c r="G38" s="197">
        <f>Tabla110[[#This Row],[Importe]]-Tabla110[[#This Row],[Pagado]]</f>
        <v>0</v>
      </c>
      <c r="H38" s="194" t="s">
        <v>10</v>
      </c>
    </row>
    <row r="39" spans="1:8" x14ac:dyDescent="0.25">
      <c r="A39" s="127">
        <v>44805</v>
      </c>
      <c r="B39" s="128" t="s">
        <v>28051</v>
      </c>
      <c r="C39" s="194" t="s">
        <v>200</v>
      </c>
      <c r="D39" s="195">
        <v>1067.5999999999999</v>
      </c>
      <c r="E39" s="196">
        <v>44805</v>
      </c>
      <c r="F39" s="195">
        <v>1067.5999999999999</v>
      </c>
      <c r="G39" s="197">
        <f>Tabla110[[#This Row],[Importe]]-Tabla110[[#This Row],[Pagado]]</f>
        <v>0</v>
      </c>
      <c r="H39" s="194" t="s">
        <v>10</v>
      </c>
    </row>
    <row r="40" spans="1:8" x14ac:dyDescent="0.25">
      <c r="A40" s="127">
        <v>44805</v>
      </c>
      <c r="B40" s="128" t="s">
        <v>28052</v>
      </c>
      <c r="C40" s="194" t="s">
        <v>647</v>
      </c>
      <c r="D40" s="195">
        <v>2482.4</v>
      </c>
      <c r="E40" s="196">
        <v>44805</v>
      </c>
      <c r="F40" s="195">
        <v>2482.4</v>
      </c>
      <c r="G40" s="197">
        <f>Tabla110[[#This Row],[Importe]]-Tabla110[[#This Row],[Pagado]]</f>
        <v>0</v>
      </c>
      <c r="H40" s="194" t="s">
        <v>10</v>
      </c>
    </row>
    <row r="41" spans="1:8" x14ac:dyDescent="0.25">
      <c r="A41" s="127">
        <v>44805</v>
      </c>
      <c r="B41" s="128" t="s">
        <v>28053</v>
      </c>
      <c r="C41" s="194" t="s">
        <v>647</v>
      </c>
      <c r="D41" s="195">
        <v>3420</v>
      </c>
      <c r="E41" s="196">
        <v>44805</v>
      </c>
      <c r="F41" s="195">
        <v>3420</v>
      </c>
      <c r="G41" s="197">
        <f>Tabla110[[#This Row],[Importe]]-Tabla110[[#This Row],[Pagado]]</f>
        <v>0</v>
      </c>
      <c r="H41" s="194" t="s">
        <v>10</v>
      </c>
    </row>
    <row r="42" spans="1:8" x14ac:dyDescent="0.25">
      <c r="A42" s="127">
        <v>44805</v>
      </c>
      <c r="B42" s="128" t="s">
        <v>28054</v>
      </c>
      <c r="C42" s="194" t="s">
        <v>37</v>
      </c>
      <c r="D42" s="195">
        <v>4490.3999999999996</v>
      </c>
      <c r="E42" s="196">
        <v>44805</v>
      </c>
      <c r="F42" s="195">
        <v>4490.3999999999996</v>
      </c>
      <c r="G42" s="197">
        <f>Tabla110[[#This Row],[Importe]]-Tabla110[[#This Row],[Pagado]]</f>
        <v>0</v>
      </c>
      <c r="H42" s="194" t="s">
        <v>10</v>
      </c>
    </row>
    <row r="43" spans="1:8" x14ac:dyDescent="0.25">
      <c r="A43" s="127">
        <v>44805</v>
      </c>
      <c r="B43" s="128" t="s">
        <v>28055</v>
      </c>
      <c r="C43" s="194" t="s">
        <v>129</v>
      </c>
      <c r="D43" s="195">
        <v>6978.6</v>
      </c>
      <c r="E43" s="196">
        <v>44805</v>
      </c>
      <c r="F43" s="195">
        <v>6978.6</v>
      </c>
      <c r="G43" s="197">
        <f>Tabla110[[#This Row],[Importe]]-Tabla110[[#This Row],[Pagado]]</f>
        <v>0</v>
      </c>
      <c r="H43" s="194" t="s">
        <v>10</v>
      </c>
    </row>
    <row r="44" spans="1:8" x14ac:dyDescent="0.25">
      <c r="A44" s="127">
        <v>44805</v>
      </c>
      <c r="B44" s="128" t="s">
        <v>28056</v>
      </c>
      <c r="C44" s="194" t="s">
        <v>175</v>
      </c>
      <c r="D44" s="195">
        <v>15900</v>
      </c>
      <c r="E44" s="196">
        <v>44805</v>
      </c>
      <c r="F44" s="195">
        <v>15900</v>
      </c>
      <c r="G44" s="197">
        <f>Tabla110[[#This Row],[Importe]]-Tabla110[[#This Row],[Pagado]]</f>
        <v>0</v>
      </c>
      <c r="H44" s="194" t="s">
        <v>10</v>
      </c>
    </row>
    <row r="45" spans="1:8" x14ac:dyDescent="0.25">
      <c r="A45" s="127">
        <v>44805</v>
      </c>
      <c r="B45" s="128" t="s">
        <v>28057</v>
      </c>
      <c r="C45" s="194" t="s">
        <v>45</v>
      </c>
      <c r="D45" s="195">
        <v>16675.599999999999</v>
      </c>
      <c r="E45" s="196">
        <v>44805</v>
      </c>
      <c r="F45" s="195">
        <v>16675.599999999999</v>
      </c>
      <c r="G45" s="197">
        <f>Tabla110[[#This Row],[Importe]]-Tabla110[[#This Row],[Pagado]]</f>
        <v>0</v>
      </c>
      <c r="H45" s="194" t="s">
        <v>10</v>
      </c>
    </row>
    <row r="46" spans="1:8" x14ac:dyDescent="0.25">
      <c r="A46" s="127">
        <v>44805</v>
      </c>
      <c r="B46" s="128" t="s">
        <v>28058</v>
      </c>
      <c r="C46" s="194" t="s">
        <v>142</v>
      </c>
      <c r="D46" s="195">
        <v>135900.6</v>
      </c>
      <c r="E46" s="196">
        <v>44847</v>
      </c>
      <c r="F46" s="195">
        <v>135900.6</v>
      </c>
      <c r="G46" s="197">
        <f>Tabla110[[#This Row],[Importe]]-Tabla110[[#This Row],[Pagado]]</f>
        <v>0</v>
      </c>
      <c r="H46" s="194" t="s">
        <v>10</v>
      </c>
    </row>
    <row r="47" spans="1:8" x14ac:dyDescent="0.25">
      <c r="A47" s="127">
        <v>44805</v>
      </c>
      <c r="B47" s="128" t="s">
        <v>28059</v>
      </c>
      <c r="C47" s="194" t="s">
        <v>45</v>
      </c>
      <c r="D47" s="195">
        <v>369.9</v>
      </c>
      <c r="E47" s="196">
        <v>44805</v>
      </c>
      <c r="F47" s="195">
        <v>369.9</v>
      </c>
      <c r="G47" s="197">
        <f>Tabla110[[#This Row],[Importe]]-Tabla110[[#This Row],[Pagado]]</f>
        <v>0</v>
      </c>
      <c r="H47" s="194" t="s">
        <v>10</v>
      </c>
    </row>
    <row r="48" spans="1:8" x14ac:dyDescent="0.25">
      <c r="A48" s="127">
        <v>44805</v>
      </c>
      <c r="B48" s="128" t="s">
        <v>28060</v>
      </c>
      <c r="C48" s="194" t="s">
        <v>49</v>
      </c>
      <c r="D48" s="195">
        <v>2775.6</v>
      </c>
      <c r="E48" s="196">
        <v>44805</v>
      </c>
      <c r="F48" s="195">
        <v>2775.6</v>
      </c>
      <c r="G48" s="197">
        <f>Tabla110[[#This Row],[Importe]]-Tabla110[[#This Row],[Pagado]]</f>
        <v>0</v>
      </c>
      <c r="H48" s="194" t="s">
        <v>10</v>
      </c>
    </row>
    <row r="49" spans="1:8" x14ac:dyDescent="0.25">
      <c r="A49" s="127">
        <v>44805</v>
      </c>
      <c r="B49" s="128" t="s">
        <v>28061</v>
      </c>
      <c r="C49" s="194" t="s">
        <v>698</v>
      </c>
      <c r="D49" s="195">
        <v>8645.7999999999993</v>
      </c>
      <c r="E49" s="196">
        <v>44805</v>
      </c>
      <c r="F49" s="195">
        <v>8645.7999999999993</v>
      </c>
      <c r="G49" s="197">
        <f>Tabla110[[#This Row],[Importe]]-Tabla110[[#This Row],[Pagado]]</f>
        <v>0</v>
      </c>
      <c r="H49" s="194" t="s">
        <v>10</v>
      </c>
    </row>
    <row r="50" spans="1:8" ht="31.5" x14ac:dyDescent="0.25">
      <c r="A50" s="127">
        <v>44805</v>
      </c>
      <c r="B50" s="128" t="s">
        <v>28062</v>
      </c>
      <c r="C50" s="120" t="s">
        <v>5463</v>
      </c>
      <c r="D50" s="195">
        <v>0</v>
      </c>
      <c r="E50" s="199" t="s">
        <v>189</v>
      </c>
      <c r="F50" s="195">
        <v>0</v>
      </c>
      <c r="G50" s="197">
        <f>Tabla110[[#This Row],[Importe]]-Tabla110[[#This Row],[Pagado]]</f>
        <v>0</v>
      </c>
      <c r="H50" s="200" t="s">
        <v>28063</v>
      </c>
    </row>
    <row r="51" spans="1:8" x14ac:dyDescent="0.25">
      <c r="A51" s="127">
        <v>44805</v>
      </c>
      <c r="B51" s="128" t="s">
        <v>28064</v>
      </c>
      <c r="C51" s="194" t="s">
        <v>87</v>
      </c>
      <c r="D51" s="195">
        <v>3321.2</v>
      </c>
      <c r="E51" s="196">
        <v>44805</v>
      </c>
      <c r="F51" s="195">
        <v>3321.2</v>
      </c>
      <c r="G51" s="197">
        <f>Tabla110[[#This Row],[Importe]]-Tabla110[[#This Row],[Pagado]]</f>
        <v>0</v>
      </c>
      <c r="H51" s="194" t="s">
        <v>10</v>
      </c>
    </row>
    <row r="52" spans="1:8" x14ac:dyDescent="0.25">
      <c r="A52" s="127">
        <v>44805</v>
      </c>
      <c r="B52" s="128" t="s">
        <v>28065</v>
      </c>
      <c r="C52" s="194" t="s">
        <v>9827</v>
      </c>
      <c r="D52" s="195">
        <v>2475.1999999999998</v>
      </c>
      <c r="E52" s="196">
        <v>44805</v>
      </c>
      <c r="F52" s="195">
        <v>2475.1999999999998</v>
      </c>
      <c r="G52" s="197">
        <f>Tabla110[[#This Row],[Importe]]-Tabla110[[#This Row],[Pagado]]</f>
        <v>0</v>
      </c>
      <c r="H52" s="194" t="s">
        <v>10</v>
      </c>
    </row>
    <row r="53" spans="1:8" x14ac:dyDescent="0.25">
      <c r="A53" s="127">
        <v>44805</v>
      </c>
      <c r="B53" s="128" t="s">
        <v>28066</v>
      </c>
      <c r="C53" s="194" t="s">
        <v>58</v>
      </c>
      <c r="D53" s="195">
        <v>4134.8999999999996</v>
      </c>
      <c r="E53" s="196">
        <v>44805</v>
      </c>
      <c r="F53" s="195">
        <v>4134.8999999999996</v>
      </c>
      <c r="G53" s="197">
        <f>Tabla110[[#This Row],[Importe]]-Tabla110[[#This Row],[Pagado]]</f>
        <v>0</v>
      </c>
      <c r="H53" s="194" t="s">
        <v>10</v>
      </c>
    </row>
    <row r="54" spans="1:8" x14ac:dyDescent="0.25">
      <c r="A54" s="127">
        <v>44805</v>
      </c>
      <c r="B54" s="128" t="s">
        <v>28067</v>
      </c>
      <c r="C54" s="194" t="s">
        <v>31</v>
      </c>
      <c r="D54" s="195">
        <v>528</v>
      </c>
      <c r="E54" s="196">
        <v>44805</v>
      </c>
      <c r="F54" s="195">
        <v>528</v>
      </c>
      <c r="G54" s="197">
        <f>Tabla110[[#This Row],[Importe]]-Tabla110[[#This Row],[Pagado]]</f>
        <v>0</v>
      </c>
      <c r="H54" s="194" t="s">
        <v>10</v>
      </c>
    </row>
    <row r="55" spans="1:8" x14ac:dyDescent="0.25">
      <c r="A55" s="127">
        <v>44805</v>
      </c>
      <c r="B55" s="128" t="s">
        <v>28068</v>
      </c>
      <c r="C55" s="194" t="s">
        <v>196</v>
      </c>
      <c r="D55" s="195">
        <v>9687.1</v>
      </c>
      <c r="E55" s="196">
        <v>44806</v>
      </c>
      <c r="F55" s="195">
        <v>9687.1</v>
      </c>
      <c r="G55" s="197">
        <f>Tabla110[[#This Row],[Importe]]-Tabla110[[#This Row],[Pagado]]</f>
        <v>0</v>
      </c>
      <c r="H55" s="194" t="s">
        <v>10</v>
      </c>
    </row>
    <row r="56" spans="1:8" x14ac:dyDescent="0.25">
      <c r="A56" s="127">
        <v>44805</v>
      </c>
      <c r="B56" s="128" t="s">
        <v>28069</v>
      </c>
      <c r="C56" s="194" t="s">
        <v>29</v>
      </c>
      <c r="D56" s="195">
        <v>3726.4</v>
      </c>
      <c r="E56" s="196">
        <v>44805</v>
      </c>
      <c r="F56" s="195">
        <v>3726.4</v>
      </c>
      <c r="G56" s="197">
        <f>Tabla110[[#This Row],[Importe]]-Tabla110[[#This Row],[Pagado]]</f>
        <v>0</v>
      </c>
      <c r="H56" s="194" t="s">
        <v>10</v>
      </c>
    </row>
    <row r="57" spans="1:8" x14ac:dyDescent="0.25">
      <c r="A57" s="127">
        <v>44805</v>
      </c>
      <c r="B57" s="128" t="s">
        <v>28070</v>
      </c>
      <c r="C57" s="194" t="s">
        <v>62</v>
      </c>
      <c r="D57" s="195">
        <v>4062.6</v>
      </c>
      <c r="E57" s="196">
        <v>44805</v>
      </c>
      <c r="F57" s="195">
        <v>4062.6</v>
      </c>
      <c r="G57" s="197">
        <f>Tabla110[[#This Row],[Importe]]-Tabla110[[#This Row],[Pagado]]</f>
        <v>0</v>
      </c>
      <c r="H57" s="194" t="s">
        <v>10</v>
      </c>
    </row>
    <row r="58" spans="1:8" x14ac:dyDescent="0.25">
      <c r="A58" s="127">
        <v>44805</v>
      </c>
      <c r="B58" s="128" t="s">
        <v>28071</v>
      </c>
      <c r="C58" s="194" t="s">
        <v>31</v>
      </c>
      <c r="D58" s="195">
        <v>4152.6000000000004</v>
      </c>
      <c r="E58" s="196">
        <v>44805</v>
      </c>
      <c r="F58" s="195">
        <v>4152.6000000000004</v>
      </c>
      <c r="G58" s="197">
        <f>Tabla110[[#This Row],[Importe]]-Tabla110[[#This Row],[Pagado]]</f>
        <v>0</v>
      </c>
      <c r="H58" s="194" t="s">
        <v>10</v>
      </c>
    </row>
    <row r="59" spans="1:8" x14ac:dyDescent="0.25">
      <c r="A59" s="127">
        <v>44805</v>
      </c>
      <c r="B59" s="128" t="s">
        <v>28072</v>
      </c>
      <c r="C59" s="194" t="s">
        <v>196</v>
      </c>
      <c r="D59" s="195">
        <v>1392.3</v>
      </c>
      <c r="E59" s="196">
        <v>44806</v>
      </c>
      <c r="F59" s="195">
        <v>1392.3</v>
      </c>
      <c r="G59" s="197">
        <f>Tabla110[[#This Row],[Importe]]-Tabla110[[#This Row],[Pagado]]</f>
        <v>0</v>
      </c>
      <c r="H59" s="194" t="s">
        <v>10</v>
      </c>
    </row>
    <row r="60" spans="1:8" x14ac:dyDescent="0.25">
      <c r="A60" s="127">
        <v>44805</v>
      </c>
      <c r="B60" s="128" t="s">
        <v>28073</v>
      </c>
      <c r="C60" s="194" t="s">
        <v>1505</v>
      </c>
      <c r="D60" s="195">
        <v>4484.2</v>
      </c>
      <c r="E60" s="196">
        <v>44805</v>
      </c>
      <c r="F60" s="195">
        <v>4484.2</v>
      </c>
      <c r="G60" s="197">
        <f>Tabla110[[#This Row],[Importe]]-Tabla110[[#This Row],[Pagado]]</f>
        <v>0</v>
      </c>
      <c r="H60" s="194" t="s">
        <v>10</v>
      </c>
    </row>
    <row r="61" spans="1:8" x14ac:dyDescent="0.25">
      <c r="A61" s="127">
        <v>44805</v>
      </c>
      <c r="B61" s="128" t="s">
        <v>28074</v>
      </c>
      <c r="C61" s="194" t="s">
        <v>28075</v>
      </c>
      <c r="D61" s="195">
        <v>0</v>
      </c>
      <c r="E61" s="199" t="s">
        <v>189</v>
      </c>
      <c r="F61" s="195">
        <v>0</v>
      </c>
      <c r="G61" s="197">
        <f>Tabla110[[#This Row],[Importe]]-Tabla110[[#This Row],[Pagado]]</f>
        <v>0</v>
      </c>
      <c r="H61" s="200" t="s">
        <v>28076</v>
      </c>
    </row>
    <row r="62" spans="1:8" x14ac:dyDescent="0.25">
      <c r="A62" s="127">
        <v>44805</v>
      </c>
      <c r="B62" s="128" t="s">
        <v>28077</v>
      </c>
      <c r="C62" s="194" t="s">
        <v>402</v>
      </c>
      <c r="D62" s="195">
        <v>16294</v>
      </c>
      <c r="E62" s="196">
        <v>44811</v>
      </c>
      <c r="F62" s="195">
        <v>16294</v>
      </c>
      <c r="G62" s="197">
        <f>Tabla110[[#This Row],[Importe]]-Tabla110[[#This Row],[Pagado]]</f>
        <v>0</v>
      </c>
      <c r="H62" s="194" t="s">
        <v>10</v>
      </c>
    </row>
    <row r="63" spans="1:8" x14ac:dyDescent="0.25">
      <c r="A63" s="127">
        <v>44805</v>
      </c>
      <c r="B63" s="128" t="s">
        <v>28078</v>
      </c>
      <c r="C63" s="194" t="s">
        <v>400</v>
      </c>
      <c r="D63" s="195">
        <v>13846.8</v>
      </c>
      <c r="E63" s="196">
        <v>44811</v>
      </c>
      <c r="F63" s="195">
        <v>13846.8</v>
      </c>
      <c r="G63" s="197">
        <f>Tabla110[[#This Row],[Importe]]-Tabla110[[#This Row],[Pagado]]</f>
        <v>0</v>
      </c>
      <c r="H63" s="194" t="s">
        <v>10</v>
      </c>
    </row>
    <row r="64" spans="1:8" x14ac:dyDescent="0.25">
      <c r="A64" s="127">
        <v>44805</v>
      </c>
      <c r="B64" s="128" t="s">
        <v>28079</v>
      </c>
      <c r="C64" s="194" t="s">
        <v>664</v>
      </c>
      <c r="D64" s="195">
        <v>4758</v>
      </c>
      <c r="E64" s="196">
        <v>44805</v>
      </c>
      <c r="F64" s="195">
        <v>4758</v>
      </c>
      <c r="G64" s="197">
        <f>Tabla110[[#This Row],[Importe]]-Tabla110[[#This Row],[Pagado]]</f>
        <v>0</v>
      </c>
      <c r="H64" s="194" t="s">
        <v>10</v>
      </c>
    </row>
    <row r="65" spans="1:8" x14ac:dyDescent="0.25">
      <c r="A65" s="127">
        <v>44805</v>
      </c>
      <c r="B65" s="128" t="s">
        <v>28080</v>
      </c>
      <c r="C65" s="194" t="s">
        <v>28081</v>
      </c>
      <c r="D65" s="195">
        <v>0</v>
      </c>
      <c r="E65" s="199" t="s">
        <v>189</v>
      </c>
      <c r="F65" s="195">
        <v>0</v>
      </c>
      <c r="G65" s="197">
        <f>Tabla110[[#This Row],[Importe]]-Tabla110[[#This Row],[Pagado]]</f>
        <v>0</v>
      </c>
      <c r="H65" s="194" t="s">
        <v>189</v>
      </c>
    </row>
    <row r="66" spans="1:8" x14ac:dyDescent="0.25">
      <c r="A66" s="127">
        <v>44805</v>
      </c>
      <c r="B66" s="128" t="s">
        <v>28082</v>
      </c>
      <c r="C66" s="194" t="s">
        <v>31</v>
      </c>
      <c r="D66" s="195">
        <v>666.4</v>
      </c>
      <c r="E66" s="196">
        <v>44805</v>
      </c>
      <c r="F66" s="195">
        <v>666.4</v>
      </c>
      <c r="G66" s="197">
        <f>Tabla110[[#This Row],[Importe]]-Tabla110[[#This Row],[Pagado]]</f>
        <v>0</v>
      </c>
      <c r="H66" s="194" t="s">
        <v>10</v>
      </c>
    </row>
    <row r="67" spans="1:8" x14ac:dyDescent="0.25">
      <c r="A67" s="127">
        <v>44805</v>
      </c>
      <c r="B67" s="128" t="s">
        <v>28083</v>
      </c>
      <c r="C67" s="194" t="s">
        <v>146</v>
      </c>
      <c r="D67" s="195">
        <v>5740.8</v>
      </c>
      <c r="E67" s="196">
        <v>44805</v>
      </c>
      <c r="F67" s="195">
        <v>5740.8</v>
      </c>
      <c r="G67" s="197">
        <f>Tabla110[[#This Row],[Importe]]-Tabla110[[#This Row],[Pagado]]</f>
        <v>0</v>
      </c>
      <c r="H67" s="194" t="s">
        <v>10</v>
      </c>
    </row>
    <row r="68" spans="1:8" x14ac:dyDescent="0.25">
      <c r="A68" s="127">
        <v>44805</v>
      </c>
      <c r="B68" s="128" t="s">
        <v>28084</v>
      </c>
      <c r="C68" s="194" t="s">
        <v>296</v>
      </c>
      <c r="D68" s="195">
        <v>3642.6</v>
      </c>
      <c r="E68" s="196">
        <v>44805</v>
      </c>
      <c r="F68" s="195">
        <v>3642.6</v>
      </c>
      <c r="G68" s="197">
        <f>Tabla110[[#This Row],[Importe]]-Tabla110[[#This Row],[Pagado]]</f>
        <v>0</v>
      </c>
      <c r="H68" s="194" t="s">
        <v>10</v>
      </c>
    </row>
    <row r="69" spans="1:8" x14ac:dyDescent="0.25">
      <c r="A69" s="127">
        <v>44805</v>
      </c>
      <c r="B69" s="128" t="s">
        <v>28085</v>
      </c>
      <c r="C69" s="194" t="s">
        <v>296</v>
      </c>
      <c r="D69" s="195">
        <v>4350</v>
      </c>
      <c r="E69" s="196">
        <v>44805</v>
      </c>
      <c r="F69" s="195">
        <v>4350</v>
      </c>
      <c r="G69" s="197">
        <f>Tabla110[[#This Row],[Importe]]-Tabla110[[#This Row],[Pagado]]</f>
        <v>0</v>
      </c>
      <c r="H69" s="194" t="s">
        <v>10</v>
      </c>
    </row>
    <row r="70" spans="1:8" x14ac:dyDescent="0.25">
      <c r="A70" s="127">
        <v>44805</v>
      </c>
      <c r="B70" s="128" t="s">
        <v>28086</v>
      </c>
      <c r="C70" s="194" t="s">
        <v>28087</v>
      </c>
      <c r="D70" s="195">
        <v>99023.53</v>
      </c>
      <c r="E70" s="196">
        <v>44830</v>
      </c>
      <c r="F70" s="195">
        <v>99023.53</v>
      </c>
      <c r="G70" s="197">
        <f>Tabla110[[#This Row],[Importe]]-Tabla110[[#This Row],[Pagado]]</f>
        <v>0</v>
      </c>
      <c r="H70" s="194" t="s">
        <v>10</v>
      </c>
    </row>
    <row r="71" spans="1:8" x14ac:dyDescent="0.25">
      <c r="A71" s="127">
        <v>44805</v>
      </c>
      <c r="B71" s="128" t="s">
        <v>28088</v>
      </c>
      <c r="C71" s="194" t="s">
        <v>9577</v>
      </c>
      <c r="D71" s="195">
        <v>24124</v>
      </c>
      <c r="E71" s="196">
        <v>44805</v>
      </c>
      <c r="F71" s="195">
        <v>24124</v>
      </c>
      <c r="G71" s="197">
        <f>Tabla110[[#This Row],[Importe]]-Tabla110[[#This Row],[Pagado]]</f>
        <v>0</v>
      </c>
      <c r="H71" s="194" t="s">
        <v>10</v>
      </c>
    </row>
    <row r="72" spans="1:8" x14ac:dyDescent="0.25">
      <c r="A72" s="127">
        <v>44805</v>
      </c>
      <c r="B72" s="128" t="s">
        <v>28089</v>
      </c>
      <c r="C72" s="194" t="s">
        <v>419</v>
      </c>
      <c r="D72" s="195">
        <v>7982.3</v>
      </c>
      <c r="E72" s="196">
        <v>44805</v>
      </c>
      <c r="F72" s="195">
        <v>7982.3</v>
      </c>
      <c r="G72" s="197">
        <f>Tabla110[[#This Row],[Importe]]-Tabla110[[#This Row],[Pagado]]</f>
        <v>0</v>
      </c>
      <c r="H72" s="194" t="s">
        <v>10</v>
      </c>
    </row>
    <row r="73" spans="1:8" x14ac:dyDescent="0.25">
      <c r="A73" s="127">
        <v>44805</v>
      </c>
      <c r="B73" s="128" t="s">
        <v>28090</v>
      </c>
      <c r="C73" s="194" t="s">
        <v>226</v>
      </c>
      <c r="D73" s="195">
        <v>9395.4</v>
      </c>
      <c r="E73" s="196">
        <v>44805</v>
      </c>
      <c r="F73" s="195">
        <v>9395.4</v>
      </c>
      <c r="G73" s="197">
        <f>Tabla110[[#This Row],[Importe]]-Tabla110[[#This Row],[Pagado]]</f>
        <v>0</v>
      </c>
      <c r="H73" s="194" t="s">
        <v>10</v>
      </c>
    </row>
    <row r="74" spans="1:8" x14ac:dyDescent="0.25">
      <c r="A74" s="127">
        <v>44805</v>
      </c>
      <c r="B74" s="128" t="s">
        <v>28091</v>
      </c>
      <c r="C74" s="194" t="s">
        <v>618</v>
      </c>
      <c r="D74" s="195">
        <v>13399.02</v>
      </c>
      <c r="E74" s="196">
        <v>44805</v>
      </c>
      <c r="F74" s="195">
        <v>13399.02</v>
      </c>
      <c r="G74" s="197">
        <f>Tabla110[[#This Row],[Importe]]-Tabla110[[#This Row],[Pagado]]</f>
        <v>0</v>
      </c>
      <c r="H74" s="194" t="s">
        <v>10</v>
      </c>
    </row>
    <row r="75" spans="1:8" x14ac:dyDescent="0.25">
      <c r="A75" s="127">
        <v>44805</v>
      </c>
      <c r="B75" s="128" t="s">
        <v>28092</v>
      </c>
      <c r="C75" s="194" t="s">
        <v>196</v>
      </c>
      <c r="D75" s="195">
        <v>63143.99</v>
      </c>
      <c r="E75" s="196">
        <v>44806</v>
      </c>
      <c r="F75" s="195">
        <v>63143.99</v>
      </c>
      <c r="G75" s="197">
        <f>Tabla110[[#This Row],[Importe]]-Tabla110[[#This Row],[Pagado]]</f>
        <v>0</v>
      </c>
      <c r="H75" s="194" t="s">
        <v>10</v>
      </c>
    </row>
    <row r="76" spans="1:8" x14ac:dyDescent="0.25">
      <c r="A76" s="127">
        <v>44805</v>
      </c>
      <c r="B76" s="128" t="s">
        <v>28093</v>
      </c>
      <c r="C76" s="194" t="s">
        <v>9827</v>
      </c>
      <c r="D76" s="195">
        <v>3413.6</v>
      </c>
      <c r="E76" s="196">
        <v>44805</v>
      </c>
      <c r="F76" s="195">
        <v>3413.6</v>
      </c>
      <c r="G76" s="197">
        <f>Tabla110[[#This Row],[Importe]]-Tabla110[[#This Row],[Pagado]]</f>
        <v>0</v>
      </c>
      <c r="H76" s="194" t="s">
        <v>10</v>
      </c>
    </row>
    <row r="77" spans="1:8" x14ac:dyDescent="0.25">
      <c r="A77" s="127">
        <v>44805</v>
      </c>
      <c r="B77" s="128" t="s">
        <v>28094</v>
      </c>
      <c r="C77" s="194" t="s">
        <v>16</v>
      </c>
      <c r="D77" s="195">
        <v>2539.1999999999998</v>
      </c>
      <c r="E77" s="196">
        <v>44805</v>
      </c>
      <c r="F77" s="195">
        <v>2539.1999999999998</v>
      </c>
      <c r="G77" s="197">
        <f>Tabla110[[#This Row],[Importe]]-Tabla110[[#This Row],[Pagado]]</f>
        <v>0</v>
      </c>
      <c r="H77" s="194" t="s">
        <v>10</v>
      </c>
    </row>
    <row r="78" spans="1:8" x14ac:dyDescent="0.25">
      <c r="A78" s="127">
        <v>44805</v>
      </c>
      <c r="B78" s="128" t="s">
        <v>28095</v>
      </c>
      <c r="C78" s="194" t="s">
        <v>407</v>
      </c>
      <c r="D78" s="195">
        <v>21205.5</v>
      </c>
      <c r="E78" s="196">
        <v>44812</v>
      </c>
      <c r="F78" s="195">
        <v>21205.5</v>
      </c>
      <c r="G78" s="197">
        <f>Tabla110[[#This Row],[Importe]]-Tabla110[[#This Row],[Pagado]]</f>
        <v>0</v>
      </c>
      <c r="H78" s="194" t="s">
        <v>10</v>
      </c>
    </row>
    <row r="79" spans="1:8" x14ac:dyDescent="0.25">
      <c r="A79" s="127">
        <v>44805</v>
      </c>
      <c r="B79" s="128" t="s">
        <v>28096</v>
      </c>
      <c r="C79" s="194" t="s">
        <v>107</v>
      </c>
      <c r="D79" s="195">
        <v>15466.1</v>
      </c>
      <c r="E79" s="196">
        <v>44805</v>
      </c>
      <c r="F79" s="195">
        <v>15466.1</v>
      </c>
      <c r="G79" s="197">
        <f>Tabla110[[#This Row],[Importe]]-Tabla110[[#This Row],[Pagado]]</f>
        <v>0</v>
      </c>
      <c r="H79" s="194" t="s">
        <v>10</v>
      </c>
    </row>
    <row r="80" spans="1:8" x14ac:dyDescent="0.25">
      <c r="A80" s="127">
        <v>44805</v>
      </c>
      <c r="B80" s="128" t="s">
        <v>28097</v>
      </c>
      <c r="C80" s="194" t="s">
        <v>647</v>
      </c>
      <c r="D80" s="195">
        <v>2134</v>
      </c>
      <c r="E80" s="196">
        <v>44805</v>
      </c>
      <c r="F80" s="195">
        <v>2134</v>
      </c>
      <c r="G80" s="197">
        <f>Tabla110[[#This Row],[Importe]]-Tabla110[[#This Row],[Pagado]]</f>
        <v>0</v>
      </c>
      <c r="H80" s="194" t="s">
        <v>10</v>
      </c>
    </row>
    <row r="81" spans="1:8" x14ac:dyDescent="0.25">
      <c r="A81" s="127">
        <v>44805</v>
      </c>
      <c r="B81" s="128" t="s">
        <v>28098</v>
      </c>
      <c r="C81" s="194" t="s">
        <v>450</v>
      </c>
      <c r="D81" s="195">
        <v>4400</v>
      </c>
      <c r="E81" s="196">
        <v>44805</v>
      </c>
      <c r="F81" s="195">
        <v>4400</v>
      </c>
      <c r="G81" s="197">
        <f>Tabla110[[#This Row],[Importe]]-Tabla110[[#This Row],[Pagado]]</f>
        <v>0</v>
      </c>
      <c r="H81" s="194" t="s">
        <v>10</v>
      </c>
    </row>
    <row r="82" spans="1:8" x14ac:dyDescent="0.25">
      <c r="A82" s="127">
        <v>44805</v>
      </c>
      <c r="B82" s="128" t="s">
        <v>28099</v>
      </c>
      <c r="C82" s="194" t="s">
        <v>681</v>
      </c>
      <c r="D82" s="195">
        <v>12.81</v>
      </c>
      <c r="E82" s="196">
        <v>44811</v>
      </c>
      <c r="F82" s="195">
        <v>12.81</v>
      </c>
      <c r="G82" s="197">
        <f>Tabla110[[#This Row],[Importe]]-Tabla110[[#This Row],[Pagado]]</f>
        <v>0</v>
      </c>
      <c r="H82" s="194" t="s">
        <v>10</v>
      </c>
    </row>
    <row r="83" spans="1:8" x14ac:dyDescent="0.25">
      <c r="A83" s="127">
        <v>44805</v>
      </c>
      <c r="B83" s="128" t="s">
        <v>28100</v>
      </c>
      <c r="C83" s="194" t="s">
        <v>244</v>
      </c>
      <c r="D83" s="195">
        <v>2950.6</v>
      </c>
      <c r="E83" s="196">
        <v>44805</v>
      </c>
      <c r="F83" s="195">
        <v>2950.6</v>
      </c>
      <c r="G83" s="197">
        <f>Tabla110[[#This Row],[Importe]]-Tabla110[[#This Row],[Pagado]]</f>
        <v>0</v>
      </c>
      <c r="H83" s="194" t="s">
        <v>10</v>
      </c>
    </row>
    <row r="84" spans="1:8" x14ac:dyDescent="0.25">
      <c r="A84" s="127">
        <v>44805</v>
      </c>
      <c r="B84" s="128" t="s">
        <v>28101</v>
      </c>
      <c r="C84" s="194" t="s">
        <v>214</v>
      </c>
      <c r="D84" s="195">
        <v>1142.4000000000001</v>
      </c>
      <c r="E84" s="196">
        <v>44805</v>
      </c>
      <c r="F84" s="195">
        <v>1142.4000000000001</v>
      </c>
      <c r="G84" s="197">
        <f>Tabla110[[#This Row],[Importe]]-Tabla110[[#This Row],[Pagado]]</f>
        <v>0</v>
      </c>
      <c r="H84" s="194" t="s">
        <v>10</v>
      </c>
    </row>
    <row r="85" spans="1:8" x14ac:dyDescent="0.25">
      <c r="A85" s="127">
        <v>44805</v>
      </c>
      <c r="B85" s="128" t="s">
        <v>28102</v>
      </c>
      <c r="C85" s="194" t="s">
        <v>79</v>
      </c>
      <c r="D85" s="195">
        <v>10189.200000000001</v>
      </c>
      <c r="E85" s="196">
        <v>44805</v>
      </c>
      <c r="F85" s="195">
        <v>10189.200000000001</v>
      </c>
      <c r="G85" s="197">
        <f>Tabla110[[#This Row],[Importe]]-Tabla110[[#This Row],[Pagado]]</f>
        <v>0</v>
      </c>
      <c r="H85" s="194" t="s">
        <v>10</v>
      </c>
    </row>
    <row r="86" spans="1:8" x14ac:dyDescent="0.25">
      <c r="A86" s="127">
        <v>44805</v>
      </c>
      <c r="B86" s="128" t="s">
        <v>28103</v>
      </c>
      <c r="C86" s="194" t="s">
        <v>319</v>
      </c>
      <c r="D86" s="195">
        <v>7424.5</v>
      </c>
      <c r="E86" s="196">
        <v>44806</v>
      </c>
      <c r="F86" s="195">
        <v>7424.5</v>
      </c>
      <c r="G86" s="197">
        <f>Tabla110[[#This Row],[Importe]]-Tabla110[[#This Row],[Pagado]]</f>
        <v>0</v>
      </c>
      <c r="H86" s="194" t="s">
        <v>10</v>
      </c>
    </row>
    <row r="87" spans="1:8" x14ac:dyDescent="0.25">
      <c r="A87" s="127">
        <v>44805</v>
      </c>
      <c r="B87" s="128" t="s">
        <v>28104</v>
      </c>
      <c r="C87" s="194" t="s">
        <v>373</v>
      </c>
      <c r="D87" s="195">
        <v>104</v>
      </c>
      <c r="E87" s="196">
        <v>44805</v>
      </c>
      <c r="F87" s="195">
        <v>104</v>
      </c>
      <c r="G87" s="197">
        <f>Tabla110[[#This Row],[Importe]]-Tabla110[[#This Row],[Pagado]]</f>
        <v>0</v>
      </c>
      <c r="H87" s="194" t="s">
        <v>10</v>
      </c>
    </row>
    <row r="88" spans="1:8" x14ac:dyDescent="0.25">
      <c r="A88" s="127">
        <v>44805</v>
      </c>
      <c r="B88" s="128" t="s">
        <v>28105</v>
      </c>
      <c r="C88" s="194" t="s">
        <v>157</v>
      </c>
      <c r="D88" s="195">
        <v>6696</v>
      </c>
      <c r="E88" s="196">
        <v>44806</v>
      </c>
      <c r="F88" s="195">
        <v>6696</v>
      </c>
      <c r="G88" s="197">
        <f>Tabla110[[#This Row],[Importe]]-Tabla110[[#This Row],[Pagado]]</f>
        <v>0</v>
      </c>
      <c r="H88" s="194" t="s">
        <v>10</v>
      </c>
    </row>
    <row r="89" spans="1:8" x14ac:dyDescent="0.25">
      <c r="A89" s="127">
        <v>44805</v>
      </c>
      <c r="B89" s="128" t="s">
        <v>28106</v>
      </c>
      <c r="C89" s="194" t="s">
        <v>1421</v>
      </c>
      <c r="D89" s="195">
        <v>26688</v>
      </c>
      <c r="E89" s="196">
        <v>44805</v>
      </c>
      <c r="F89" s="195">
        <v>26688</v>
      </c>
      <c r="G89" s="197">
        <f>Tabla110[[#This Row],[Importe]]-Tabla110[[#This Row],[Pagado]]</f>
        <v>0</v>
      </c>
      <c r="H89" s="194" t="s">
        <v>10</v>
      </c>
    </row>
    <row r="90" spans="1:8" x14ac:dyDescent="0.25">
      <c r="A90" s="127">
        <v>44805</v>
      </c>
      <c r="B90" s="128" t="s">
        <v>28107</v>
      </c>
      <c r="C90" s="194" t="s">
        <v>525</v>
      </c>
      <c r="D90" s="195">
        <v>1945.2</v>
      </c>
      <c r="E90" s="196">
        <v>44806</v>
      </c>
      <c r="F90" s="195">
        <v>1945.2</v>
      </c>
      <c r="G90" s="197">
        <f>Tabla110[[#This Row],[Importe]]-Tabla110[[#This Row],[Pagado]]</f>
        <v>0</v>
      </c>
      <c r="H90" s="194" t="s">
        <v>10</v>
      </c>
    </row>
    <row r="91" spans="1:8" x14ac:dyDescent="0.25">
      <c r="A91" s="127">
        <v>44805</v>
      </c>
      <c r="B91" s="128" t="s">
        <v>28108</v>
      </c>
      <c r="C91" s="194" t="s">
        <v>9</v>
      </c>
      <c r="D91" s="195">
        <v>868</v>
      </c>
      <c r="E91" s="196">
        <v>44805</v>
      </c>
      <c r="F91" s="195">
        <v>868</v>
      </c>
      <c r="G91" s="197">
        <f>Tabla110[[#This Row],[Importe]]-Tabla110[[#This Row],[Pagado]]</f>
        <v>0</v>
      </c>
      <c r="H91" s="194" t="s">
        <v>10</v>
      </c>
    </row>
    <row r="92" spans="1:8" x14ac:dyDescent="0.25">
      <c r="A92" s="127">
        <v>44805</v>
      </c>
      <c r="B92" s="128" t="s">
        <v>28109</v>
      </c>
      <c r="C92" s="194" t="s">
        <v>159</v>
      </c>
      <c r="D92" s="195">
        <v>1415.7</v>
      </c>
      <c r="E92" s="196">
        <v>44806</v>
      </c>
      <c r="F92" s="195">
        <v>1415.7</v>
      </c>
      <c r="G92" s="197">
        <f>Tabla110[[#This Row],[Importe]]-Tabla110[[#This Row],[Pagado]]</f>
        <v>0</v>
      </c>
      <c r="H92" s="194" t="s">
        <v>10</v>
      </c>
    </row>
    <row r="93" spans="1:8" x14ac:dyDescent="0.25">
      <c r="A93" s="127">
        <v>44805</v>
      </c>
      <c r="B93" s="128" t="s">
        <v>28110</v>
      </c>
      <c r="C93" s="194" t="s">
        <v>520</v>
      </c>
      <c r="D93" s="195">
        <v>4456</v>
      </c>
      <c r="E93" s="196">
        <v>44806</v>
      </c>
      <c r="F93" s="195">
        <v>4456</v>
      </c>
      <c r="G93" s="197">
        <f>Tabla110[[#This Row],[Importe]]-Tabla110[[#This Row],[Pagado]]</f>
        <v>0</v>
      </c>
      <c r="H93" s="194" t="s">
        <v>10</v>
      </c>
    </row>
    <row r="94" spans="1:8" x14ac:dyDescent="0.25">
      <c r="A94" s="127">
        <v>44805</v>
      </c>
      <c r="B94" s="128" t="s">
        <v>28111</v>
      </c>
      <c r="C94" s="194" t="s">
        <v>966</v>
      </c>
      <c r="D94" s="195">
        <v>2845.8</v>
      </c>
      <c r="E94" s="196">
        <v>44806</v>
      </c>
      <c r="F94" s="195">
        <v>2845.8</v>
      </c>
      <c r="G94" s="197">
        <f>Tabla110[[#This Row],[Importe]]-Tabla110[[#This Row],[Pagado]]</f>
        <v>0</v>
      </c>
      <c r="H94" s="194" t="s">
        <v>10</v>
      </c>
    </row>
    <row r="95" spans="1:8" x14ac:dyDescent="0.25">
      <c r="A95" s="127">
        <v>44805</v>
      </c>
      <c r="B95" s="128" t="s">
        <v>28112</v>
      </c>
      <c r="C95" s="194" t="s">
        <v>151</v>
      </c>
      <c r="D95" s="195">
        <v>5951.7</v>
      </c>
      <c r="E95" s="196">
        <v>44806</v>
      </c>
      <c r="F95" s="195">
        <v>5951.7</v>
      </c>
      <c r="G95" s="197">
        <f>Tabla110[[#This Row],[Importe]]-Tabla110[[#This Row],[Pagado]]</f>
        <v>0</v>
      </c>
      <c r="H95" s="194" t="s">
        <v>10</v>
      </c>
    </row>
    <row r="96" spans="1:8" x14ac:dyDescent="0.25">
      <c r="A96" s="127">
        <v>44805</v>
      </c>
      <c r="B96" s="128" t="s">
        <v>28113</v>
      </c>
      <c r="C96" s="194" t="s">
        <v>14</v>
      </c>
      <c r="D96" s="195">
        <v>25302.3</v>
      </c>
      <c r="E96" s="196">
        <v>44805</v>
      </c>
      <c r="F96" s="195">
        <v>25302.3</v>
      </c>
      <c r="G96" s="197">
        <f>Tabla110[[#This Row],[Importe]]-Tabla110[[#This Row],[Pagado]]</f>
        <v>0</v>
      </c>
      <c r="H96" s="194" t="s">
        <v>10</v>
      </c>
    </row>
    <row r="97" spans="1:8" x14ac:dyDescent="0.25">
      <c r="A97" s="127">
        <v>44805</v>
      </c>
      <c r="B97" s="128" t="s">
        <v>28114</v>
      </c>
      <c r="C97" s="194" t="s">
        <v>280</v>
      </c>
      <c r="D97" s="195">
        <v>1258</v>
      </c>
      <c r="E97" s="196">
        <v>44806</v>
      </c>
      <c r="F97" s="195">
        <v>1258</v>
      </c>
      <c r="G97" s="197">
        <f>Tabla110[[#This Row],[Importe]]-Tabla110[[#This Row],[Pagado]]</f>
        <v>0</v>
      </c>
      <c r="H97" s="194" t="s">
        <v>10</v>
      </c>
    </row>
    <row r="98" spans="1:8" x14ac:dyDescent="0.25">
      <c r="A98" s="127">
        <v>44805</v>
      </c>
      <c r="B98" s="128" t="s">
        <v>28115</v>
      </c>
      <c r="C98" s="194" t="s">
        <v>5345</v>
      </c>
      <c r="D98" s="195">
        <v>2040</v>
      </c>
      <c r="E98" s="196">
        <v>44806</v>
      </c>
      <c r="F98" s="195">
        <v>2040</v>
      </c>
      <c r="G98" s="197">
        <f>Tabla110[[#This Row],[Importe]]-Tabla110[[#This Row],[Pagado]]</f>
        <v>0</v>
      </c>
      <c r="H98" s="194" t="s">
        <v>10</v>
      </c>
    </row>
    <row r="99" spans="1:8" x14ac:dyDescent="0.25">
      <c r="A99" s="127">
        <v>44805</v>
      </c>
      <c r="B99" s="128" t="s">
        <v>28116</v>
      </c>
      <c r="C99" s="194" t="s">
        <v>5345</v>
      </c>
      <c r="D99" s="195">
        <v>1360</v>
      </c>
      <c r="E99" s="196">
        <v>44806</v>
      </c>
      <c r="F99" s="195">
        <v>1360</v>
      </c>
      <c r="G99" s="197">
        <f>Tabla110[[#This Row],[Importe]]-Tabla110[[#This Row],[Pagado]]</f>
        <v>0</v>
      </c>
      <c r="H99" s="194" t="s">
        <v>10</v>
      </c>
    </row>
    <row r="100" spans="1:8" x14ac:dyDescent="0.25">
      <c r="A100" s="127">
        <v>44805</v>
      </c>
      <c r="B100" s="128" t="s">
        <v>28117</v>
      </c>
      <c r="C100" s="194" t="s">
        <v>10819</v>
      </c>
      <c r="D100" s="195">
        <v>1067.5999999999999</v>
      </c>
      <c r="E100" s="196">
        <v>44806</v>
      </c>
      <c r="F100" s="195">
        <v>1067.5999999999999</v>
      </c>
      <c r="G100" s="197">
        <f>Tabla110[[#This Row],[Importe]]-Tabla110[[#This Row],[Pagado]]</f>
        <v>0</v>
      </c>
      <c r="H100" s="194" t="s">
        <v>10</v>
      </c>
    </row>
    <row r="101" spans="1:8" x14ac:dyDescent="0.25">
      <c r="A101" s="127">
        <v>44805</v>
      </c>
      <c r="B101" s="128" t="s">
        <v>28118</v>
      </c>
      <c r="C101" s="194" t="s">
        <v>442</v>
      </c>
      <c r="D101" s="195">
        <v>32695</v>
      </c>
      <c r="E101" s="196">
        <v>44805</v>
      </c>
      <c r="F101" s="195">
        <v>32695</v>
      </c>
      <c r="G101" s="197">
        <f>Tabla110[[#This Row],[Importe]]-Tabla110[[#This Row],[Pagado]]</f>
        <v>0</v>
      </c>
      <c r="H101" s="194" t="s">
        <v>10</v>
      </c>
    </row>
    <row r="102" spans="1:8" x14ac:dyDescent="0.25">
      <c r="A102" s="127">
        <v>44805</v>
      </c>
      <c r="B102" s="128" t="s">
        <v>28119</v>
      </c>
      <c r="C102" s="194" t="s">
        <v>53</v>
      </c>
      <c r="D102" s="195">
        <v>1864.8</v>
      </c>
      <c r="E102" s="196">
        <v>44805</v>
      </c>
      <c r="F102" s="195">
        <v>1864.8</v>
      </c>
      <c r="G102" s="197">
        <f>Tabla110[[#This Row],[Importe]]-Tabla110[[#This Row],[Pagado]]</f>
        <v>0</v>
      </c>
      <c r="H102" s="194" t="s">
        <v>10</v>
      </c>
    </row>
    <row r="103" spans="1:8" x14ac:dyDescent="0.25">
      <c r="A103" s="127">
        <v>44805</v>
      </c>
      <c r="B103" s="128" t="s">
        <v>28120</v>
      </c>
      <c r="C103" s="194" t="s">
        <v>19637</v>
      </c>
      <c r="D103" s="195">
        <v>5061.3999999999996</v>
      </c>
      <c r="E103" s="196">
        <v>44811</v>
      </c>
      <c r="F103" s="195">
        <v>5061.3999999999996</v>
      </c>
      <c r="G103" s="197">
        <f>Tabla110[[#This Row],[Importe]]-Tabla110[[#This Row],[Pagado]]</f>
        <v>0</v>
      </c>
      <c r="H103" s="194" t="s">
        <v>10</v>
      </c>
    </row>
    <row r="104" spans="1:8" x14ac:dyDescent="0.25">
      <c r="A104" s="127">
        <v>44805</v>
      </c>
      <c r="B104" s="128" t="s">
        <v>28121</v>
      </c>
      <c r="C104" s="194" t="s">
        <v>10190</v>
      </c>
      <c r="D104" s="195">
        <v>26030.400000000001</v>
      </c>
      <c r="E104" s="196">
        <v>44806</v>
      </c>
      <c r="F104" s="195">
        <v>26030.400000000001</v>
      </c>
      <c r="G104" s="197">
        <f>Tabla110[[#This Row],[Importe]]-Tabla110[[#This Row],[Pagado]]</f>
        <v>0</v>
      </c>
      <c r="H104" s="194" t="s">
        <v>10</v>
      </c>
    </row>
    <row r="105" spans="1:8" x14ac:dyDescent="0.25">
      <c r="A105" s="127">
        <v>44805</v>
      </c>
      <c r="B105" s="128" t="s">
        <v>28122</v>
      </c>
      <c r="C105" s="194" t="s">
        <v>19637</v>
      </c>
      <c r="D105" s="195">
        <v>2271.8000000000002</v>
      </c>
      <c r="E105" s="196">
        <v>44811</v>
      </c>
      <c r="F105" s="195">
        <v>2271.8000000000002</v>
      </c>
      <c r="G105" s="197">
        <f>Tabla110[[#This Row],[Importe]]-Tabla110[[#This Row],[Pagado]]</f>
        <v>0</v>
      </c>
      <c r="H105" s="194" t="s">
        <v>10</v>
      </c>
    </row>
    <row r="106" spans="1:8" x14ac:dyDescent="0.25">
      <c r="A106" s="127">
        <v>44805</v>
      </c>
      <c r="B106" s="128" t="s">
        <v>28123</v>
      </c>
      <c r="C106" s="194" t="s">
        <v>56</v>
      </c>
      <c r="D106" s="195">
        <v>6273.8</v>
      </c>
      <c r="E106" s="196">
        <v>44805</v>
      </c>
      <c r="F106" s="195">
        <v>6273.8</v>
      </c>
      <c r="G106" s="197">
        <f>Tabla110[[#This Row],[Importe]]-Tabla110[[#This Row],[Pagado]]</f>
        <v>0</v>
      </c>
      <c r="H106" s="194" t="s">
        <v>10</v>
      </c>
    </row>
    <row r="107" spans="1:8" x14ac:dyDescent="0.25">
      <c r="A107" s="127">
        <v>44805</v>
      </c>
      <c r="B107" s="128" t="s">
        <v>28124</v>
      </c>
      <c r="C107" s="194" t="s">
        <v>407</v>
      </c>
      <c r="D107" s="195">
        <v>5300</v>
      </c>
      <c r="E107" s="196">
        <v>44812</v>
      </c>
      <c r="F107" s="195">
        <v>5300</v>
      </c>
      <c r="G107" s="197">
        <f>Tabla110[[#This Row],[Importe]]-Tabla110[[#This Row],[Pagado]]</f>
        <v>0</v>
      </c>
      <c r="H107" s="194" t="s">
        <v>10</v>
      </c>
    </row>
    <row r="108" spans="1:8" x14ac:dyDescent="0.25">
      <c r="A108" s="127">
        <v>44805</v>
      </c>
      <c r="B108" s="128" t="s">
        <v>28125</v>
      </c>
      <c r="C108" s="194" t="s">
        <v>10678</v>
      </c>
      <c r="D108" s="195">
        <v>4123.7</v>
      </c>
      <c r="E108" s="196">
        <v>44805</v>
      </c>
      <c r="F108" s="195">
        <v>4123.7</v>
      </c>
      <c r="G108" s="197">
        <f>Tabla110[[#This Row],[Importe]]-Tabla110[[#This Row],[Pagado]]</f>
        <v>0</v>
      </c>
      <c r="H108" s="194" t="s">
        <v>10</v>
      </c>
    </row>
    <row r="109" spans="1:8" x14ac:dyDescent="0.25">
      <c r="A109" s="127">
        <v>44805</v>
      </c>
      <c r="B109" s="128" t="s">
        <v>28126</v>
      </c>
      <c r="C109" s="194" t="s">
        <v>75</v>
      </c>
      <c r="D109" s="195">
        <v>714</v>
      </c>
      <c r="E109" s="196">
        <v>44805</v>
      </c>
      <c r="F109" s="195">
        <v>714</v>
      </c>
      <c r="G109" s="197">
        <f>Tabla110[[#This Row],[Importe]]-Tabla110[[#This Row],[Pagado]]</f>
        <v>0</v>
      </c>
      <c r="H109" s="194" t="s">
        <v>10</v>
      </c>
    </row>
    <row r="110" spans="1:8" x14ac:dyDescent="0.25">
      <c r="A110" s="127">
        <v>44805</v>
      </c>
      <c r="B110" s="128" t="s">
        <v>28127</v>
      </c>
      <c r="C110" s="194" t="s">
        <v>729</v>
      </c>
      <c r="D110" s="195">
        <v>26251.3</v>
      </c>
      <c r="E110" s="196">
        <v>44806</v>
      </c>
      <c r="F110" s="195">
        <v>26251.3</v>
      </c>
      <c r="G110" s="197">
        <f>Tabla110[[#This Row],[Importe]]-Tabla110[[#This Row],[Pagado]]</f>
        <v>0</v>
      </c>
      <c r="H110" s="194" t="s">
        <v>10</v>
      </c>
    </row>
    <row r="111" spans="1:8" x14ac:dyDescent="0.25">
      <c r="A111" s="127">
        <v>44805</v>
      </c>
      <c r="B111" s="128" t="s">
        <v>28128</v>
      </c>
      <c r="C111" s="194" t="s">
        <v>28087</v>
      </c>
      <c r="D111" s="195">
        <v>3069</v>
      </c>
      <c r="E111" s="196">
        <v>44830</v>
      </c>
      <c r="F111" s="195">
        <v>3069</v>
      </c>
      <c r="G111" s="197">
        <f>Tabla110[[#This Row],[Importe]]-Tabla110[[#This Row],[Pagado]]</f>
        <v>0</v>
      </c>
      <c r="H111" s="194" t="s">
        <v>10</v>
      </c>
    </row>
    <row r="112" spans="1:8" x14ac:dyDescent="0.25">
      <c r="A112" s="127">
        <v>44805</v>
      </c>
      <c r="B112" s="128" t="s">
        <v>28129</v>
      </c>
      <c r="C112" s="194" t="s">
        <v>142</v>
      </c>
      <c r="D112" s="195">
        <v>4028</v>
      </c>
      <c r="E112" s="196">
        <v>44847</v>
      </c>
      <c r="F112" s="195">
        <v>4028</v>
      </c>
      <c r="G112" s="197">
        <f>Tabla110[[#This Row],[Importe]]-Tabla110[[#This Row],[Pagado]]</f>
        <v>0</v>
      </c>
      <c r="H112" s="194" t="s">
        <v>10</v>
      </c>
    </row>
    <row r="113" spans="1:8" x14ac:dyDescent="0.25">
      <c r="A113" s="127">
        <v>44805</v>
      </c>
      <c r="B113" s="128" t="s">
        <v>28130</v>
      </c>
      <c r="C113" s="194" t="s">
        <v>9993</v>
      </c>
      <c r="D113" s="195">
        <v>45000</v>
      </c>
      <c r="E113" s="196">
        <v>44805</v>
      </c>
      <c r="F113" s="195">
        <v>45000</v>
      </c>
      <c r="G113" s="197">
        <f>Tabla110[[#This Row],[Importe]]-Tabla110[[#This Row],[Pagado]]</f>
        <v>0</v>
      </c>
      <c r="H113" s="194" t="s">
        <v>10</v>
      </c>
    </row>
    <row r="114" spans="1:8" x14ac:dyDescent="0.25">
      <c r="A114" s="127">
        <v>44805</v>
      </c>
      <c r="B114" s="128" t="s">
        <v>28131</v>
      </c>
      <c r="C114" s="194" t="s">
        <v>887</v>
      </c>
      <c r="D114" s="195">
        <v>16367.8</v>
      </c>
      <c r="E114" s="196">
        <v>44806</v>
      </c>
      <c r="F114" s="195">
        <v>16367.8</v>
      </c>
      <c r="G114" s="197">
        <f>Tabla110[[#This Row],[Importe]]-Tabla110[[#This Row],[Pagado]]</f>
        <v>0</v>
      </c>
      <c r="H114" s="194" t="s">
        <v>10</v>
      </c>
    </row>
    <row r="115" spans="1:8" x14ac:dyDescent="0.25">
      <c r="A115" s="127">
        <v>44806</v>
      </c>
      <c r="B115" s="128" t="s">
        <v>28132</v>
      </c>
      <c r="C115" s="194" t="s">
        <v>475</v>
      </c>
      <c r="D115" s="195">
        <v>69147</v>
      </c>
      <c r="E115" s="196">
        <v>44807</v>
      </c>
      <c r="F115" s="195">
        <v>69147</v>
      </c>
      <c r="G115" s="197">
        <f>Tabla110[[#This Row],[Importe]]-Tabla110[[#This Row],[Pagado]]</f>
        <v>0</v>
      </c>
      <c r="H115" s="194" t="s">
        <v>10</v>
      </c>
    </row>
    <row r="116" spans="1:8" x14ac:dyDescent="0.25">
      <c r="A116" s="127">
        <v>44806</v>
      </c>
      <c r="B116" s="128" t="s">
        <v>28133</v>
      </c>
      <c r="C116" s="194" t="s">
        <v>95</v>
      </c>
      <c r="D116" s="195">
        <v>28950</v>
      </c>
      <c r="E116" s="196">
        <v>44806</v>
      </c>
      <c r="F116" s="195">
        <v>28950</v>
      </c>
      <c r="G116" s="197">
        <f>Tabla110[[#This Row],[Importe]]-Tabla110[[#This Row],[Pagado]]</f>
        <v>0</v>
      </c>
      <c r="H116" s="194" t="s">
        <v>10</v>
      </c>
    </row>
    <row r="117" spans="1:8" x14ac:dyDescent="0.25">
      <c r="A117" s="127">
        <v>44806</v>
      </c>
      <c r="B117" s="128" t="s">
        <v>28134</v>
      </c>
      <c r="C117" s="194" t="s">
        <v>484</v>
      </c>
      <c r="D117" s="195">
        <v>9560</v>
      </c>
      <c r="E117" s="196">
        <v>44806</v>
      </c>
      <c r="F117" s="195">
        <v>9560</v>
      </c>
      <c r="G117" s="197">
        <f>Tabla110[[#This Row],[Importe]]-Tabla110[[#This Row],[Pagado]]</f>
        <v>0</v>
      </c>
      <c r="H117" s="194" t="s">
        <v>10</v>
      </c>
    </row>
    <row r="118" spans="1:8" x14ac:dyDescent="0.25">
      <c r="A118" s="127">
        <v>44806</v>
      </c>
      <c r="B118" s="128" t="s">
        <v>28135</v>
      </c>
      <c r="C118" s="194" t="s">
        <v>99</v>
      </c>
      <c r="D118" s="195">
        <v>4460.3999999999996</v>
      </c>
      <c r="E118" s="196">
        <v>44809</v>
      </c>
      <c r="F118" s="195">
        <v>4460.3999999999996</v>
      </c>
      <c r="G118" s="197">
        <f>Tabla110[[#This Row],[Importe]]-Tabla110[[#This Row],[Pagado]]</f>
        <v>0</v>
      </c>
      <c r="H118" s="194" t="s">
        <v>10</v>
      </c>
    </row>
    <row r="119" spans="1:8" x14ac:dyDescent="0.25">
      <c r="A119" s="127">
        <v>44806</v>
      </c>
      <c r="B119" s="128" t="s">
        <v>28136</v>
      </c>
      <c r="C119" s="194" t="s">
        <v>109</v>
      </c>
      <c r="D119" s="195">
        <v>5304</v>
      </c>
      <c r="E119" s="196">
        <v>44807</v>
      </c>
      <c r="F119" s="195">
        <v>5304</v>
      </c>
      <c r="G119" s="197">
        <f>Tabla110[[#This Row],[Importe]]-Tabla110[[#This Row],[Pagado]]</f>
        <v>0</v>
      </c>
      <c r="H119" s="194" t="s">
        <v>10</v>
      </c>
    </row>
    <row r="120" spans="1:8" x14ac:dyDescent="0.25">
      <c r="A120" s="127">
        <v>44806</v>
      </c>
      <c r="B120" s="128" t="s">
        <v>28137</v>
      </c>
      <c r="C120" s="194" t="s">
        <v>93</v>
      </c>
      <c r="D120" s="195">
        <v>6622</v>
      </c>
      <c r="E120" s="196">
        <v>44809</v>
      </c>
      <c r="F120" s="195">
        <v>6622</v>
      </c>
      <c r="G120" s="197">
        <f>Tabla110[[#This Row],[Importe]]-Tabla110[[#This Row],[Pagado]]</f>
        <v>0</v>
      </c>
      <c r="H120" s="194" t="s">
        <v>10</v>
      </c>
    </row>
    <row r="121" spans="1:8" x14ac:dyDescent="0.25">
      <c r="A121" s="127">
        <v>44806</v>
      </c>
      <c r="B121" s="128" t="s">
        <v>28138</v>
      </c>
      <c r="C121" s="194" t="s">
        <v>1187</v>
      </c>
      <c r="D121" s="195">
        <v>360.8</v>
      </c>
      <c r="E121" s="196">
        <v>44806</v>
      </c>
      <c r="F121" s="195">
        <v>360.8</v>
      </c>
      <c r="G121" s="197">
        <f>Tabla110[[#This Row],[Importe]]-Tabla110[[#This Row],[Pagado]]</f>
        <v>0</v>
      </c>
      <c r="H121" s="194" t="s">
        <v>10</v>
      </c>
    </row>
    <row r="122" spans="1:8" x14ac:dyDescent="0.25">
      <c r="A122" s="127">
        <v>44806</v>
      </c>
      <c r="B122" s="128" t="s">
        <v>28139</v>
      </c>
      <c r="C122" s="194" t="s">
        <v>481</v>
      </c>
      <c r="D122" s="195">
        <v>1792.5</v>
      </c>
      <c r="E122" s="196">
        <v>44806</v>
      </c>
      <c r="F122" s="195">
        <v>1792.5</v>
      </c>
      <c r="G122" s="197">
        <f>Tabla110[[#This Row],[Importe]]-Tabla110[[#This Row],[Pagado]]</f>
        <v>0</v>
      </c>
      <c r="H122" s="194" t="s">
        <v>10</v>
      </c>
    </row>
    <row r="123" spans="1:8" x14ac:dyDescent="0.25">
      <c r="A123" s="127">
        <v>44806</v>
      </c>
      <c r="B123" s="128" t="s">
        <v>28140</v>
      </c>
      <c r="C123" s="194" t="s">
        <v>26710</v>
      </c>
      <c r="D123" s="195">
        <v>0</v>
      </c>
      <c r="E123" s="199" t="s">
        <v>189</v>
      </c>
      <c r="F123" s="195">
        <v>0</v>
      </c>
      <c r="G123" s="197">
        <f>Tabla110[[#This Row],[Importe]]-Tabla110[[#This Row],[Pagado]]</f>
        <v>0</v>
      </c>
      <c r="H123" s="200" t="s">
        <v>28141</v>
      </c>
    </row>
    <row r="124" spans="1:8" x14ac:dyDescent="0.25">
      <c r="A124" s="127">
        <v>44806</v>
      </c>
      <c r="B124" s="128" t="s">
        <v>28142</v>
      </c>
      <c r="C124" s="194" t="s">
        <v>111</v>
      </c>
      <c r="D124" s="195">
        <v>5638.5</v>
      </c>
      <c r="E124" s="196">
        <v>44807</v>
      </c>
      <c r="F124" s="195">
        <v>5638.5</v>
      </c>
      <c r="G124" s="197">
        <f>Tabla110[[#This Row],[Importe]]-Tabla110[[#This Row],[Pagado]]</f>
        <v>0</v>
      </c>
      <c r="H124" s="194" t="s">
        <v>10</v>
      </c>
    </row>
    <row r="125" spans="1:8" x14ac:dyDescent="0.25">
      <c r="A125" s="127">
        <v>44806</v>
      </c>
      <c r="B125" s="128" t="s">
        <v>28143</v>
      </c>
      <c r="C125" s="194" t="s">
        <v>64</v>
      </c>
      <c r="D125" s="195">
        <v>4875</v>
      </c>
      <c r="E125" s="196">
        <v>44807</v>
      </c>
      <c r="F125" s="195">
        <v>4875</v>
      </c>
      <c r="G125" s="197">
        <f>Tabla110[[#This Row],[Importe]]-Tabla110[[#This Row],[Pagado]]</f>
        <v>0</v>
      </c>
      <c r="H125" s="194" t="s">
        <v>10</v>
      </c>
    </row>
    <row r="126" spans="1:8" x14ac:dyDescent="0.25">
      <c r="A126" s="127">
        <v>44806</v>
      </c>
      <c r="B126" s="128" t="s">
        <v>28144</v>
      </c>
      <c r="C126" s="194" t="s">
        <v>20</v>
      </c>
      <c r="D126" s="195">
        <v>200</v>
      </c>
      <c r="E126" s="196">
        <v>44806</v>
      </c>
      <c r="F126" s="195">
        <v>200</v>
      </c>
      <c r="G126" s="197">
        <f>Tabla110[[#This Row],[Importe]]-Tabla110[[#This Row],[Pagado]]</f>
        <v>0</v>
      </c>
      <c r="H126" s="194" t="s">
        <v>10</v>
      </c>
    </row>
    <row r="127" spans="1:8" x14ac:dyDescent="0.25">
      <c r="A127" s="127">
        <v>44806</v>
      </c>
      <c r="B127" s="128" t="s">
        <v>28145</v>
      </c>
      <c r="C127" s="194" t="s">
        <v>97</v>
      </c>
      <c r="D127" s="195">
        <v>6983.9</v>
      </c>
      <c r="E127" s="196">
        <v>44807</v>
      </c>
      <c r="F127" s="195">
        <v>6983.9</v>
      </c>
      <c r="G127" s="197">
        <f>Tabla110[[#This Row],[Importe]]-Tabla110[[#This Row],[Pagado]]</f>
        <v>0</v>
      </c>
      <c r="H127" s="194" t="s">
        <v>10</v>
      </c>
    </row>
    <row r="128" spans="1:8" x14ac:dyDescent="0.25">
      <c r="A128" s="127">
        <v>44806</v>
      </c>
      <c r="B128" s="128" t="s">
        <v>28146</v>
      </c>
      <c r="C128" s="194" t="s">
        <v>114</v>
      </c>
      <c r="D128" s="195">
        <v>6702.1</v>
      </c>
      <c r="E128" s="196">
        <v>44807</v>
      </c>
      <c r="F128" s="195">
        <v>6702.1</v>
      </c>
      <c r="G128" s="197">
        <f>Tabla110[[#This Row],[Importe]]-Tabla110[[#This Row],[Pagado]]</f>
        <v>0</v>
      </c>
      <c r="H128" s="194" t="s">
        <v>10</v>
      </c>
    </row>
    <row r="129" spans="1:8" x14ac:dyDescent="0.25">
      <c r="A129" s="127">
        <v>44806</v>
      </c>
      <c r="B129" s="128" t="s">
        <v>28147</v>
      </c>
      <c r="C129" s="194" t="s">
        <v>105</v>
      </c>
      <c r="D129" s="195">
        <v>14047.2</v>
      </c>
      <c r="E129" s="196">
        <v>44807</v>
      </c>
      <c r="F129" s="195">
        <v>14047.2</v>
      </c>
      <c r="G129" s="197">
        <f>Tabla110[[#This Row],[Importe]]-Tabla110[[#This Row],[Pagado]]</f>
        <v>0</v>
      </c>
      <c r="H129" s="194" t="s">
        <v>10</v>
      </c>
    </row>
    <row r="130" spans="1:8" x14ac:dyDescent="0.25">
      <c r="A130" s="127">
        <v>44806</v>
      </c>
      <c r="B130" s="128" t="s">
        <v>28148</v>
      </c>
      <c r="C130" s="194" t="s">
        <v>2151</v>
      </c>
      <c r="D130" s="195">
        <v>26777.5</v>
      </c>
      <c r="E130" s="196">
        <v>44806</v>
      </c>
      <c r="F130" s="195">
        <v>26777.5</v>
      </c>
      <c r="G130" s="197">
        <f>Tabla110[[#This Row],[Importe]]-Tabla110[[#This Row],[Pagado]]</f>
        <v>0</v>
      </c>
      <c r="H130" s="194" t="s">
        <v>10</v>
      </c>
    </row>
    <row r="131" spans="1:8" x14ac:dyDescent="0.25">
      <c r="A131" s="127">
        <v>44806</v>
      </c>
      <c r="B131" s="128" t="s">
        <v>28149</v>
      </c>
      <c r="C131" s="194" t="s">
        <v>16819</v>
      </c>
      <c r="D131" s="195">
        <v>4914</v>
      </c>
      <c r="E131" s="196">
        <v>44806</v>
      </c>
      <c r="F131" s="195">
        <v>4914</v>
      </c>
      <c r="G131" s="197">
        <f>Tabla110[[#This Row],[Importe]]-Tabla110[[#This Row],[Pagado]]</f>
        <v>0</v>
      </c>
      <c r="H131" s="194" t="s">
        <v>10</v>
      </c>
    </row>
    <row r="132" spans="1:8" x14ac:dyDescent="0.25">
      <c r="A132" s="127">
        <v>44806</v>
      </c>
      <c r="B132" s="128" t="s">
        <v>28150</v>
      </c>
      <c r="C132" s="194" t="s">
        <v>89</v>
      </c>
      <c r="D132" s="195">
        <v>3682.8</v>
      </c>
      <c r="E132" s="196">
        <v>44807</v>
      </c>
      <c r="F132" s="195">
        <v>3682.8</v>
      </c>
      <c r="G132" s="197">
        <f>Tabla110[[#This Row],[Importe]]-Tabla110[[#This Row],[Pagado]]</f>
        <v>0</v>
      </c>
      <c r="H132" s="194" t="s">
        <v>10</v>
      </c>
    </row>
    <row r="133" spans="1:8" x14ac:dyDescent="0.25">
      <c r="A133" s="127">
        <v>44806</v>
      </c>
      <c r="B133" s="128" t="s">
        <v>28151</v>
      </c>
      <c r="C133" s="194" t="s">
        <v>9</v>
      </c>
      <c r="D133" s="195">
        <v>10964.1</v>
      </c>
      <c r="E133" s="196">
        <v>44806</v>
      </c>
      <c r="F133" s="195">
        <v>10964.1</v>
      </c>
      <c r="G133" s="197">
        <f>Tabla110[[#This Row],[Importe]]-Tabla110[[#This Row],[Pagado]]</f>
        <v>0</v>
      </c>
      <c r="H133" s="194" t="s">
        <v>10</v>
      </c>
    </row>
    <row r="134" spans="1:8" x14ac:dyDescent="0.25">
      <c r="A134" s="127">
        <v>44806</v>
      </c>
      <c r="B134" s="128" t="s">
        <v>28152</v>
      </c>
      <c r="C134" s="194" t="s">
        <v>22</v>
      </c>
      <c r="D134" s="195">
        <v>68866.100000000006</v>
      </c>
      <c r="E134" s="196">
        <v>44807</v>
      </c>
      <c r="F134" s="195">
        <v>68866.100000000006</v>
      </c>
      <c r="G134" s="197">
        <f>Tabla110[[#This Row],[Importe]]-Tabla110[[#This Row],[Pagado]]</f>
        <v>0</v>
      </c>
      <c r="H134" s="194" t="s">
        <v>10</v>
      </c>
    </row>
    <row r="135" spans="1:8" x14ac:dyDescent="0.25">
      <c r="A135" s="127">
        <v>44806</v>
      </c>
      <c r="B135" s="128" t="s">
        <v>28153</v>
      </c>
      <c r="C135" s="194" t="s">
        <v>24</v>
      </c>
      <c r="D135" s="195">
        <v>5230.7</v>
      </c>
      <c r="E135" s="196">
        <v>44806</v>
      </c>
      <c r="F135" s="195">
        <v>5230.7</v>
      </c>
      <c r="G135" s="197">
        <f>Tabla110[[#This Row],[Importe]]-Tabla110[[#This Row],[Pagado]]</f>
        <v>0</v>
      </c>
      <c r="H135" s="194" t="s">
        <v>10</v>
      </c>
    </row>
    <row r="136" spans="1:8" x14ac:dyDescent="0.25">
      <c r="A136" s="127">
        <v>44806</v>
      </c>
      <c r="B136" s="128" t="s">
        <v>28154</v>
      </c>
      <c r="C136" s="194" t="s">
        <v>31</v>
      </c>
      <c r="D136" s="195">
        <v>676</v>
      </c>
      <c r="E136" s="196">
        <v>44806</v>
      </c>
      <c r="F136" s="195">
        <v>676</v>
      </c>
      <c r="G136" s="197">
        <f>Tabla110[[#This Row],[Importe]]-Tabla110[[#This Row],[Pagado]]</f>
        <v>0</v>
      </c>
      <c r="H136" s="194" t="s">
        <v>10</v>
      </c>
    </row>
    <row r="137" spans="1:8" x14ac:dyDescent="0.25">
      <c r="A137" s="127">
        <v>44806</v>
      </c>
      <c r="B137" s="128" t="s">
        <v>28155</v>
      </c>
      <c r="C137" s="194" t="s">
        <v>326</v>
      </c>
      <c r="D137" s="195">
        <v>7626.1</v>
      </c>
      <c r="E137" s="196">
        <v>44807</v>
      </c>
      <c r="F137" s="195">
        <v>7626.1</v>
      </c>
      <c r="G137" s="197">
        <f>Tabla110[[#This Row],[Importe]]-Tabla110[[#This Row],[Pagado]]</f>
        <v>0</v>
      </c>
      <c r="H137" s="194" t="s">
        <v>10</v>
      </c>
    </row>
    <row r="138" spans="1:8" x14ac:dyDescent="0.25">
      <c r="A138" s="127">
        <v>44806</v>
      </c>
      <c r="B138" s="128" t="s">
        <v>28156</v>
      </c>
      <c r="C138" s="194" t="s">
        <v>18</v>
      </c>
      <c r="D138" s="195">
        <v>858.4</v>
      </c>
      <c r="E138" s="196">
        <v>44806</v>
      </c>
      <c r="F138" s="195">
        <v>858.4</v>
      </c>
      <c r="G138" s="197">
        <f>Tabla110[[#This Row],[Importe]]-Tabla110[[#This Row],[Pagado]]</f>
        <v>0</v>
      </c>
      <c r="H138" s="194" t="s">
        <v>10</v>
      </c>
    </row>
    <row r="139" spans="1:8" x14ac:dyDescent="0.25">
      <c r="A139" s="127">
        <v>44806</v>
      </c>
      <c r="B139" s="128" t="s">
        <v>28157</v>
      </c>
      <c r="C139" s="194" t="s">
        <v>135</v>
      </c>
      <c r="D139" s="195">
        <v>1620</v>
      </c>
      <c r="E139" s="196">
        <v>44806</v>
      </c>
      <c r="F139" s="195">
        <v>1620</v>
      </c>
      <c r="G139" s="197">
        <f>Tabla110[[#This Row],[Importe]]-Tabla110[[#This Row],[Pagado]]</f>
        <v>0</v>
      </c>
      <c r="H139" s="194" t="s">
        <v>10</v>
      </c>
    </row>
    <row r="140" spans="1:8" x14ac:dyDescent="0.25">
      <c r="A140" s="127">
        <v>44806</v>
      </c>
      <c r="B140" s="128" t="s">
        <v>28158</v>
      </c>
      <c r="C140" s="194" t="s">
        <v>17556</v>
      </c>
      <c r="D140" s="195">
        <v>3285</v>
      </c>
      <c r="E140" s="196">
        <v>44806</v>
      </c>
      <c r="F140" s="195">
        <v>3285</v>
      </c>
      <c r="G140" s="197">
        <f>Tabla110[[#This Row],[Importe]]-Tabla110[[#This Row],[Pagado]]</f>
        <v>0</v>
      </c>
      <c r="H140" s="194" t="s">
        <v>10</v>
      </c>
    </row>
    <row r="141" spans="1:8" x14ac:dyDescent="0.25">
      <c r="A141" s="127">
        <v>44806</v>
      </c>
      <c r="B141" s="128" t="s">
        <v>28159</v>
      </c>
      <c r="C141" s="194" t="s">
        <v>131</v>
      </c>
      <c r="D141" s="195">
        <v>4878.3999999999996</v>
      </c>
      <c r="E141" s="196">
        <v>44806</v>
      </c>
      <c r="F141" s="195">
        <v>4878.3999999999996</v>
      </c>
      <c r="G141" s="197">
        <f>Tabla110[[#This Row],[Importe]]-Tabla110[[#This Row],[Pagado]]</f>
        <v>0</v>
      </c>
      <c r="H141" s="194" t="s">
        <v>10</v>
      </c>
    </row>
    <row r="142" spans="1:8" x14ac:dyDescent="0.25">
      <c r="A142" s="127">
        <v>44806</v>
      </c>
      <c r="B142" s="128" t="s">
        <v>28160</v>
      </c>
      <c r="C142" s="194" t="s">
        <v>17556</v>
      </c>
      <c r="D142" s="195">
        <v>631.79999999999995</v>
      </c>
      <c r="E142" s="196">
        <v>44806</v>
      </c>
      <c r="F142" s="195">
        <v>631.79999999999995</v>
      </c>
      <c r="G142" s="197">
        <f>Tabla110[[#This Row],[Importe]]-Tabla110[[#This Row],[Pagado]]</f>
        <v>0</v>
      </c>
      <c r="H142" s="194" t="s">
        <v>10</v>
      </c>
    </row>
    <row r="143" spans="1:8" x14ac:dyDescent="0.25">
      <c r="A143" s="127">
        <v>44806</v>
      </c>
      <c r="B143" s="128" t="s">
        <v>28161</v>
      </c>
      <c r="C143" s="194" t="s">
        <v>27</v>
      </c>
      <c r="D143" s="195">
        <v>3367</v>
      </c>
      <c r="E143" s="196">
        <v>44806</v>
      </c>
      <c r="F143" s="195">
        <v>3367</v>
      </c>
      <c r="G143" s="197">
        <f>Tabla110[[#This Row],[Importe]]-Tabla110[[#This Row],[Pagado]]</f>
        <v>0</v>
      </c>
      <c r="H143" s="194" t="s">
        <v>10</v>
      </c>
    </row>
    <row r="144" spans="1:8" x14ac:dyDescent="0.25">
      <c r="A144" s="127">
        <v>44806</v>
      </c>
      <c r="B144" s="128" t="s">
        <v>28162</v>
      </c>
      <c r="C144" s="194" t="s">
        <v>647</v>
      </c>
      <c r="D144" s="195">
        <v>5035.8999999999996</v>
      </c>
      <c r="E144" s="196">
        <v>44806</v>
      </c>
      <c r="F144" s="195">
        <v>5035.8999999999996</v>
      </c>
      <c r="G144" s="197">
        <f>Tabla110[[#This Row],[Importe]]-Tabla110[[#This Row],[Pagado]]</f>
        <v>0</v>
      </c>
      <c r="H144" s="194" t="s">
        <v>10</v>
      </c>
    </row>
    <row r="145" spans="1:8" x14ac:dyDescent="0.25">
      <c r="A145" s="127">
        <v>44806</v>
      </c>
      <c r="B145" s="128" t="s">
        <v>28163</v>
      </c>
      <c r="C145" s="194" t="s">
        <v>196</v>
      </c>
      <c r="D145" s="195">
        <v>110657.18</v>
      </c>
      <c r="E145" s="196">
        <v>44806</v>
      </c>
      <c r="F145" s="195">
        <v>110657.18</v>
      </c>
      <c r="G145" s="197">
        <f>Tabla110[[#This Row],[Importe]]-Tabla110[[#This Row],[Pagado]]</f>
        <v>0</v>
      </c>
      <c r="H145" s="194" t="s">
        <v>10</v>
      </c>
    </row>
    <row r="146" spans="1:8" x14ac:dyDescent="0.25">
      <c r="A146" s="127">
        <v>44806</v>
      </c>
      <c r="B146" s="128" t="s">
        <v>28164</v>
      </c>
      <c r="C146" s="194" t="s">
        <v>365</v>
      </c>
      <c r="D146" s="195">
        <v>938.4</v>
      </c>
      <c r="E146" s="196">
        <v>44806</v>
      </c>
      <c r="F146" s="195">
        <v>938.4</v>
      </c>
      <c r="G146" s="197">
        <f>Tabla110[[#This Row],[Importe]]-Tabla110[[#This Row],[Pagado]]</f>
        <v>0</v>
      </c>
      <c r="H146" s="194" t="s">
        <v>10</v>
      </c>
    </row>
    <row r="147" spans="1:8" x14ac:dyDescent="0.25">
      <c r="A147" s="127">
        <v>44806</v>
      </c>
      <c r="B147" s="128" t="s">
        <v>28165</v>
      </c>
      <c r="C147" s="194" t="s">
        <v>359</v>
      </c>
      <c r="D147" s="195">
        <v>1557.6</v>
      </c>
      <c r="E147" s="196">
        <v>44806</v>
      </c>
      <c r="F147" s="195">
        <v>1557.6</v>
      </c>
      <c r="G147" s="197">
        <f>Tabla110[[#This Row],[Importe]]-Tabla110[[#This Row],[Pagado]]</f>
        <v>0</v>
      </c>
      <c r="H147" s="194" t="s">
        <v>10</v>
      </c>
    </row>
    <row r="148" spans="1:8" x14ac:dyDescent="0.25">
      <c r="A148" s="127">
        <v>44806</v>
      </c>
      <c r="B148" s="128" t="s">
        <v>28166</v>
      </c>
      <c r="C148" s="194" t="s">
        <v>28167</v>
      </c>
      <c r="D148" s="195">
        <v>0</v>
      </c>
      <c r="E148" s="199" t="s">
        <v>189</v>
      </c>
      <c r="F148" s="195">
        <v>0</v>
      </c>
      <c r="G148" s="197">
        <f>Tabla110[[#This Row],[Importe]]-Tabla110[[#This Row],[Pagado]]</f>
        <v>0</v>
      </c>
      <c r="H148" s="200" t="s">
        <v>28168</v>
      </c>
    </row>
    <row r="149" spans="1:8" x14ac:dyDescent="0.25">
      <c r="A149" s="127">
        <v>44806</v>
      </c>
      <c r="B149" s="128" t="s">
        <v>28169</v>
      </c>
      <c r="C149" s="194" t="s">
        <v>804</v>
      </c>
      <c r="D149" s="195">
        <v>21764.3</v>
      </c>
      <c r="E149" s="196">
        <v>44806</v>
      </c>
      <c r="F149" s="195">
        <v>21764.3</v>
      </c>
      <c r="G149" s="197">
        <f>Tabla110[[#This Row],[Importe]]-Tabla110[[#This Row],[Pagado]]</f>
        <v>0</v>
      </c>
      <c r="H149" s="194" t="s">
        <v>10</v>
      </c>
    </row>
    <row r="150" spans="1:8" x14ac:dyDescent="0.25">
      <c r="A150" s="127">
        <v>44806</v>
      </c>
      <c r="B150" s="128" t="s">
        <v>28170</v>
      </c>
      <c r="C150" s="194" t="s">
        <v>53</v>
      </c>
      <c r="D150" s="195">
        <v>2880</v>
      </c>
      <c r="E150" s="196">
        <v>44806</v>
      </c>
      <c r="F150" s="195">
        <v>2880</v>
      </c>
      <c r="G150" s="197">
        <f>Tabla110[[#This Row],[Importe]]-Tabla110[[#This Row],[Pagado]]</f>
        <v>0</v>
      </c>
      <c r="H150" s="194" t="s">
        <v>10</v>
      </c>
    </row>
    <row r="151" spans="1:8" x14ac:dyDescent="0.25">
      <c r="A151" s="127">
        <v>44806</v>
      </c>
      <c r="B151" s="128" t="s">
        <v>28171</v>
      </c>
      <c r="C151" s="194" t="s">
        <v>45</v>
      </c>
      <c r="D151" s="195">
        <v>12865.4</v>
      </c>
      <c r="E151" s="196">
        <v>44806</v>
      </c>
      <c r="F151" s="195">
        <v>12865.4</v>
      </c>
      <c r="G151" s="197">
        <f>Tabla110[[#This Row],[Importe]]-Tabla110[[#This Row],[Pagado]]</f>
        <v>0</v>
      </c>
      <c r="H151" s="194" t="s">
        <v>10</v>
      </c>
    </row>
    <row r="152" spans="1:8" x14ac:dyDescent="0.25">
      <c r="A152" s="127">
        <v>44806</v>
      </c>
      <c r="B152" s="128" t="s">
        <v>28172</v>
      </c>
      <c r="C152" s="194" t="s">
        <v>12</v>
      </c>
      <c r="D152" s="195">
        <v>4742.3999999999996</v>
      </c>
      <c r="E152" s="196">
        <v>44806</v>
      </c>
      <c r="F152" s="195">
        <v>4742.3999999999996</v>
      </c>
      <c r="G152" s="197">
        <f>Tabla110[[#This Row],[Importe]]-Tabla110[[#This Row],[Pagado]]</f>
        <v>0</v>
      </c>
      <c r="H152" s="194" t="s">
        <v>10</v>
      </c>
    </row>
    <row r="153" spans="1:8" x14ac:dyDescent="0.25">
      <c r="A153" s="127">
        <v>44806</v>
      </c>
      <c r="B153" s="128" t="s">
        <v>28173</v>
      </c>
      <c r="C153" s="194" t="s">
        <v>35</v>
      </c>
      <c r="D153" s="195">
        <v>3880.2</v>
      </c>
      <c r="E153" s="196">
        <v>44806</v>
      </c>
      <c r="F153" s="195">
        <v>3880.2</v>
      </c>
      <c r="G153" s="197">
        <f>Tabla110[[#This Row],[Importe]]-Tabla110[[#This Row],[Pagado]]</f>
        <v>0</v>
      </c>
      <c r="H153" s="194" t="s">
        <v>10</v>
      </c>
    </row>
    <row r="154" spans="1:8" x14ac:dyDescent="0.25">
      <c r="A154" s="127">
        <v>44806</v>
      </c>
      <c r="B154" s="128" t="s">
        <v>28174</v>
      </c>
      <c r="C154" s="194" t="s">
        <v>127</v>
      </c>
      <c r="D154" s="195">
        <v>2229.6</v>
      </c>
      <c r="E154" s="196">
        <v>44806</v>
      </c>
      <c r="F154" s="195">
        <v>2229.6</v>
      </c>
      <c r="G154" s="197">
        <f>Tabla110[[#This Row],[Importe]]-Tabla110[[#This Row],[Pagado]]</f>
        <v>0</v>
      </c>
      <c r="H154" s="194" t="s">
        <v>10</v>
      </c>
    </row>
    <row r="155" spans="1:8" x14ac:dyDescent="0.25">
      <c r="A155" s="127">
        <v>44806</v>
      </c>
      <c r="B155" s="128" t="s">
        <v>28175</v>
      </c>
      <c r="C155" s="194" t="s">
        <v>29</v>
      </c>
      <c r="D155" s="195">
        <v>5800.4</v>
      </c>
      <c r="E155" s="196">
        <v>44806</v>
      </c>
      <c r="F155" s="195">
        <v>5800.4</v>
      </c>
      <c r="G155" s="197">
        <f>Tabla110[[#This Row],[Importe]]-Tabla110[[#This Row],[Pagado]]</f>
        <v>0</v>
      </c>
      <c r="H155" s="194" t="s">
        <v>10</v>
      </c>
    </row>
    <row r="156" spans="1:8" x14ac:dyDescent="0.25">
      <c r="A156" s="127">
        <v>44806</v>
      </c>
      <c r="B156" s="128" t="s">
        <v>28176</v>
      </c>
      <c r="C156" s="194" t="s">
        <v>49</v>
      </c>
      <c r="D156" s="195">
        <v>2370.6</v>
      </c>
      <c r="E156" s="196">
        <v>44806</v>
      </c>
      <c r="F156" s="195">
        <v>2370.6</v>
      </c>
      <c r="G156" s="197">
        <f>Tabla110[[#This Row],[Importe]]-Tabla110[[#This Row],[Pagado]]</f>
        <v>0</v>
      </c>
      <c r="H156" s="194" t="s">
        <v>10</v>
      </c>
    </row>
    <row r="157" spans="1:8" x14ac:dyDescent="0.25">
      <c r="A157" s="127">
        <v>44806</v>
      </c>
      <c r="B157" s="128" t="s">
        <v>28177</v>
      </c>
      <c r="C157" s="194" t="s">
        <v>129</v>
      </c>
      <c r="D157" s="195">
        <v>4822.2</v>
      </c>
      <c r="E157" s="196">
        <v>44806</v>
      </c>
      <c r="F157" s="195">
        <v>4822.2</v>
      </c>
      <c r="G157" s="197">
        <f>Tabla110[[#This Row],[Importe]]-Tabla110[[#This Row],[Pagado]]</f>
        <v>0</v>
      </c>
      <c r="H157" s="194" t="s">
        <v>10</v>
      </c>
    </row>
    <row r="158" spans="1:8" x14ac:dyDescent="0.25">
      <c r="A158" s="127">
        <v>44806</v>
      </c>
      <c r="B158" s="128" t="s">
        <v>28178</v>
      </c>
      <c r="C158" s="194" t="s">
        <v>357</v>
      </c>
      <c r="D158" s="195">
        <v>3929.4</v>
      </c>
      <c r="E158" s="196">
        <v>44806</v>
      </c>
      <c r="F158" s="195">
        <v>3929.4</v>
      </c>
      <c r="G158" s="197">
        <f>Tabla110[[#This Row],[Importe]]-Tabla110[[#This Row],[Pagado]]</f>
        <v>0</v>
      </c>
      <c r="H158" s="194" t="s">
        <v>10</v>
      </c>
    </row>
    <row r="159" spans="1:8" x14ac:dyDescent="0.25">
      <c r="A159" s="127">
        <v>44806</v>
      </c>
      <c r="B159" s="128" t="s">
        <v>28179</v>
      </c>
      <c r="C159" s="194" t="s">
        <v>146</v>
      </c>
      <c r="D159" s="195">
        <v>6146.4</v>
      </c>
      <c r="E159" s="196">
        <v>44806</v>
      </c>
      <c r="F159" s="195">
        <v>6146.4</v>
      </c>
      <c r="G159" s="197">
        <f>Tabla110[[#This Row],[Importe]]-Tabla110[[#This Row],[Pagado]]</f>
        <v>0</v>
      </c>
      <c r="H159" s="194" t="s">
        <v>10</v>
      </c>
    </row>
    <row r="160" spans="1:8" x14ac:dyDescent="0.25">
      <c r="A160" s="127">
        <v>44806</v>
      </c>
      <c r="B160" s="128" t="s">
        <v>28180</v>
      </c>
      <c r="C160" s="194" t="s">
        <v>83</v>
      </c>
      <c r="D160" s="195">
        <v>6109.6</v>
      </c>
      <c r="E160" s="196">
        <v>44806</v>
      </c>
      <c r="F160" s="195">
        <v>6109.6</v>
      </c>
      <c r="G160" s="197">
        <f>Tabla110[[#This Row],[Importe]]-Tabla110[[#This Row],[Pagado]]</f>
        <v>0</v>
      </c>
      <c r="H160" s="194" t="s">
        <v>10</v>
      </c>
    </row>
    <row r="161" spans="1:8" x14ac:dyDescent="0.25">
      <c r="A161" s="127">
        <v>44806</v>
      </c>
      <c r="B161" s="128" t="s">
        <v>28181</v>
      </c>
      <c r="C161" s="194" t="s">
        <v>181</v>
      </c>
      <c r="D161" s="195">
        <v>9972</v>
      </c>
      <c r="E161" s="196">
        <v>44806</v>
      </c>
      <c r="F161" s="195">
        <v>9972</v>
      </c>
      <c r="G161" s="197">
        <f>Tabla110[[#This Row],[Importe]]-Tabla110[[#This Row],[Pagado]]</f>
        <v>0</v>
      </c>
      <c r="H161" s="194" t="s">
        <v>10</v>
      </c>
    </row>
    <row r="162" spans="1:8" x14ac:dyDescent="0.25">
      <c r="A162" s="127">
        <v>44806</v>
      </c>
      <c r="B162" s="128" t="s">
        <v>28182</v>
      </c>
      <c r="C162" s="194" t="s">
        <v>200</v>
      </c>
      <c r="D162" s="195">
        <v>1113</v>
      </c>
      <c r="E162" s="196">
        <v>44806</v>
      </c>
      <c r="F162" s="195">
        <v>1113</v>
      </c>
      <c r="G162" s="197">
        <f>Tabla110[[#This Row],[Importe]]-Tabla110[[#This Row],[Pagado]]</f>
        <v>0</v>
      </c>
      <c r="H162" s="194" t="s">
        <v>10</v>
      </c>
    </row>
    <row r="163" spans="1:8" x14ac:dyDescent="0.25">
      <c r="A163" s="127">
        <v>44806</v>
      </c>
      <c r="B163" s="128" t="s">
        <v>28183</v>
      </c>
      <c r="C163" s="194" t="s">
        <v>175</v>
      </c>
      <c r="D163" s="195">
        <v>5452.9</v>
      </c>
      <c r="E163" s="196">
        <v>44806</v>
      </c>
      <c r="F163" s="195">
        <v>5452.9</v>
      </c>
      <c r="G163" s="197">
        <f>Tabla110[[#This Row],[Importe]]-Tabla110[[#This Row],[Pagado]]</f>
        <v>0</v>
      </c>
      <c r="H163" s="194" t="s">
        <v>10</v>
      </c>
    </row>
    <row r="164" spans="1:8" x14ac:dyDescent="0.25">
      <c r="A164" s="127">
        <v>44806</v>
      </c>
      <c r="B164" s="128" t="s">
        <v>28184</v>
      </c>
      <c r="C164" s="194" t="s">
        <v>142</v>
      </c>
      <c r="D164" s="195">
        <v>71698.3</v>
      </c>
      <c r="E164" s="196">
        <v>44847</v>
      </c>
      <c r="F164" s="195">
        <v>71698.3</v>
      </c>
      <c r="G164" s="197">
        <f>Tabla110[[#This Row],[Importe]]-Tabla110[[#This Row],[Pagado]]</f>
        <v>0</v>
      </c>
      <c r="H164" s="194" t="s">
        <v>10</v>
      </c>
    </row>
    <row r="165" spans="1:8" x14ac:dyDescent="0.25">
      <c r="A165" s="127">
        <v>44806</v>
      </c>
      <c r="B165" s="128" t="s">
        <v>28185</v>
      </c>
      <c r="C165" s="194" t="s">
        <v>222</v>
      </c>
      <c r="D165" s="195">
        <v>1840</v>
      </c>
      <c r="E165" s="196">
        <v>44806</v>
      </c>
      <c r="F165" s="195">
        <v>1840</v>
      </c>
      <c r="G165" s="197">
        <f>Tabla110[[#This Row],[Importe]]-Tabla110[[#This Row],[Pagado]]</f>
        <v>0</v>
      </c>
      <c r="H165" s="194" t="s">
        <v>10</v>
      </c>
    </row>
    <row r="166" spans="1:8" x14ac:dyDescent="0.25">
      <c r="A166" s="127">
        <v>44806</v>
      </c>
      <c r="B166" s="128" t="s">
        <v>28186</v>
      </c>
      <c r="C166" s="194" t="s">
        <v>83</v>
      </c>
      <c r="D166" s="195">
        <v>4180.8</v>
      </c>
      <c r="E166" s="196">
        <v>44806</v>
      </c>
      <c r="F166" s="195">
        <v>4180.8</v>
      </c>
      <c r="G166" s="197">
        <f>Tabla110[[#This Row],[Importe]]-Tabla110[[#This Row],[Pagado]]</f>
        <v>0</v>
      </c>
      <c r="H166" s="194" t="s">
        <v>10</v>
      </c>
    </row>
    <row r="167" spans="1:8" x14ac:dyDescent="0.25">
      <c r="A167" s="127">
        <v>44806</v>
      </c>
      <c r="B167" s="128" t="s">
        <v>28187</v>
      </c>
      <c r="C167" s="194" t="s">
        <v>51</v>
      </c>
      <c r="D167" s="195">
        <v>4799.3999999999996</v>
      </c>
      <c r="E167" s="196">
        <v>44806</v>
      </c>
      <c r="F167" s="195">
        <v>4799.3999999999996</v>
      </c>
      <c r="G167" s="197">
        <f>Tabla110[[#This Row],[Importe]]-Tabla110[[#This Row],[Pagado]]</f>
        <v>0</v>
      </c>
      <c r="H167" s="194" t="s">
        <v>10</v>
      </c>
    </row>
    <row r="168" spans="1:8" x14ac:dyDescent="0.25">
      <c r="A168" s="127">
        <v>44806</v>
      </c>
      <c r="B168" s="128" t="s">
        <v>28188</v>
      </c>
      <c r="C168" s="194" t="s">
        <v>107</v>
      </c>
      <c r="D168" s="195">
        <v>16880.099999999999</v>
      </c>
      <c r="E168" s="196">
        <v>44806</v>
      </c>
      <c r="F168" s="195">
        <v>16880.099999999999</v>
      </c>
      <c r="G168" s="197">
        <f>Tabla110[[#This Row],[Importe]]-Tabla110[[#This Row],[Pagado]]</f>
        <v>0</v>
      </c>
      <c r="H168" s="194" t="s">
        <v>10</v>
      </c>
    </row>
    <row r="169" spans="1:8" x14ac:dyDescent="0.25">
      <c r="A169" s="127">
        <v>44806</v>
      </c>
      <c r="B169" s="128" t="s">
        <v>28189</v>
      </c>
      <c r="C169" s="194" t="s">
        <v>698</v>
      </c>
      <c r="D169" s="195">
        <v>4616.6000000000004</v>
      </c>
      <c r="E169" s="196">
        <v>44806</v>
      </c>
      <c r="F169" s="195">
        <v>4616.6000000000004</v>
      </c>
      <c r="G169" s="197">
        <f>Tabla110[[#This Row],[Importe]]-Tabla110[[#This Row],[Pagado]]</f>
        <v>0</v>
      </c>
      <c r="H169" s="194" t="s">
        <v>10</v>
      </c>
    </row>
    <row r="170" spans="1:8" x14ac:dyDescent="0.25">
      <c r="A170" s="127">
        <v>44806</v>
      </c>
      <c r="B170" s="128" t="s">
        <v>28190</v>
      </c>
      <c r="C170" s="194" t="s">
        <v>849</v>
      </c>
      <c r="D170" s="195">
        <v>3304.6</v>
      </c>
      <c r="E170" s="196">
        <v>44806</v>
      </c>
      <c r="F170" s="195">
        <v>3304.6</v>
      </c>
      <c r="G170" s="197">
        <f>Tabla110[[#This Row],[Importe]]-Tabla110[[#This Row],[Pagado]]</f>
        <v>0</v>
      </c>
      <c r="H170" s="194" t="s">
        <v>10</v>
      </c>
    </row>
    <row r="171" spans="1:8" x14ac:dyDescent="0.25">
      <c r="A171" s="127">
        <v>44806</v>
      </c>
      <c r="B171" s="128" t="s">
        <v>28191</v>
      </c>
      <c r="C171" s="194" t="s">
        <v>314</v>
      </c>
      <c r="D171" s="195">
        <v>3388</v>
      </c>
      <c r="E171" s="196">
        <v>44806</v>
      </c>
      <c r="F171" s="195">
        <v>3388</v>
      </c>
      <c r="G171" s="197">
        <f>Tabla110[[#This Row],[Importe]]-Tabla110[[#This Row],[Pagado]]</f>
        <v>0</v>
      </c>
      <c r="H171" s="194" t="s">
        <v>10</v>
      </c>
    </row>
    <row r="172" spans="1:8" x14ac:dyDescent="0.25">
      <c r="A172" s="127">
        <v>44806</v>
      </c>
      <c r="B172" s="128" t="s">
        <v>28192</v>
      </c>
      <c r="C172" s="194" t="s">
        <v>87</v>
      </c>
      <c r="D172" s="195">
        <v>7087</v>
      </c>
      <c r="E172" s="196">
        <v>44806</v>
      </c>
      <c r="F172" s="195">
        <v>7087</v>
      </c>
      <c r="G172" s="197">
        <f>Tabla110[[#This Row],[Importe]]-Tabla110[[#This Row],[Pagado]]</f>
        <v>0</v>
      </c>
      <c r="H172" s="194" t="s">
        <v>10</v>
      </c>
    </row>
    <row r="173" spans="1:8" x14ac:dyDescent="0.25">
      <c r="A173" s="127">
        <v>44806</v>
      </c>
      <c r="B173" s="128" t="s">
        <v>28193</v>
      </c>
      <c r="C173" s="194" t="s">
        <v>333</v>
      </c>
      <c r="D173" s="195">
        <v>2179.1999999999998</v>
      </c>
      <c r="E173" s="196">
        <v>44806</v>
      </c>
      <c r="F173" s="195">
        <v>2179.1999999999998</v>
      </c>
      <c r="G173" s="197">
        <f>Tabla110[[#This Row],[Importe]]-Tabla110[[#This Row],[Pagado]]</f>
        <v>0</v>
      </c>
      <c r="H173" s="194" t="s">
        <v>10</v>
      </c>
    </row>
    <row r="174" spans="1:8" x14ac:dyDescent="0.25">
      <c r="A174" s="127">
        <v>44806</v>
      </c>
      <c r="B174" s="128" t="s">
        <v>28194</v>
      </c>
      <c r="C174" s="194" t="s">
        <v>230</v>
      </c>
      <c r="D174" s="195">
        <v>6999.2</v>
      </c>
      <c r="E174" s="196">
        <v>44806</v>
      </c>
      <c r="F174" s="195">
        <v>6999.2</v>
      </c>
      <c r="G174" s="197">
        <f>Tabla110[[#This Row],[Importe]]-Tabla110[[#This Row],[Pagado]]</f>
        <v>0</v>
      </c>
      <c r="H174" s="194" t="s">
        <v>10</v>
      </c>
    </row>
    <row r="175" spans="1:8" x14ac:dyDescent="0.25">
      <c r="A175" s="127">
        <v>44806</v>
      </c>
      <c r="B175" s="128" t="s">
        <v>28195</v>
      </c>
      <c r="C175" s="194" t="s">
        <v>9325</v>
      </c>
      <c r="D175" s="195">
        <v>0</v>
      </c>
      <c r="E175" s="199" t="s">
        <v>189</v>
      </c>
      <c r="F175" s="195">
        <v>0</v>
      </c>
      <c r="G175" s="197">
        <f>Tabla110[[#This Row],[Importe]]-Tabla110[[#This Row],[Pagado]]</f>
        <v>0</v>
      </c>
      <c r="H175" s="200" t="s">
        <v>28196</v>
      </c>
    </row>
    <row r="176" spans="1:8" ht="31.5" x14ac:dyDescent="0.25">
      <c r="A176" s="127">
        <v>44806</v>
      </c>
      <c r="B176" s="128" t="s">
        <v>28197</v>
      </c>
      <c r="C176" s="194" t="s">
        <v>392</v>
      </c>
      <c r="D176" s="195">
        <v>21790.5</v>
      </c>
      <c r="E176" s="198" t="s">
        <v>28198</v>
      </c>
      <c r="F176" s="195">
        <f>18000+3790.5</f>
        <v>21790.5</v>
      </c>
      <c r="G176" s="197">
        <f>Tabla110[[#This Row],[Importe]]-Tabla110[[#This Row],[Pagado]]</f>
        <v>0</v>
      </c>
      <c r="H176" s="194" t="s">
        <v>10</v>
      </c>
    </row>
    <row r="177" spans="1:8" x14ac:dyDescent="0.25">
      <c r="A177" s="127">
        <v>44806</v>
      </c>
      <c r="B177" s="128" t="s">
        <v>28199</v>
      </c>
      <c r="C177" s="194" t="s">
        <v>1003</v>
      </c>
      <c r="D177" s="195">
        <v>7317.1</v>
      </c>
      <c r="E177" s="196">
        <v>44808</v>
      </c>
      <c r="F177" s="195">
        <v>7317.1</v>
      </c>
      <c r="G177" s="197">
        <f>Tabla110[[#This Row],[Importe]]-Tabla110[[#This Row],[Pagado]]</f>
        <v>0</v>
      </c>
      <c r="H177" s="194" t="s">
        <v>10</v>
      </c>
    </row>
    <row r="178" spans="1:8" x14ac:dyDescent="0.25">
      <c r="A178" s="127">
        <v>44806</v>
      </c>
      <c r="B178" s="128" t="s">
        <v>28200</v>
      </c>
      <c r="C178" s="194" t="s">
        <v>296</v>
      </c>
      <c r="D178" s="195">
        <v>3405</v>
      </c>
      <c r="E178" s="196">
        <v>44806</v>
      </c>
      <c r="F178" s="195">
        <v>3405</v>
      </c>
      <c r="G178" s="197">
        <f>Tabla110[[#This Row],[Importe]]-Tabla110[[#This Row],[Pagado]]</f>
        <v>0</v>
      </c>
      <c r="H178" s="194" t="s">
        <v>10</v>
      </c>
    </row>
    <row r="179" spans="1:8" x14ac:dyDescent="0.25">
      <c r="A179" s="127">
        <v>44806</v>
      </c>
      <c r="B179" s="128" t="s">
        <v>28201</v>
      </c>
      <c r="C179" s="194" t="s">
        <v>24284</v>
      </c>
      <c r="D179" s="195">
        <v>1666</v>
      </c>
      <c r="E179" s="196">
        <v>44806</v>
      </c>
      <c r="F179" s="195">
        <v>1666</v>
      </c>
      <c r="G179" s="197">
        <f>Tabla110[[#This Row],[Importe]]-Tabla110[[#This Row],[Pagado]]</f>
        <v>0</v>
      </c>
      <c r="H179" s="194" t="s">
        <v>10</v>
      </c>
    </row>
    <row r="180" spans="1:8" x14ac:dyDescent="0.25">
      <c r="A180" s="127">
        <v>44806</v>
      </c>
      <c r="B180" s="128" t="s">
        <v>28202</v>
      </c>
      <c r="C180" s="194" t="s">
        <v>31</v>
      </c>
      <c r="D180" s="195">
        <v>595</v>
      </c>
      <c r="E180" s="196">
        <v>44806</v>
      </c>
      <c r="F180" s="195">
        <v>595</v>
      </c>
      <c r="G180" s="197">
        <f>Tabla110[[#This Row],[Importe]]-Tabla110[[#This Row],[Pagado]]</f>
        <v>0</v>
      </c>
      <c r="H180" s="194" t="s">
        <v>10</v>
      </c>
    </row>
    <row r="181" spans="1:8" ht="31.5" x14ac:dyDescent="0.25">
      <c r="A181" s="127">
        <v>44806</v>
      </c>
      <c r="B181" s="128" t="s">
        <v>28203</v>
      </c>
      <c r="C181" s="194" t="s">
        <v>28087</v>
      </c>
      <c r="D181" s="195">
        <v>196488.36</v>
      </c>
      <c r="E181" s="245" t="s">
        <v>35006</v>
      </c>
      <c r="F181" s="195">
        <f>38578.69+157909.67</f>
        <v>196488.36000000002</v>
      </c>
      <c r="G181" s="197">
        <f>Tabla110[[#This Row],[Importe]]-Tabla110[[#This Row],[Pagado]]</f>
        <v>0</v>
      </c>
      <c r="H181" s="78" t="s">
        <v>17776</v>
      </c>
    </row>
    <row r="182" spans="1:8" x14ac:dyDescent="0.25">
      <c r="A182" s="127">
        <v>44806</v>
      </c>
      <c r="B182" s="128" t="s">
        <v>28204</v>
      </c>
      <c r="C182" s="194" t="s">
        <v>31</v>
      </c>
      <c r="D182" s="195">
        <v>1694</v>
      </c>
      <c r="E182" s="196">
        <v>44806</v>
      </c>
      <c r="F182" s="195">
        <v>1694</v>
      </c>
      <c r="G182" s="197">
        <f>Tabla110[[#This Row],[Importe]]-Tabla110[[#This Row],[Pagado]]</f>
        <v>0</v>
      </c>
      <c r="H182" s="194" t="s">
        <v>10</v>
      </c>
    </row>
    <row r="183" spans="1:8" x14ac:dyDescent="0.25">
      <c r="A183" s="127">
        <v>44806</v>
      </c>
      <c r="B183" s="128" t="s">
        <v>28205</v>
      </c>
      <c r="C183" s="194" t="s">
        <v>154</v>
      </c>
      <c r="D183" s="195">
        <v>49841.1</v>
      </c>
      <c r="E183" s="196">
        <v>44811</v>
      </c>
      <c r="F183" s="195">
        <v>49841.1</v>
      </c>
      <c r="G183" s="197">
        <f>Tabla110[[#This Row],[Importe]]-Tabla110[[#This Row],[Pagado]]</f>
        <v>0</v>
      </c>
      <c r="H183" s="194" t="s">
        <v>10</v>
      </c>
    </row>
    <row r="184" spans="1:8" x14ac:dyDescent="0.25">
      <c r="A184" s="127">
        <v>44806</v>
      </c>
      <c r="B184" s="128" t="s">
        <v>28206</v>
      </c>
      <c r="C184" s="194" t="s">
        <v>67</v>
      </c>
      <c r="D184" s="195">
        <v>14897.5</v>
      </c>
      <c r="E184" s="196">
        <v>44806</v>
      </c>
      <c r="F184" s="195">
        <v>14897.5</v>
      </c>
      <c r="G184" s="197">
        <f>Tabla110[[#This Row],[Importe]]-Tabla110[[#This Row],[Pagado]]</f>
        <v>0</v>
      </c>
      <c r="H184" s="194" t="s">
        <v>10</v>
      </c>
    </row>
    <row r="185" spans="1:8" x14ac:dyDescent="0.25">
      <c r="A185" s="127">
        <v>44806</v>
      </c>
      <c r="B185" s="128" t="s">
        <v>28207</v>
      </c>
      <c r="C185" s="194" t="s">
        <v>15039</v>
      </c>
      <c r="D185" s="195">
        <v>84533.6</v>
      </c>
      <c r="E185" s="196">
        <v>44806</v>
      </c>
      <c r="F185" s="195">
        <v>84533.6</v>
      </c>
      <c r="G185" s="197">
        <f>Tabla110[[#This Row],[Importe]]-Tabla110[[#This Row],[Pagado]]</f>
        <v>0</v>
      </c>
      <c r="H185" s="194" t="s">
        <v>10</v>
      </c>
    </row>
    <row r="186" spans="1:8" x14ac:dyDescent="0.25">
      <c r="A186" s="127">
        <v>44806</v>
      </c>
      <c r="B186" s="128" t="s">
        <v>28208</v>
      </c>
      <c r="C186" s="194" t="s">
        <v>27773</v>
      </c>
      <c r="D186" s="195">
        <v>8640</v>
      </c>
      <c r="E186" s="196">
        <v>44806</v>
      </c>
      <c r="F186" s="195">
        <v>8640</v>
      </c>
      <c r="G186" s="197">
        <f>Tabla110[[#This Row],[Importe]]-Tabla110[[#This Row],[Pagado]]</f>
        <v>0</v>
      </c>
      <c r="H186" s="194" t="s">
        <v>10</v>
      </c>
    </row>
    <row r="187" spans="1:8" x14ac:dyDescent="0.25">
      <c r="A187" s="127">
        <v>44806</v>
      </c>
      <c r="B187" s="128" t="s">
        <v>28209</v>
      </c>
      <c r="C187" s="194" t="s">
        <v>9827</v>
      </c>
      <c r="D187" s="195">
        <v>3493</v>
      </c>
      <c r="E187" s="196">
        <v>44806</v>
      </c>
      <c r="F187" s="195">
        <v>3493</v>
      </c>
      <c r="G187" s="197">
        <f>Tabla110[[#This Row],[Importe]]-Tabla110[[#This Row],[Pagado]]</f>
        <v>0</v>
      </c>
      <c r="H187" s="194" t="s">
        <v>10</v>
      </c>
    </row>
    <row r="188" spans="1:8" x14ac:dyDescent="0.25">
      <c r="A188" s="127">
        <v>44806</v>
      </c>
      <c r="B188" s="128" t="s">
        <v>28210</v>
      </c>
      <c r="C188" s="194" t="s">
        <v>27773</v>
      </c>
      <c r="D188" s="195">
        <v>4600</v>
      </c>
      <c r="E188" s="196">
        <v>44806</v>
      </c>
      <c r="F188" s="195">
        <v>4600</v>
      </c>
      <c r="G188" s="197">
        <f>Tabla110[[#This Row],[Importe]]-Tabla110[[#This Row],[Pagado]]</f>
        <v>0</v>
      </c>
      <c r="H188" s="194" t="s">
        <v>10</v>
      </c>
    </row>
    <row r="189" spans="1:8" x14ac:dyDescent="0.25">
      <c r="A189" s="127">
        <v>44806</v>
      </c>
      <c r="B189" s="128" t="s">
        <v>28211</v>
      </c>
      <c r="C189" s="194" t="s">
        <v>9827</v>
      </c>
      <c r="D189" s="195">
        <v>256.2</v>
      </c>
      <c r="E189" s="196">
        <v>44806</v>
      </c>
      <c r="F189" s="195">
        <v>256.2</v>
      </c>
      <c r="G189" s="197">
        <f>Tabla110[[#This Row],[Importe]]-Tabla110[[#This Row],[Pagado]]</f>
        <v>0</v>
      </c>
      <c r="H189" s="194" t="s">
        <v>10</v>
      </c>
    </row>
    <row r="190" spans="1:8" x14ac:dyDescent="0.25">
      <c r="A190" s="127">
        <v>44806</v>
      </c>
      <c r="B190" s="128" t="s">
        <v>28212</v>
      </c>
      <c r="C190" s="194" t="s">
        <v>226</v>
      </c>
      <c r="D190" s="195">
        <v>13350.4</v>
      </c>
      <c r="E190" s="196">
        <v>44806</v>
      </c>
      <c r="F190" s="195">
        <v>13350.4</v>
      </c>
      <c r="G190" s="197">
        <f>Tabla110[[#This Row],[Importe]]-Tabla110[[#This Row],[Pagado]]</f>
        <v>0</v>
      </c>
      <c r="H190" s="194" t="s">
        <v>10</v>
      </c>
    </row>
    <row r="191" spans="1:8" x14ac:dyDescent="0.25">
      <c r="A191" s="127">
        <v>44806</v>
      </c>
      <c r="B191" s="128" t="s">
        <v>28213</v>
      </c>
      <c r="C191" s="194" t="s">
        <v>1676</v>
      </c>
      <c r="D191" s="195">
        <v>4564</v>
      </c>
      <c r="E191" s="196">
        <v>44806</v>
      </c>
      <c r="F191" s="195">
        <v>4564</v>
      </c>
      <c r="G191" s="197">
        <f>Tabla110[[#This Row],[Importe]]-Tabla110[[#This Row],[Pagado]]</f>
        <v>0</v>
      </c>
      <c r="H191" s="194" t="s">
        <v>10</v>
      </c>
    </row>
    <row r="192" spans="1:8" x14ac:dyDescent="0.25">
      <c r="A192" s="127">
        <v>44806</v>
      </c>
      <c r="B192" s="128" t="s">
        <v>28214</v>
      </c>
      <c r="C192" s="194" t="s">
        <v>473</v>
      </c>
      <c r="D192" s="195">
        <v>6336</v>
      </c>
      <c r="E192" s="196">
        <v>44806</v>
      </c>
      <c r="F192" s="195">
        <v>6336</v>
      </c>
      <c r="G192" s="197">
        <f>Tabla110[[#This Row],[Importe]]-Tabla110[[#This Row],[Pagado]]</f>
        <v>0</v>
      </c>
      <c r="H192" s="194" t="s">
        <v>10</v>
      </c>
    </row>
    <row r="193" spans="1:8" x14ac:dyDescent="0.25">
      <c r="A193" s="127">
        <v>44806</v>
      </c>
      <c r="B193" s="128" t="s">
        <v>28215</v>
      </c>
      <c r="C193" s="194" t="s">
        <v>75</v>
      </c>
      <c r="D193" s="195">
        <v>8547</v>
      </c>
      <c r="E193" s="196">
        <v>44806</v>
      </c>
      <c r="F193" s="195">
        <v>8547</v>
      </c>
      <c r="G193" s="197">
        <f>Tabla110[[#This Row],[Importe]]-Tabla110[[#This Row],[Pagado]]</f>
        <v>0</v>
      </c>
      <c r="H193" s="194" t="s">
        <v>10</v>
      </c>
    </row>
    <row r="194" spans="1:8" x14ac:dyDescent="0.25">
      <c r="A194" s="127">
        <v>44806</v>
      </c>
      <c r="B194" s="128" t="s">
        <v>28216</v>
      </c>
      <c r="C194" s="194" t="s">
        <v>206</v>
      </c>
      <c r="D194" s="195">
        <v>27739.599999999999</v>
      </c>
      <c r="E194" s="196">
        <v>44810</v>
      </c>
      <c r="F194" s="195">
        <v>27739.599999999999</v>
      </c>
      <c r="G194" s="197">
        <f>Tabla110[[#This Row],[Importe]]-Tabla110[[#This Row],[Pagado]]</f>
        <v>0</v>
      </c>
      <c r="H194" s="194" t="s">
        <v>10</v>
      </c>
    </row>
    <row r="195" spans="1:8" x14ac:dyDescent="0.25">
      <c r="A195" s="127">
        <v>44806</v>
      </c>
      <c r="B195" s="128" t="s">
        <v>28217</v>
      </c>
      <c r="C195" s="194" t="s">
        <v>212</v>
      </c>
      <c r="D195" s="195">
        <v>42255</v>
      </c>
      <c r="E195" s="196">
        <v>44810</v>
      </c>
      <c r="F195" s="195">
        <v>42255</v>
      </c>
      <c r="G195" s="197">
        <f>Tabla110[[#This Row],[Importe]]-Tabla110[[#This Row],[Pagado]]</f>
        <v>0</v>
      </c>
      <c r="H195" s="194" t="s">
        <v>10</v>
      </c>
    </row>
    <row r="196" spans="1:8" x14ac:dyDescent="0.25">
      <c r="A196" s="127">
        <v>44806</v>
      </c>
      <c r="B196" s="128" t="s">
        <v>28218</v>
      </c>
      <c r="C196" s="194" t="s">
        <v>218</v>
      </c>
      <c r="D196" s="195">
        <v>31863.4</v>
      </c>
      <c r="E196" s="196">
        <v>44810</v>
      </c>
      <c r="F196" s="195">
        <v>31863.4</v>
      </c>
      <c r="G196" s="197">
        <f>Tabla110[[#This Row],[Importe]]-Tabla110[[#This Row],[Pagado]]</f>
        <v>0</v>
      </c>
      <c r="H196" s="194" t="s">
        <v>10</v>
      </c>
    </row>
    <row r="197" spans="1:8" x14ac:dyDescent="0.25">
      <c r="A197" s="127">
        <v>44806</v>
      </c>
      <c r="B197" s="128" t="s">
        <v>28219</v>
      </c>
      <c r="C197" s="194" t="s">
        <v>212</v>
      </c>
      <c r="D197" s="195">
        <v>9412.7999999999993</v>
      </c>
      <c r="E197" s="196">
        <v>44810</v>
      </c>
      <c r="F197" s="195">
        <v>9412.7999999999993</v>
      </c>
      <c r="G197" s="197">
        <f>Tabla110[[#This Row],[Importe]]-Tabla110[[#This Row],[Pagado]]</f>
        <v>0</v>
      </c>
      <c r="H197" s="194" t="s">
        <v>10</v>
      </c>
    </row>
    <row r="198" spans="1:8" x14ac:dyDescent="0.25">
      <c r="A198" s="127">
        <v>44806</v>
      </c>
      <c r="B198" s="128" t="s">
        <v>28220</v>
      </c>
      <c r="C198" s="194" t="s">
        <v>58</v>
      </c>
      <c r="D198" s="195">
        <v>2079</v>
      </c>
      <c r="E198" s="196">
        <v>44806</v>
      </c>
      <c r="F198" s="195">
        <v>2079</v>
      </c>
      <c r="G198" s="197">
        <f>Tabla110[[#This Row],[Importe]]-Tabla110[[#This Row],[Pagado]]</f>
        <v>0</v>
      </c>
      <c r="H198" s="194" t="s">
        <v>10</v>
      </c>
    </row>
    <row r="199" spans="1:8" x14ac:dyDescent="0.25">
      <c r="A199" s="127">
        <v>44806</v>
      </c>
      <c r="B199" s="128" t="s">
        <v>28221</v>
      </c>
      <c r="C199" s="194" t="s">
        <v>173</v>
      </c>
      <c r="D199" s="195">
        <v>31614.6</v>
      </c>
      <c r="E199" s="196">
        <v>44807</v>
      </c>
      <c r="F199" s="195">
        <v>31614.6</v>
      </c>
      <c r="G199" s="197">
        <f>Tabla110[[#This Row],[Importe]]-Tabla110[[#This Row],[Pagado]]</f>
        <v>0</v>
      </c>
      <c r="H199" s="194" t="s">
        <v>10</v>
      </c>
    </row>
    <row r="200" spans="1:8" x14ac:dyDescent="0.25">
      <c r="A200" s="127">
        <v>44806</v>
      </c>
      <c r="B200" s="128" t="s">
        <v>28222</v>
      </c>
      <c r="C200" s="194" t="s">
        <v>849</v>
      </c>
      <c r="D200" s="195">
        <v>1600</v>
      </c>
      <c r="E200" s="196">
        <v>44806</v>
      </c>
      <c r="F200" s="195">
        <v>1600</v>
      </c>
      <c r="G200" s="197">
        <f>Tabla110[[#This Row],[Importe]]-Tabla110[[#This Row],[Pagado]]</f>
        <v>0</v>
      </c>
      <c r="H200" s="194" t="s">
        <v>10</v>
      </c>
    </row>
    <row r="201" spans="1:8" x14ac:dyDescent="0.25">
      <c r="A201" s="127">
        <v>44806</v>
      </c>
      <c r="B201" s="128" t="s">
        <v>28223</v>
      </c>
      <c r="C201" s="194" t="s">
        <v>1275</v>
      </c>
      <c r="D201" s="195">
        <v>1577</v>
      </c>
      <c r="E201" s="196">
        <v>44806</v>
      </c>
      <c r="F201" s="195">
        <v>1577</v>
      </c>
      <c r="G201" s="197">
        <f>Tabla110[[#This Row],[Importe]]-Tabla110[[#This Row],[Pagado]]</f>
        <v>0</v>
      </c>
      <c r="H201" s="194" t="s">
        <v>10</v>
      </c>
    </row>
    <row r="202" spans="1:8" x14ac:dyDescent="0.25">
      <c r="A202" s="127">
        <v>44806</v>
      </c>
      <c r="B202" s="128" t="s">
        <v>28224</v>
      </c>
      <c r="C202" s="194" t="s">
        <v>8792</v>
      </c>
      <c r="D202" s="195">
        <v>0</v>
      </c>
      <c r="E202" s="199" t="s">
        <v>189</v>
      </c>
      <c r="F202" s="195">
        <v>0</v>
      </c>
      <c r="G202" s="197">
        <f>Tabla110[[#This Row],[Importe]]-Tabla110[[#This Row],[Pagado]]</f>
        <v>0</v>
      </c>
      <c r="H202" s="194" t="s">
        <v>189</v>
      </c>
    </row>
    <row r="203" spans="1:8" x14ac:dyDescent="0.25">
      <c r="A203" s="127">
        <v>44806</v>
      </c>
      <c r="B203" s="128" t="s">
        <v>28225</v>
      </c>
      <c r="C203" s="194" t="s">
        <v>407</v>
      </c>
      <c r="D203" s="195">
        <v>20776.7</v>
      </c>
      <c r="E203" s="196">
        <v>44812</v>
      </c>
      <c r="F203" s="195">
        <v>20776.7</v>
      </c>
      <c r="G203" s="197">
        <f>Tabla110[[#This Row],[Importe]]-Tabla110[[#This Row],[Pagado]]</f>
        <v>0</v>
      </c>
      <c r="H203" s="194" t="s">
        <v>10</v>
      </c>
    </row>
    <row r="204" spans="1:8" x14ac:dyDescent="0.25">
      <c r="A204" s="127">
        <v>44806</v>
      </c>
      <c r="B204" s="128" t="s">
        <v>28226</v>
      </c>
      <c r="C204" s="194" t="s">
        <v>79</v>
      </c>
      <c r="D204" s="195">
        <v>16560</v>
      </c>
      <c r="E204" s="196">
        <v>44806</v>
      </c>
      <c r="F204" s="195">
        <v>16560</v>
      </c>
      <c r="G204" s="197">
        <f>Tabla110[[#This Row],[Importe]]-Tabla110[[#This Row],[Pagado]]</f>
        <v>0</v>
      </c>
      <c r="H204" s="194" t="s">
        <v>10</v>
      </c>
    </row>
    <row r="205" spans="1:8" x14ac:dyDescent="0.25">
      <c r="A205" s="127">
        <v>44806</v>
      </c>
      <c r="B205" s="128" t="s">
        <v>28227</v>
      </c>
      <c r="C205" s="194" t="s">
        <v>246</v>
      </c>
      <c r="D205" s="195">
        <v>24434</v>
      </c>
      <c r="E205" s="196">
        <v>44806</v>
      </c>
      <c r="F205" s="195">
        <v>24434</v>
      </c>
      <c r="G205" s="197">
        <f>Tabla110[[#This Row],[Importe]]-Tabla110[[#This Row],[Pagado]]</f>
        <v>0</v>
      </c>
      <c r="H205" s="194" t="s">
        <v>10</v>
      </c>
    </row>
    <row r="206" spans="1:8" x14ac:dyDescent="0.25">
      <c r="A206" s="127">
        <v>44806</v>
      </c>
      <c r="B206" s="128" t="s">
        <v>28228</v>
      </c>
      <c r="C206" s="194" t="s">
        <v>2020</v>
      </c>
      <c r="D206" s="195">
        <v>650</v>
      </c>
      <c r="E206" s="196">
        <v>44806</v>
      </c>
      <c r="F206" s="195">
        <v>650</v>
      </c>
      <c r="G206" s="197">
        <f>Tabla110[[#This Row],[Importe]]-Tabla110[[#This Row],[Pagado]]</f>
        <v>0</v>
      </c>
      <c r="H206" s="194" t="s">
        <v>10</v>
      </c>
    </row>
    <row r="207" spans="1:8" x14ac:dyDescent="0.25">
      <c r="A207" s="127">
        <v>44806</v>
      </c>
      <c r="B207" s="128" t="s">
        <v>28229</v>
      </c>
      <c r="C207" s="194" t="s">
        <v>555</v>
      </c>
      <c r="D207" s="195">
        <v>19448</v>
      </c>
      <c r="E207" s="196">
        <v>44806</v>
      </c>
      <c r="F207" s="195">
        <v>19448</v>
      </c>
      <c r="G207" s="197">
        <f>Tabla110[[#This Row],[Importe]]-Tabla110[[#This Row],[Pagado]]</f>
        <v>0</v>
      </c>
      <c r="H207" s="194" t="s">
        <v>10</v>
      </c>
    </row>
    <row r="208" spans="1:8" x14ac:dyDescent="0.25">
      <c r="A208" s="127">
        <v>44806</v>
      </c>
      <c r="B208" s="128" t="s">
        <v>28230</v>
      </c>
      <c r="C208" s="194" t="s">
        <v>857</v>
      </c>
      <c r="D208" s="195">
        <v>1331.6</v>
      </c>
      <c r="E208" s="196">
        <v>44806</v>
      </c>
      <c r="F208" s="195">
        <v>1331.6</v>
      </c>
      <c r="G208" s="197">
        <f>Tabla110[[#This Row],[Importe]]-Tabla110[[#This Row],[Pagado]]</f>
        <v>0</v>
      </c>
      <c r="H208" s="194" t="s">
        <v>10</v>
      </c>
    </row>
    <row r="209" spans="1:8" x14ac:dyDescent="0.25">
      <c r="A209" s="127">
        <v>44806</v>
      </c>
      <c r="B209" s="128" t="s">
        <v>28231</v>
      </c>
      <c r="C209" s="194" t="s">
        <v>56</v>
      </c>
      <c r="D209" s="195">
        <v>6364</v>
      </c>
      <c r="E209" s="196">
        <v>44806</v>
      </c>
      <c r="F209" s="195">
        <v>6364</v>
      </c>
      <c r="G209" s="197">
        <f>Tabla110[[#This Row],[Importe]]-Tabla110[[#This Row],[Pagado]]</f>
        <v>0</v>
      </c>
      <c r="H209" s="194" t="s">
        <v>10</v>
      </c>
    </row>
    <row r="210" spans="1:8" x14ac:dyDescent="0.25">
      <c r="A210" s="127">
        <v>44806</v>
      </c>
      <c r="B210" s="128" t="s">
        <v>28232</v>
      </c>
      <c r="C210" s="194" t="s">
        <v>5694</v>
      </c>
      <c r="D210" s="195">
        <v>3934</v>
      </c>
      <c r="E210" s="196">
        <v>44806</v>
      </c>
      <c r="F210" s="195">
        <v>3934</v>
      </c>
      <c r="G210" s="197">
        <f>Tabla110[[#This Row],[Importe]]-Tabla110[[#This Row],[Pagado]]</f>
        <v>0</v>
      </c>
      <c r="H210" s="194" t="s">
        <v>10</v>
      </c>
    </row>
    <row r="211" spans="1:8" x14ac:dyDescent="0.25">
      <c r="A211" s="127">
        <v>44806</v>
      </c>
      <c r="B211" s="128" t="s">
        <v>28233</v>
      </c>
      <c r="C211" s="194" t="s">
        <v>10678</v>
      </c>
      <c r="D211" s="195">
        <v>3072.8</v>
      </c>
      <c r="E211" s="196">
        <v>44806</v>
      </c>
      <c r="F211" s="195">
        <v>3072.8</v>
      </c>
      <c r="G211" s="197">
        <f>Tabla110[[#This Row],[Importe]]-Tabla110[[#This Row],[Pagado]]</f>
        <v>0</v>
      </c>
      <c r="H211" s="194" t="s">
        <v>10</v>
      </c>
    </row>
    <row r="212" spans="1:8" x14ac:dyDescent="0.25">
      <c r="A212" s="127">
        <v>44806</v>
      </c>
      <c r="B212" s="128" t="s">
        <v>28234</v>
      </c>
      <c r="C212" s="194" t="s">
        <v>10678</v>
      </c>
      <c r="D212" s="195">
        <v>495</v>
      </c>
      <c r="E212" s="196">
        <v>44806</v>
      </c>
      <c r="F212" s="195">
        <v>495</v>
      </c>
      <c r="G212" s="197">
        <f>Tabla110[[#This Row],[Importe]]-Tabla110[[#This Row],[Pagado]]</f>
        <v>0</v>
      </c>
      <c r="H212" s="194" t="s">
        <v>10</v>
      </c>
    </row>
    <row r="213" spans="1:8" x14ac:dyDescent="0.25">
      <c r="A213" s="127">
        <v>44806</v>
      </c>
      <c r="B213" s="128" t="s">
        <v>28235</v>
      </c>
      <c r="C213" s="194" t="s">
        <v>31</v>
      </c>
      <c r="D213" s="195">
        <v>192</v>
      </c>
      <c r="E213" s="196">
        <v>44806</v>
      </c>
      <c r="F213" s="195">
        <v>192</v>
      </c>
      <c r="G213" s="197">
        <f>Tabla110[[#This Row],[Importe]]-Tabla110[[#This Row],[Pagado]]</f>
        <v>0</v>
      </c>
      <c r="H213" s="194" t="s">
        <v>10</v>
      </c>
    </row>
    <row r="214" spans="1:8" x14ac:dyDescent="0.25">
      <c r="A214" s="127">
        <v>44806</v>
      </c>
      <c r="B214" s="128" t="s">
        <v>28236</v>
      </c>
      <c r="C214" s="194" t="s">
        <v>284</v>
      </c>
      <c r="D214" s="195">
        <v>10514</v>
      </c>
      <c r="E214" s="196">
        <v>44806</v>
      </c>
      <c r="F214" s="195">
        <v>10514</v>
      </c>
      <c r="G214" s="197">
        <f>Tabla110[[#This Row],[Importe]]-Tabla110[[#This Row],[Pagado]]</f>
        <v>0</v>
      </c>
      <c r="H214" s="194" t="s">
        <v>10</v>
      </c>
    </row>
    <row r="215" spans="1:8" x14ac:dyDescent="0.25">
      <c r="A215" s="127">
        <v>44806</v>
      </c>
      <c r="B215" s="128" t="s">
        <v>28237</v>
      </c>
      <c r="C215" s="194" t="s">
        <v>431</v>
      </c>
      <c r="D215" s="195">
        <v>1631</v>
      </c>
      <c r="E215" s="196">
        <v>44806</v>
      </c>
      <c r="F215" s="195">
        <v>1631</v>
      </c>
      <c r="G215" s="197">
        <f>Tabla110[[#This Row],[Importe]]-Tabla110[[#This Row],[Pagado]]</f>
        <v>0</v>
      </c>
      <c r="H215" s="194" t="s">
        <v>10</v>
      </c>
    </row>
    <row r="216" spans="1:8" x14ac:dyDescent="0.25">
      <c r="A216" s="127">
        <v>44806</v>
      </c>
      <c r="B216" s="128" t="s">
        <v>28238</v>
      </c>
      <c r="C216" s="194" t="s">
        <v>280</v>
      </c>
      <c r="D216" s="195">
        <v>1085</v>
      </c>
      <c r="E216" s="196">
        <v>44806</v>
      </c>
      <c r="F216" s="195">
        <v>1085</v>
      </c>
      <c r="G216" s="197">
        <f>Tabla110[[#This Row],[Importe]]-Tabla110[[#This Row],[Pagado]]</f>
        <v>0</v>
      </c>
      <c r="H216" s="194" t="s">
        <v>10</v>
      </c>
    </row>
    <row r="217" spans="1:8" x14ac:dyDescent="0.25">
      <c r="A217" s="127">
        <v>44806</v>
      </c>
      <c r="B217" s="128" t="s">
        <v>28239</v>
      </c>
      <c r="C217" s="194" t="s">
        <v>10819</v>
      </c>
      <c r="D217" s="195">
        <v>1008</v>
      </c>
      <c r="E217" s="196">
        <v>44806</v>
      </c>
      <c r="F217" s="195">
        <v>1008</v>
      </c>
      <c r="G217" s="197">
        <f>Tabla110[[#This Row],[Importe]]-Tabla110[[#This Row],[Pagado]]</f>
        <v>0</v>
      </c>
      <c r="H217" s="194" t="s">
        <v>10</v>
      </c>
    </row>
    <row r="218" spans="1:8" x14ac:dyDescent="0.25">
      <c r="A218" s="127">
        <v>44806</v>
      </c>
      <c r="B218" s="128" t="s">
        <v>28240</v>
      </c>
      <c r="C218" s="194" t="s">
        <v>282</v>
      </c>
      <c r="D218" s="195">
        <v>3010</v>
      </c>
      <c r="E218" s="196">
        <v>44806</v>
      </c>
      <c r="F218" s="195">
        <v>3010</v>
      </c>
      <c r="G218" s="197">
        <f>Tabla110[[#This Row],[Importe]]-Tabla110[[#This Row],[Pagado]]</f>
        <v>0</v>
      </c>
      <c r="H218" s="194" t="s">
        <v>10</v>
      </c>
    </row>
    <row r="219" spans="1:8" x14ac:dyDescent="0.25">
      <c r="A219" s="127">
        <v>44806</v>
      </c>
      <c r="B219" s="128" t="s">
        <v>28241</v>
      </c>
      <c r="C219" s="194" t="s">
        <v>31</v>
      </c>
      <c r="D219" s="195">
        <v>1371.6</v>
      </c>
      <c r="E219" s="196">
        <v>44807</v>
      </c>
      <c r="F219" s="195">
        <v>1371.6</v>
      </c>
      <c r="G219" s="197">
        <f>Tabla110[[#This Row],[Importe]]-Tabla110[[#This Row],[Pagado]]</f>
        <v>0</v>
      </c>
      <c r="H219" s="194" t="s">
        <v>10</v>
      </c>
    </row>
    <row r="220" spans="1:8" x14ac:dyDescent="0.25">
      <c r="A220" s="127">
        <v>44806</v>
      </c>
      <c r="B220" s="128" t="s">
        <v>28242</v>
      </c>
      <c r="C220" s="194" t="s">
        <v>31</v>
      </c>
      <c r="D220" s="195">
        <v>476</v>
      </c>
      <c r="E220" s="196">
        <v>44806</v>
      </c>
      <c r="F220" s="195">
        <v>476</v>
      </c>
      <c r="G220" s="197">
        <f>Tabla110[[#This Row],[Importe]]-Tabla110[[#This Row],[Pagado]]</f>
        <v>0</v>
      </c>
      <c r="H220" s="194" t="s">
        <v>10</v>
      </c>
    </row>
    <row r="221" spans="1:8" x14ac:dyDescent="0.25">
      <c r="A221" s="127">
        <v>44806</v>
      </c>
      <c r="B221" s="128" t="s">
        <v>28243</v>
      </c>
      <c r="C221" s="194" t="s">
        <v>612</v>
      </c>
      <c r="D221" s="195">
        <v>809.8</v>
      </c>
      <c r="E221" s="196">
        <v>44806</v>
      </c>
      <c r="F221" s="195">
        <v>809.8</v>
      </c>
      <c r="G221" s="197">
        <f>Tabla110[[#This Row],[Importe]]-Tabla110[[#This Row],[Pagado]]</f>
        <v>0</v>
      </c>
      <c r="H221" s="194" t="s">
        <v>10</v>
      </c>
    </row>
    <row r="222" spans="1:8" x14ac:dyDescent="0.25">
      <c r="A222" s="127">
        <v>44806</v>
      </c>
      <c r="B222" s="128" t="s">
        <v>28244</v>
      </c>
      <c r="C222" s="194" t="s">
        <v>31</v>
      </c>
      <c r="D222" s="195">
        <v>486</v>
      </c>
      <c r="E222" s="196">
        <v>44806</v>
      </c>
      <c r="F222" s="195">
        <v>486</v>
      </c>
      <c r="G222" s="197">
        <f>Tabla110[[#This Row],[Importe]]-Tabla110[[#This Row],[Pagado]]</f>
        <v>0</v>
      </c>
      <c r="H222" s="194" t="s">
        <v>10</v>
      </c>
    </row>
    <row r="223" spans="1:8" x14ac:dyDescent="0.25">
      <c r="A223" s="127">
        <v>44806</v>
      </c>
      <c r="B223" s="128" t="s">
        <v>28245</v>
      </c>
      <c r="C223" s="194" t="s">
        <v>69</v>
      </c>
      <c r="D223" s="195">
        <v>2492</v>
      </c>
      <c r="E223" s="196">
        <v>44806</v>
      </c>
      <c r="F223" s="195">
        <v>2492</v>
      </c>
      <c r="G223" s="197">
        <f>Tabla110[[#This Row],[Importe]]-Tabla110[[#This Row],[Pagado]]</f>
        <v>0</v>
      </c>
      <c r="H223" s="194" t="s">
        <v>10</v>
      </c>
    </row>
    <row r="224" spans="1:8" x14ac:dyDescent="0.25">
      <c r="A224" s="127">
        <v>44806</v>
      </c>
      <c r="B224" s="128" t="s">
        <v>28246</v>
      </c>
      <c r="C224" s="194" t="s">
        <v>214</v>
      </c>
      <c r="D224" s="195">
        <v>1127</v>
      </c>
      <c r="E224" s="196">
        <v>44806</v>
      </c>
      <c r="F224" s="195">
        <v>1127</v>
      </c>
      <c r="G224" s="197">
        <f>Tabla110[[#This Row],[Importe]]-Tabla110[[#This Row],[Pagado]]</f>
        <v>0</v>
      </c>
      <c r="H224" s="194" t="s">
        <v>10</v>
      </c>
    </row>
    <row r="225" spans="1:8" x14ac:dyDescent="0.25">
      <c r="A225" s="127">
        <v>44806</v>
      </c>
      <c r="B225" s="128" t="s">
        <v>28247</v>
      </c>
      <c r="C225" s="194" t="s">
        <v>31</v>
      </c>
      <c r="D225" s="195">
        <v>800</v>
      </c>
      <c r="E225" s="196">
        <v>44806</v>
      </c>
      <c r="F225" s="195">
        <v>800</v>
      </c>
      <c r="G225" s="197">
        <f>Tabla110[[#This Row],[Importe]]-Tabla110[[#This Row],[Pagado]]</f>
        <v>0</v>
      </c>
      <c r="H225" s="194" t="s">
        <v>10</v>
      </c>
    </row>
    <row r="226" spans="1:8" x14ac:dyDescent="0.25">
      <c r="A226" s="127">
        <v>44806</v>
      </c>
      <c r="B226" s="128" t="s">
        <v>28248</v>
      </c>
      <c r="C226" s="194" t="s">
        <v>1008</v>
      </c>
      <c r="D226" s="195">
        <v>5210.1000000000004</v>
      </c>
      <c r="E226" s="196">
        <v>44806</v>
      </c>
      <c r="F226" s="195">
        <v>5210.1000000000004</v>
      </c>
      <c r="G226" s="197">
        <f>Tabla110[[#This Row],[Importe]]-Tabla110[[#This Row],[Pagado]]</f>
        <v>0</v>
      </c>
      <c r="H226" s="194" t="s">
        <v>10</v>
      </c>
    </row>
    <row r="227" spans="1:8" x14ac:dyDescent="0.25">
      <c r="A227" s="127">
        <v>44806</v>
      </c>
      <c r="B227" s="128" t="s">
        <v>28249</v>
      </c>
      <c r="C227" s="194" t="s">
        <v>53</v>
      </c>
      <c r="D227" s="195">
        <v>3240.9</v>
      </c>
      <c r="E227" s="196">
        <v>44806</v>
      </c>
      <c r="F227" s="195">
        <v>3240.9</v>
      </c>
      <c r="G227" s="197">
        <f>Tabla110[[#This Row],[Importe]]-Tabla110[[#This Row],[Pagado]]</f>
        <v>0</v>
      </c>
      <c r="H227" s="194" t="s">
        <v>10</v>
      </c>
    </row>
    <row r="228" spans="1:8" x14ac:dyDescent="0.25">
      <c r="A228" s="127">
        <v>44806</v>
      </c>
      <c r="B228" s="128" t="s">
        <v>28250</v>
      </c>
      <c r="C228" s="194" t="s">
        <v>461</v>
      </c>
      <c r="D228" s="195">
        <v>250</v>
      </c>
      <c r="E228" s="196">
        <v>44806</v>
      </c>
      <c r="F228" s="195">
        <v>250</v>
      </c>
      <c r="G228" s="197">
        <f>Tabla110[[#This Row],[Importe]]-Tabla110[[#This Row],[Pagado]]</f>
        <v>0</v>
      </c>
      <c r="H228" s="194" t="s">
        <v>10</v>
      </c>
    </row>
    <row r="229" spans="1:8" x14ac:dyDescent="0.25">
      <c r="A229" s="127">
        <v>44806</v>
      </c>
      <c r="B229" s="128" t="s">
        <v>28251</v>
      </c>
      <c r="C229" s="194" t="s">
        <v>196</v>
      </c>
      <c r="D229" s="195">
        <v>20028.400000000001</v>
      </c>
      <c r="E229" s="196">
        <v>44819</v>
      </c>
      <c r="F229" s="195">
        <v>20028.400000000001</v>
      </c>
      <c r="G229" s="197">
        <f>Tabla110[[#This Row],[Importe]]-Tabla110[[#This Row],[Pagado]]</f>
        <v>0</v>
      </c>
      <c r="H229" s="194" t="s">
        <v>10</v>
      </c>
    </row>
    <row r="230" spans="1:8" x14ac:dyDescent="0.25">
      <c r="A230" s="127">
        <v>44806</v>
      </c>
      <c r="B230" s="128" t="s">
        <v>28252</v>
      </c>
      <c r="C230" s="194" t="s">
        <v>296</v>
      </c>
      <c r="D230" s="195">
        <v>2572.5</v>
      </c>
      <c r="E230" s="196">
        <v>44806</v>
      </c>
      <c r="F230" s="195">
        <v>2572.5</v>
      </c>
      <c r="G230" s="197">
        <f>Tabla110[[#This Row],[Importe]]-Tabla110[[#This Row],[Pagado]]</f>
        <v>0</v>
      </c>
      <c r="H230" s="194" t="s">
        <v>10</v>
      </c>
    </row>
    <row r="231" spans="1:8" x14ac:dyDescent="0.25">
      <c r="A231" s="127">
        <v>44806</v>
      </c>
      <c r="B231" s="128" t="s">
        <v>28253</v>
      </c>
      <c r="C231" s="194" t="s">
        <v>56</v>
      </c>
      <c r="D231" s="195">
        <v>235.6</v>
      </c>
      <c r="E231" s="196">
        <v>44806</v>
      </c>
      <c r="F231" s="195">
        <v>235.6</v>
      </c>
      <c r="G231" s="197">
        <f>Tabla110[[#This Row],[Importe]]-Tabla110[[#This Row],[Pagado]]</f>
        <v>0</v>
      </c>
      <c r="H231" s="194" t="s">
        <v>10</v>
      </c>
    </row>
    <row r="232" spans="1:8" x14ac:dyDescent="0.25">
      <c r="A232" s="127">
        <v>44806</v>
      </c>
      <c r="B232" s="128" t="s">
        <v>28254</v>
      </c>
      <c r="C232" s="194" t="s">
        <v>12</v>
      </c>
      <c r="D232" s="195">
        <v>16950.599999999999</v>
      </c>
      <c r="E232" s="196">
        <v>44807</v>
      </c>
      <c r="F232" s="195">
        <v>16950.599999999999</v>
      </c>
      <c r="G232" s="197">
        <f>Tabla110[[#This Row],[Importe]]-Tabla110[[#This Row],[Pagado]]</f>
        <v>0</v>
      </c>
      <c r="H232" s="194" t="s">
        <v>10</v>
      </c>
    </row>
    <row r="233" spans="1:8" x14ac:dyDescent="0.25">
      <c r="A233" s="127">
        <v>44807</v>
      </c>
      <c r="B233" s="128" t="s">
        <v>28255</v>
      </c>
      <c r="C233" s="194" t="s">
        <v>887</v>
      </c>
      <c r="D233" s="195">
        <v>26903</v>
      </c>
      <c r="E233" s="196">
        <v>44807</v>
      </c>
      <c r="F233" s="195">
        <v>26903</v>
      </c>
      <c r="G233" s="197">
        <f>Tabla110[[#This Row],[Importe]]-Tabla110[[#This Row],[Pagado]]</f>
        <v>0</v>
      </c>
      <c r="H233" s="194" t="s">
        <v>10</v>
      </c>
    </row>
    <row r="234" spans="1:8" x14ac:dyDescent="0.25">
      <c r="A234" s="127">
        <v>44807</v>
      </c>
      <c r="B234" s="128" t="s">
        <v>28256</v>
      </c>
      <c r="C234" s="194" t="s">
        <v>887</v>
      </c>
      <c r="D234" s="195">
        <v>528.20000000000005</v>
      </c>
      <c r="E234" s="196">
        <v>44807</v>
      </c>
      <c r="F234" s="195">
        <v>528.20000000000005</v>
      </c>
      <c r="G234" s="197">
        <f>Tabla110[[#This Row],[Importe]]-Tabla110[[#This Row],[Pagado]]</f>
        <v>0</v>
      </c>
      <c r="H234" s="194" t="s">
        <v>10</v>
      </c>
    </row>
    <row r="235" spans="1:8" x14ac:dyDescent="0.25">
      <c r="A235" s="127">
        <v>44807</v>
      </c>
      <c r="B235" s="128" t="s">
        <v>28257</v>
      </c>
      <c r="C235" s="194" t="s">
        <v>475</v>
      </c>
      <c r="D235" s="195">
        <v>51653.599999999999</v>
      </c>
      <c r="E235" s="196">
        <v>44808</v>
      </c>
      <c r="F235" s="195">
        <v>51653.599999999999</v>
      </c>
      <c r="G235" s="197">
        <f>Tabla110[[#This Row],[Importe]]-Tabla110[[#This Row],[Pagado]]</f>
        <v>0</v>
      </c>
      <c r="H235" s="194" t="s">
        <v>10</v>
      </c>
    </row>
    <row r="236" spans="1:8" x14ac:dyDescent="0.25">
      <c r="A236" s="127">
        <v>44807</v>
      </c>
      <c r="B236" s="128" t="s">
        <v>28258</v>
      </c>
      <c r="C236" s="194" t="s">
        <v>326</v>
      </c>
      <c r="D236" s="195">
        <v>18120.400000000001</v>
      </c>
      <c r="E236" s="196">
        <v>44809</v>
      </c>
      <c r="F236" s="195">
        <v>18120.400000000001</v>
      </c>
      <c r="G236" s="197">
        <f>Tabla110[[#This Row],[Importe]]-Tabla110[[#This Row],[Pagado]]</f>
        <v>0</v>
      </c>
      <c r="H236" s="194" t="s">
        <v>10</v>
      </c>
    </row>
    <row r="237" spans="1:8" x14ac:dyDescent="0.25">
      <c r="A237" s="127">
        <v>44807</v>
      </c>
      <c r="B237" s="128" t="s">
        <v>28259</v>
      </c>
      <c r="C237" s="194" t="s">
        <v>109</v>
      </c>
      <c r="D237" s="195">
        <v>5197.5</v>
      </c>
      <c r="E237" s="196">
        <v>44809</v>
      </c>
      <c r="F237" s="195">
        <v>5197.5</v>
      </c>
      <c r="G237" s="197">
        <f>Tabla110[[#This Row],[Importe]]-Tabla110[[#This Row],[Pagado]]</f>
        <v>0</v>
      </c>
      <c r="H237" s="194" t="s">
        <v>10</v>
      </c>
    </row>
    <row r="238" spans="1:8" x14ac:dyDescent="0.25">
      <c r="A238" s="127">
        <v>44807</v>
      </c>
      <c r="B238" s="128" t="s">
        <v>28260</v>
      </c>
      <c r="C238" s="194" t="s">
        <v>114</v>
      </c>
      <c r="D238" s="195">
        <v>27015.200000000001</v>
      </c>
      <c r="E238" s="196">
        <v>44809</v>
      </c>
      <c r="F238" s="195">
        <v>27015.200000000001</v>
      </c>
      <c r="G238" s="197">
        <f>Tabla110[[#This Row],[Importe]]-Tabla110[[#This Row],[Pagado]]</f>
        <v>0</v>
      </c>
      <c r="H238" s="194" t="s">
        <v>10</v>
      </c>
    </row>
    <row r="239" spans="1:8" x14ac:dyDescent="0.25">
      <c r="A239" s="127">
        <v>44807</v>
      </c>
      <c r="B239" s="128" t="s">
        <v>28261</v>
      </c>
      <c r="C239" s="194" t="s">
        <v>5043</v>
      </c>
      <c r="D239" s="195">
        <v>6012.5</v>
      </c>
      <c r="E239" s="196">
        <v>44809</v>
      </c>
      <c r="F239" s="195">
        <v>6012.5</v>
      </c>
      <c r="G239" s="197">
        <f>Tabla110[[#This Row],[Importe]]-Tabla110[[#This Row],[Pagado]]</f>
        <v>0</v>
      </c>
      <c r="H239" s="194" t="s">
        <v>10</v>
      </c>
    </row>
    <row r="240" spans="1:8" x14ac:dyDescent="0.25">
      <c r="A240" s="127">
        <v>44807</v>
      </c>
      <c r="B240" s="128" t="s">
        <v>28262</v>
      </c>
      <c r="C240" s="194" t="s">
        <v>2151</v>
      </c>
      <c r="D240" s="195">
        <v>29887</v>
      </c>
      <c r="E240" s="196">
        <v>44807</v>
      </c>
      <c r="F240" s="195">
        <v>29887</v>
      </c>
      <c r="G240" s="197">
        <f>Tabla110[[#This Row],[Importe]]-Tabla110[[#This Row],[Pagado]]</f>
        <v>0</v>
      </c>
      <c r="H240" s="194" t="s">
        <v>10</v>
      </c>
    </row>
    <row r="241" spans="1:8" x14ac:dyDescent="0.25">
      <c r="A241" s="127">
        <v>44807</v>
      </c>
      <c r="B241" s="128" t="s">
        <v>28263</v>
      </c>
      <c r="C241" s="194" t="s">
        <v>99</v>
      </c>
      <c r="D241" s="195">
        <v>5052.6000000000004</v>
      </c>
      <c r="E241" s="196">
        <v>44810</v>
      </c>
      <c r="F241" s="195">
        <v>5052.6000000000004</v>
      </c>
      <c r="G241" s="197">
        <f>Tabla110[[#This Row],[Importe]]-Tabla110[[#This Row],[Pagado]]</f>
        <v>0</v>
      </c>
      <c r="H241" s="194" t="s">
        <v>10</v>
      </c>
    </row>
    <row r="242" spans="1:8" x14ac:dyDescent="0.25">
      <c r="A242" s="127">
        <v>44807</v>
      </c>
      <c r="B242" s="128" t="s">
        <v>28264</v>
      </c>
      <c r="C242" s="194" t="s">
        <v>481</v>
      </c>
      <c r="D242" s="195">
        <v>953.5</v>
      </c>
      <c r="E242" s="196">
        <v>44807</v>
      </c>
      <c r="F242" s="195">
        <v>953.5</v>
      </c>
      <c r="G242" s="197">
        <f>Tabla110[[#This Row],[Importe]]-Tabla110[[#This Row],[Pagado]]</f>
        <v>0</v>
      </c>
      <c r="H242" s="194" t="s">
        <v>10</v>
      </c>
    </row>
    <row r="243" spans="1:8" x14ac:dyDescent="0.25">
      <c r="A243" s="127">
        <v>44807</v>
      </c>
      <c r="B243" s="128" t="s">
        <v>28265</v>
      </c>
      <c r="C243" s="194" t="s">
        <v>97</v>
      </c>
      <c r="D243" s="195">
        <v>12085.1</v>
      </c>
      <c r="E243" s="196">
        <v>44809</v>
      </c>
      <c r="F243" s="195">
        <v>12085.1</v>
      </c>
      <c r="G243" s="197">
        <f>Tabla110[[#This Row],[Importe]]-Tabla110[[#This Row],[Pagado]]</f>
        <v>0</v>
      </c>
      <c r="H243" s="194" t="s">
        <v>10</v>
      </c>
    </row>
    <row r="244" spans="1:8" x14ac:dyDescent="0.25">
      <c r="A244" s="127">
        <v>44807</v>
      </c>
      <c r="B244" s="128" t="s">
        <v>28266</v>
      </c>
      <c r="C244" s="194" t="s">
        <v>89</v>
      </c>
      <c r="D244" s="195">
        <v>5313.6</v>
      </c>
      <c r="E244" s="196">
        <v>44809</v>
      </c>
      <c r="F244" s="195">
        <v>5313.6</v>
      </c>
      <c r="G244" s="197">
        <f>Tabla110[[#This Row],[Importe]]-Tabla110[[#This Row],[Pagado]]</f>
        <v>0</v>
      </c>
      <c r="H244" s="194" t="s">
        <v>10</v>
      </c>
    </row>
    <row r="245" spans="1:8" x14ac:dyDescent="0.25">
      <c r="A245" s="127">
        <v>44807</v>
      </c>
      <c r="B245" s="128" t="s">
        <v>28267</v>
      </c>
      <c r="C245" s="194" t="s">
        <v>348</v>
      </c>
      <c r="D245" s="195">
        <v>3774.6</v>
      </c>
      <c r="E245" s="196">
        <v>44807</v>
      </c>
      <c r="F245" s="195">
        <v>3774.6</v>
      </c>
      <c r="G245" s="197">
        <f>Tabla110[[#This Row],[Importe]]-Tabla110[[#This Row],[Pagado]]</f>
        <v>0</v>
      </c>
      <c r="H245" s="194" t="s">
        <v>10</v>
      </c>
    </row>
    <row r="246" spans="1:8" x14ac:dyDescent="0.25">
      <c r="A246" s="127">
        <v>44807</v>
      </c>
      <c r="B246" s="128" t="s">
        <v>28268</v>
      </c>
      <c r="C246" s="194" t="s">
        <v>345</v>
      </c>
      <c r="D246" s="195">
        <v>581</v>
      </c>
      <c r="E246" s="196">
        <v>44807</v>
      </c>
      <c r="F246" s="195">
        <v>581</v>
      </c>
      <c r="G246" s="197">
        <f>Tabla110[[#This Row],[Importe]]-Tabla110[[#This Row],[Pagado]]</f>
        <v>0</v>
      </c>
      <c r="H246" s="194" t="s">
        <v>10</v>
      </c>
    </row>
    <row r="247" spans="1:8" x14ac:dyDescent="0.25">
      <c r="A247" s="127">
        <v>44807</v>
      </c>
      <c r="B247" s="128" t="s">
        <v>28269</v>
      </c>
      <c r="C247" s="194" t="s">
        <v>105</v>
      </c>
      <c r="D247" s="195">
        <v>23384.400000000001</v>
      </c>
      <c r="E247" s="196">
        <v>44810</v>
      </c>
      <c r="F247" s="195">
        <v>23384.400000000001</v>
      </c>
      <c r="G247" s="197">
        <f>Tabla110[[#This Row],[Importe]]-Tabla110[[#This Row],[Pagado]]</f>
        <v>0</v>
      </c>
      <c r="H247" s="194" t="s">
        <v>10</v>
      </c>
    </row>
    <row r="248" spans="1:8" x14ac:dyDescent="0.25">
      <c r="A248" s="127">
        <v>44807</v>
      </c>
      <c r="B248" s="128" t="s">
        <v>28270</v>
      </c>
      <c r="C248" s="194" t="s">
        <v>111</v>
      </c>
      <c r="D248" s="195">
        <v>11201.4</v>
      </c>
      <c r="E248" s="196">
        <v>44809</v>
      </c>
      <c r="F248" s="195">
        <v>11201.4</v>
      </c>
      <c r="G248" s="197">
        <f>Tabla110[[#This Row],[Importe]]-Tabla110[[#This Row],[Pagado]]</f>
        <v>0</v>
      </c>
      <c r="H248" s="194" t="s">
        <v>10</v>
      </c>
    </row>
    <row r="249" spans="1:8" ht="31.5" x14ac:dyDescent="0.25">
      <c r="A249" s="127">
        <v>44807</v>
      </c>
      <c r="B249" s="128" t="s">
        <v>28271</v>
      </c>
      <c r="C249" s="194" t="s">
        <v>93</v>
      </c>
      <c r="D249" s="195">
        <v>13783</v>
      </c>
      <c r="E249" s="198" t="s">
        <v>28272</v>
      </c>
      <c r="F249" s="195">
        <f>7000+6783</f>
        <v>13783</v>
      </c>
      <c r="G249" s="197">
        <f>Tabla110[[#This Row],[Importe]]-Tabla110[[#This Row],[Pagado]]</f>
        <v>0</v>
      </c>
      <c r="H249" s="194" t="s">
        <v>10</v>
      </c>
    </row>
    <row r="250" spans="1:8" x14ac:dyDescent="0.25">
      <c r="A250" s="127">
        <v>44807</v>
      </c>
      <c r="B250" s="128" t="s">
        <v>28273</v>
      </c>
      <c r="C250" s="194" t="s">
        <v>450</v>
      </c>
      <c r="D250" s="195">
        <v>8037.1</v>
      </c>
      <c r="E250" s="196">
        <v>44807</v>
      </c>
      <c r="F250" s="195">
        <v>8037.1</v>
      </c>
      <c r="G250" s="197">
        <f>Tabla110[[#This Row],[Importe]]-Tabla110[[#This Row],[Pagado]]</f>
        <v>0</v>
      </c>
      <c r="H250" s="194" t="s">
        <v>10</v>
      </c>
    </row>
    <row r="251" spans="1:8" x14ac:dyDescent="0.25">
      <c r="A251" s="127">
        <v>44807</v>
      </c>
      <c r="B251" s="128" t="s">
        <v>28274</v>
      </c>
      <c r="C251" s="194" t="s">
        <v>22</v>
      </c>
      <c r="D251" s="195">
        <v>64348.7</v>
      </c>
      <c r="E251" s="196">
        <v>44808</v>
      </c>
      <c r="F251" s="195">
        <v>64348.7</v>
      </c>
      <c r="G251" s="197">
        <f>Tabla110[[#This Row],[Importe]]-Tabla110[[#This Row],[Pagado]]</f>
        <v>0</v>
      </c>
      <c r="H251" s="194" t="s">
        <v>10</v>
      </c>
    </row>
    <row r="252" spans="1:8" x14ac:dyDescent="0.25">
      <c r="A252" s="127">
        <v>44807</v>
      </c>
      <c r="B252" s="128" t="s">
        <v>28275</v>
      </c>
      <c r="C252" s="194" t="s">
        <v>433</v>
      </c>
      <c r="D252" s="195">
        <v>21000</v>
      </c>
      <c r="E252" s="196">
        <v>44807</v>
      </c>
      <c r="F252" s="195">
        <v>21000</v>
      </c>
      <c r="G252" s="197">
        <f>Tabla110[[#This Row],[Importe]]-Tabla110[[#This Row],[Pagado]]</f>
        <v>0</v>
      </c>
      <c r="H252" s="194" t="s">
        <v>10</v>
      </c>
    </row>
    <row r="253" spans="1:8" x14ac:dyDescent="0.25">
      <c r="A253" s="127">
        <v>44807</v>
      </c>
      <c r="B253" s="128" t="s">
        <v>28276</v>
      </c>
      <c r="C253" s="194" t="s">
        <v>18</v>
      </c>
      <c r="D253" s="195">
        <v>1450</v>
      </c>
      <c r="E253" s="196">
        <v>44807</v>
      </c>
      <c r="F253" s="195">
        <v>1450</v>
      </c>
      <c r="G253" s="197">
        <f>Tabla110[[#This Row],[Importe]]-Tabla110[[#This Row],[Pagado]]</f>
        <v>0</v>
      </c>
      <c r="H253" s="194" t="s">
        <v>10</v>
      </c>
    </row>
    <row r="254" spans="1:8" x14ac:dyDescent="0.25">
      <c r="A254" s="127">
        <v>44807</v>
      </c>
      <c r="B254" s="128" t="s">
        <v>28277</v>
      </c>
      <c r="C254" s="194" t="s">
        <v>17556</v>
      </c>
      <c r="D254" s="195">
        <v>3876.3</v>
      </c>
      <c r="E254" s="196">
        <v>44807</v>
      </c>
      <c r="F254" s="195">
        <v>3876.3</v>
      </c>
      <c r="G254" s="197">
        <f>Tabla110[[#This Row],[Importe]]-Tabla110[[#This Row],[Pagado]]</f>
        <v>0</v>
      </c>
      <c r="H254" s="194" t="s">
        <v>10</v>
      </c>
    </row>
    <row r="255" spans="1:8" x14ac:dyDescent="0.25">
      <c r="A255" s="127">
        <v>44807</v>
      </c>
      <c r="B255" s="128" t="s">
        <v>28278</v>
      </c>
      <c r="C255" s="194" t="s">
        <v>9</v>
      </c>
      <c r="D255" s="195">
        <v>9548.4</v>
      </c>
      <c r="E255" s="196">
        <v>44807</v>
      </c>
      <c r="F255" s="195">
        <v>9548.4</v>
      </c>
      <c r="G255" s="197">
        <f>Tabla110[[#This Row],[Importe]]-Tabla110[[#This Row],[Pagado]]</f>
        <v>0</v>
      </c>
      <c r="H255" s="194" t="s">
        <v>10</v>
      </c>
    </row>
    <row r="256" spans="1:8" x14ac:dyDescent="0.25">
      <c r="A256" s="127">
        <v>44807</v>
      </c>
      <c r="B256" s="128" t="s">
        <v>28279</v>
      </c>
      <c r="C256" s="194" t="s">
        <v>31</v>
      </c>
      <c r="D256" s="195">
        <v>5207.3999999999996</v>
      </c>
      <c r="E256" s="196">
        <v>44807</v>
      </c>
      <c r="F256" s="195">
        <v>5207.3999999999996</v>
      </c>
      <c r="G256" s="197">
        <f>Tabla110[[#This Row],[Importe]]-Tabla110[[#This Row],[Pagado]]</f>
        <v>0</v>
      </c>
      <c r="H256" s="194" t="s">
        <v>10</v>
      </c>
    </row>
    <row r="257" spans="1:8" x14ac:dyDescent="0.25">
      <c r="A257" s="127">
        <v>44807</v>
      </c>
      <c r="B257" s="128" t="s">
        <v>28280</v>
      </c>
      <c r="C257" s="194" t="s">
        <v>592</v>
      </c>
      <c r="D257" s="195">
        <v>37910.5</v>
      </c>
      <c r="E257" s="196">
        <v>44808</v>
      </c>
      <c r="F257" s="195">
        <v>37910.5</v>
      </c>
      <c r="G257" s="197">
        <f>Tabla110[[#This Row],[Importe]]-Tabla110[[#This Row],[Pagado]]</f>
        <v>0</v>
      </c>
      <c r="H257" s="194" t="s">
        <v>10</v>
      </c>
    </row>
    <row r="258" spans="1:8" x14ac:dyDescent="0.25">
      <c r="A258" s="127">
        <v>44807</v>
      </c>
      <c r="B258" s="128" t="s">
        <v>28281</v>
      </c>
      <c r="C258" s="194" t="s">
        <v>1187</v>
      </c>
      <c r="D258" s="195">
        <v>1674.5</v>
      </c>
      <c r="E258" s="196">
        <v>44807</v>
      </c>
      <c r="F258" s="195">
        <v>1674.5</v>
      </c>
      <c r="G258" s="197">
        <f>Tabla110[[#This Row],[Importe]]-Tabla110[[#This Row],[Pagado]]</f>
        <v>0</v>
      </c>
      <c r="H258" s="194" t="s">
        <v>10</v>
      </c>
    </row>
    <row r="259" spans="1:8" x14ac:dyDescent="0.25">
      <c r="A259" s="127">
        <v>44807</v>
      </c>
      <c r="B259" s="128" t="s">
        <v>28282</v>
      </c>
      <c r="C259" s="194" t="s">
        <v>33</v>
      </c>
      <c r="D259" s="195">
        <v>16706</v>
      </c>
      <c r="E259" s="196">
        <v>44807</v>
      </c>
      <c r="F259" s="195">
        <v>16706</v>
      </c>
      <c r="G259" s="197">
        <f>Tabla110[[#This Row],[Importe]]-Tabla110[[#This Row],[Pagado]]</f>
        <v>0</v>
      </c>
      <c r="H259" s="194" t="s">
        <v>10</v>
      </c>
    </row>
    <row r="260" spans="1:8" x14ac:dyDescent="0.25">
      <c r="A260" s="127">
        <v>44807</v>
      </c>
      <c r="B260" s="128" t="s">
        <v>28283</v>
      </c>
      <c r="C260" s="194" t="s">
        <v>28284</v>
      </c>
      <c r="D260" s="195">
        <v>0</v>
      </c>
      <c r="E260" s="199" t="s">
        <v>189</v>
      </c>
      <c r="F260" s="195">
        <v>0</v>
      </c>
      <c r="G260" s="197">
        <f>Tabla110[[#This Row],[Importe]]-Tabla110[[#This Row],[Pagado]]</f>
        <v>0</v>
      </c>
      <c r="H260" s="200" t="s">
        <v>28285</v>
      </c>
    </row>
    <row r="261" spans="1:8" x14ac:dyDescent="0.25">
      <c r="A261" s="127">
        <v>44807</v>
      </c>
      <c r="B261" s="128" t="s">
        <v>28286</v>
      </c>
      <c r="C261" s="194" t="s">
        <v>107</v>
      </c>
      <c r="D261" s="195">
        <v>29167.599999999999</v>
      </c>
      <c r="E261" s="196">
        <v>44807</v>
      </c>
      <c r="F261" s="195">
        <v>29167.599999999999</v>
      </c>
      <c r="G261" s="197">
        <f>Tabla110[[#This Row],[Importe]]-Tabla110[[#This Row],[Pagado]]</f>
        <v>0</v>
      </c>
      <c r="H261" s="194" t="s">
        <v>10</v>
      </c>
    </row>
    <row r="262" spans="1:8" x14ac:dyDescent="0.25">
      <c r="A262" s="127">
        <v>44807</v>
      </c>
      <c r="B262" s="128" t="s">
        <v>28287</v>
      </c>
      <c r="C262" s="194" t="s">
        <v>392</v>
      </c>
      <c r="D262" s="195">
        <v>2338</v>
      </c>
      <c r="E262" s="196">
        <v>44807</v>
      </c>
      <c r="F262" s="195">
        <v>2338</v>
      </c>
      <c r="G262" s="197">
        <f>Tabla110[[#This Row],[Importe]]-Tabla110[[#This Row],[Pagado]]</f>
        <v>0</v>
      </c>
      <c r="H262" s="194" t="s">
        <v>10</v>
      </c>
    </row>
    <row r="263" spans="1:8" x14ac:dyDescent="0.25">
      <c r="A263" s="127">
        <v>44807</v>
      </c>
      <c r="B263" s="128" t="s">
        <v>28288</v>
      </c>
      <c r="C263" s="194" t="s">
        <v>9827</v>
      </c>
      <c r="D263" s="195">
        <v>170</v>
      </c>
      <c r="E263" s="196">
        <v>44807</v>
      </c>
      <c r="F263" s="195">
        <v>170</v>
      </c>
      <c r="G263" s="197">
        <f>Tabla110[[#This Row],[Importe]]-Tabla110[[#This Row],[Pagado]]</f>
        <v>0</v>
      </c>
      <c r="H263" s="194" t="s">
        <v>10</v>
      </c>
    </row>
    <row r="264" spans="1:8" x14ac:dyDescent="0.25">
      <c r="A264" s="127">
        <v>44807</v>
      </c>
      <c r="B264" s="128" t="s">
        <v>28289</v>
      </c>
      <c r="C264" s="194" t="s">
        <v>127</v>
      </c>
      <c r="D264" s="195">
        <v>4440</v>
      </c>
      <c r="E264" s="196">
        <v>44807</v>
      </c>
      <c r="F264" s="195">
        <v>4440</v>
      </c>
      <c r="G264" s="197">
        <f>Tabla110[[#This Row],[Importe]]-Tabla110[[#This Row],[Pagado]]</f>
        <v>0</v>
      </c>
      <c r="H264" s="194" t="s">
        <v>10</v>
      </c>
    </row>
    <row r="265" spans="1:8" x14ac:dyDescent="0.25">
      <c r="A265" s="127">
        <v>44807</v>
      </c>
      <c r="B265" s="128" t="s">
        <v>28290</v>
      </c>
      <c r="C265" s="194" t="s">
        <v>528</v>
      </c>
      <c r="D265" s="195">
        <v>36820</v>
      </c>
      <c r="E265" s="196">
        <v>44808</v>
      </c>
      <c r="F265" s="195">
        <v>36820</v>
      </c>
      <c r="G265" s="197">
        <f>Tabla110[[#This Row],[Importe]]-Tabla110[[#This Row],[Pagado]]</f>
        <v>0</v>
      </c>
      <c r="H265" s="194" t="s">
        <v>10</v>
      </c>
    </row>
    <row r="266" spans="1:8" x14ac:dyDescent="0.25">
      <c r="A266" s="127">
        <v>44807</v>
      </c>
      <c r="B266" s="128" t="s">
        <v>28291</v>
      </c>
      <c r="C266" s="194" t="s">
        <v>129</v>
      </c>
      <c r="D266" s="195">
        <v>4473</v>
      </c>
      <c r="E266" s="196">
        <v>44807</v>
      </c>
      <c r="F266" s="195">
        <v>4473</v>
      </c>
      <c r="G266" s="197">
        <f>Tabla110[[#This Row],[Importe]]-Tabla110[[#This Row],[Pagado]]</f>
        <v>0</v>
      </c>
      <c r="H266" s="194" t="s">
        <v>10</v>
      </c>
    </row>
    <row r="267" spans="1:8" x14ac:dyDescent="0.25">
      <c r="A267" s="127">
        <v>44807</v>
      </c>
      <c r="B267" s="128" t="s">
        <v>28292</v>
      </c>
      <c r="C267" s="194" t="s">
        <v>339</v>
      </c>
      <c r="D267" s="195">
        <v>626.4</v>
      </c>
      <c r="E267" s="196">
        <v>44807</v>
      </c>
      <c r="F267" s="195">
        <v>626.4</v>
      </c>
      <c r="G267" s="197">
        <f>Tabla110[[#This Row],[Importe]]-Tabla110[[#This Row],[Pagado]]</f>
        <v>0</v>
      </c>
      <c r="H267" s="194" t="s">
        <v>10</v>
      </c>
    </row>
    <row r="268" spans="1:8" x14ac:dyDescent="0.25">
      <c r="A268" s="127">
        <v>44807</v>
      </c>
      <c r="B268" s="128" t="s">
        <v>28293</v>
      </c>
      <c r="C268" s="194" t="s">
        <v>28294</v>
      </c>
      <c r="D268" s="195">
        <v>21143.200000000001</v>
      </c>
      <c r="E268" s="196">
        <v>44807</v>
      </c>
      <c r="F268" s="195">
        <v>21143.200000000001</v>
      </c>
      <c r="G268" s="197">
        <f>Tabla110[[#This Row],[Importe]]-Tabla110[[#This Row],[Pagado]]</f>
        <v>0</v>
      </c>
      <c r="H268" s="194" t="s">
        <v>10</v>
      </c>
    </row>
    <row r="269" spans="1:8" x14ac:dyDescent="0.25">
      <c r="A269" s="127">
        <v>44807</v>
      </c>
      <c r="B269" s="128" t="s">
        <v>28295</v>
      </c>
      <c r="C269" s="194" t="s">
        <v>924</v>
      </c>
      <c r="D269" s="195">
        <v>18349.3</v>
      </c>
      <c r="E269" s="196">
        <v>44807</v>
      </c>
      <c r="F269" s="195">
        <v>18349.3</v>
      </c>
      <c r="G269" s="197">
        <f>Tabla110[[#This Row],[Importe]]-Tabla110[[#This Row],[Pagado]]</f>
        <v>0</v>
      </c>
      <c r="H269" s="194" t="s">
        <v>10</v>
      </c>
    </row>
    <row r="270" spans="1:8" x14ac:dyDescent="0.25">
      <c r="A270" s="127">
        <v>44807</v>
      </c>
      <c r="B270" s="128" t="s">
        <v>28296</v>
      </c>
      <c r="C270" s="194" t="s">
        <v>924</v>
      </c>
      <c r="D270" s="195">
        <v>585</v>
      </c>
      <c r="E270" s="196">
        <v>44807</v>
      </c>
      <c r="F270" s="195">
        <v>585</v>
      </c>
      <c r="G270" s="197">
        <f>Tabla110[[#This Row],[Importe]]-Tabla110[[#This Row],[Pagado]]</f>
        <v>0</v>
      </c>
      <c r="H270" s="194" t="s">
        <v>10</v>
      </c>
    </row>
    <row r="271" spans="1:8" x14ac:dyDescent="0.25">
      <c r="A271" s="127">
        <v>44807</v>
      </c>
      <c r="B271" s="128" t="s">
        <v>28297</v>
      </c>
      <c r="C271" s="194" t="s">
        <v>31</v>
      </c>
      <c r="D271" s="195">
        <v>1364</v>
      </c>
      <c r="E271" s="196">
        <v>44807</v>
      </c>
      <c r="F271" s="195">
        <v>1364</v>
      </c>
      <c r="G271" s="197">
        <f>Tabla110[[#This Row],[Importe]]-Tabla110[[#This Row],[Pagado]]</f>
        <v>0</v>
      </c>
      <c r="H271" s="194" t="s">
        <v>10</v>
      </c>
    </row>
    <row r="272" spans="1:8" x14ac:dyDescent="0.25">
      <c r="A272" s="127">
        <v>44807</v>
      </c>
      <c r="B272" s="128" t="s">
        <v>28298</v>
      </c>
      <c r="C272" s="194" t="s">
        <v>261</v>
      </c>
      <c r="D272" s="195">
        <v>47694.400000000001</v>
      </c>
      <c r="E272" s="196">
        <v>44807</v>
      </c>
      <c r="F272" s="195">
        <v>47694.400000000001</v>
      </c>
      <c r="G272" s="197">
        <f>Tabla110[[#This Row],[Importe]]-Tabla110[[#This Row],[Pagado]]</f>
        <v>0</v>
      </c>
      <c r="H272" s="194" t="s">
        <v>10</v>
      </c>
    </row>
    <row r="273" spans="1:8" x14ac:dyDescent="0.25">
      <c r="A273" s="127">
        <v>44807</v>
      </c>
      <c r="B273" s="128" t="s">
        <v>28299</v>
      </c>
      <c r="C273" s="194" t="s">
        <v>56</v>
      </c>
      <c r="D273" s="195">
        <v>9560.7999999999993</v>
      </c>
      <c r="E273" s="196">
        <v>44807</v>
      </c>
      <c r="F273" s="195">
        <v>9560.7999999999993</v>
      </c>
      <c r="G273" s="197">
        <f>Tabla110[[#This Row],[Importe]]-Tabla110[[#This Row],[Pagado]]</f>
        <v>0</v>
      </c>
      <c r="H273" s="194" t="s">
        <v>10</v>
      </c>
    </row>
    <row r="274" spans="1:8" x14ac:dyDescent="0.25">
      <c r="A274" s="127">
        <v>44807</v>
      </c>
      <c r="B274" s="128" t="s">
        <v>28300</v>
      </c>
      <c r="C274" s="194" t="s">
        <v>16</v>
      </c>
      <c r="D274" s="195">
        <v>7722.3</v>
      </c>
      <c r="E274" s="196">
        <v>44807</v>
      </c>
      <c r="F274" s="195">
        <v>7722.3</v>
      </c>
      <c r="G274" s="197">
        <f>Tabla110[[#This Row],[Importe]]-Tabla110[[#This Row],[Pagado]]</f>
        <v>0</v>
      </c>
      <c r="H274" s="194" t="s">
        <v>10</v>
      </c>
    </row>
    <row r="275" spans="1:8" x14ac:dyDescent="0.25">
      <c r="A275" s="127">
        <v>44807</v>
      </c>
      <c r="B275" s="128" t="s">
        <v>28301</v>
      </c>
      <c r="C275" s="194" t="s">
        <v>27</v>
      </c>
      <c r="D275" s="195">
        <v>2711</v>
      </c>
      <c r="E275" s="196">
        <v>44807</v>
      </c>
      <c r="F275" s="195">
        <v>2711</v>
      </c>
      <c r="G275" s="197">
        <f>Tabla110[[#This Row],[Importe]]-Tabla110[[#This Row],[Pagado]]</f>
        <v>0</v>
      </c>
      <c r="H275" s="194" t="s">
        <v>10</v>
      </c>
    </row>
    <row r="276" spans="1:8" x14ac:dyDescent="0.25">
      <c r="A276" s="127">
        <v>44807</v>
      </c>
      <c r="B276" s="128" t="s">
        <v>28302</v>
      </c>
      <c r="C276" s="194" t="s">
        <v>11383</v>
      </c>
      <c r="D276" s="195">
        <v>11333.7</v>
      </c>
      <c r="E276" s="196">
        <v>44807</v>
      </c>
      <c r="F276" s="195">
        <v>11333.7</v>
      </c>
      <c r="G276" s="197">
        <f>Tabla110[[#This Row],[Importe]]-Tabla110[[#This Row],[Pagado]]</f>
        <v>0</v>
      </c>
      <c r="H276" s="194" t="s">
        <v>10</v>
      </c>
    </row>
    <row r="277" spans="1:8" ht="31.5" x14ac:dyDescent="0.25">
      <c r="A277" s="127">
        <v>44807</v>
      </c>
      <c r="B277" s="128" t="s">
        <v>28303</v>
      </c>
      <c r="C277" s="194" t="s">
        <v>1644</v>
      </c>
      <c r="D277" s="195">
        <v>17990</v>
      </c>
      <c r="E277" s="198" t="s">
        <v>28304</v>
      </c>
      <c r="F277" s="195">
        <f>15000+2990</f>
        <v>17990</v>
      </c>
      <c r="G277" s="197">
        <f>Tabla110[[#This Row],[Importe]]-Tabla110[[#This Row],[Pagado]]</f>
        <v>0</v>
      </c>
      <c r="H277" s="194" t="s">
        <v>10</v>
      </c>
    </row>
    <row r="278" spans="1:8" ht="31.5" x14ac:dyDescent="0.25">
      <c r="A278" s="127">
        <v>44807</v>
      </c>
      <c r="B278" s="128" t="s">
        <v>28305</v>
      </c>
      <c r="C278" s="194" t="s">
        <v>133</v>
      </c>
      <c r="D278" s="195">
        <v>17696</v>
      </c>
      <c r="E278" s="198" t="s">
        <v>28306</v>
      </c>
      <c r="F278" s="195">
        <f>16700+996</f>
        <v>17696</v>
      </c>
      <c r="G278" s="197">
        <f>Tabla110[[#This Row],[Importe]]-Tabla110[[#This Row],[Pagado]]</f>
        <v>0</v>
      </c>
      <c r="H278" s="194" t="s">
        <v>10</v>
      </c>
    </row>
    <row r="279" spans="1:8" x14ac:dyDescent="0.25">
      <c r="A279" s="127">
        <v>44807</v>
      </c>
      <c r="B279" s="128" t="s">
        <v>28307</v>
      </c>
      <c r="C279" s="194" t="s">
        <v>2114</v>
      </c>
      <c r="D279" s="195">
        <v>2318.1999999999998</v>
      </c>
      <c r="E279" s="196">
        <v>44807</v>
      </c>
      <c r="F279" s="195">
        <v>2318.1999999999998</v>
      </c>
      <c r="G279" s="197">
        <f>Tabla110[[#This Row],[Importe]]-Tabla110[[#This Row],[Pagado]]</f>
        <v>0</v>
      </c>
      <c r="H279" s="194" t="s">
        <v>10</v>
      </c>
    </row>
    <row r="280" spans="1:8" x14ac:dyDescent="0.25">
      <c r="A280" s="127">
        <v>44807</v>
      </c>
      <c r="B280" s="128" t="s">
        <v>28308</v>
      </c>
      <c r="C280" s="194" t="s">
        <v>146</v>
      </c>
      <c r="D280" s="195">
        <v>13962</v>
      </c>
      <c r="E280" s="196">
        <v>44807</v>
      </c>
      <c r="F280" s="195">
        <v>13962</v>
      </c>
      <c r="G280" s="197">
        <f>Tabla110[[#This Row],[Importe]]-Tabla110[[#This Row],[Pagado]]</f>
        <v>0</v>
      </c>
      <c r="H280" s="194" t="s">
        <v>10</v>
      </c>
    </row>
    <row r="281" spans="1:8" x14ac:dyDescent="0.25">
      <c r="A281" s="127">
        <v>44807</v>
      </c>
      <c r="B281" s="128" t="s">
        <v>28309</v>
      </c>
      <c r="C281" s="194" t="s">
        <v>314</v>
      </c>
      <c r="D281" s="195">
        <v>3045</v>
      </c>
      <c r="E281" s="196">
        <v>44807</v>
      </c>
      <c r="F281" s="195">
        <v>3045</v>
      </c>
      <c r="G281" s="197">
        <f>Tabla110[[#This Row],[Importe]]-Tabla110[[#This Row],[Pagado]]</f>
        <v>0</v>
      </c>
      <c r="H281" s="194" t="s">
        <v>10</v>
      </c>
    </row>
    <row r="282" spans="1:8" x14ac:dyDescent="0.25">
      <c r="A282" s="127">
        <v>44807</v>
      </c>
      <c r="B282" s="128" t="s">
        <v>28310</v>
      </c>
      <c r="C282" s="194" t="s">
        <v>191</v>
      </c>
      <c r="D282" s="195">
        <v>1830</v>
      </c>
      <c r="E282" s="196">
        <v>44807</v>
      </c>
      <c r="F282" s="195">
        <v>1830</v>
      </c>
      <c r="G282" s="197">
        <f>Tabla110[[#This Row],[Importe]]-Tabla110[[#This Row],[Pagado]]</f>
        <v>0</v>
      </c>
      <c r="H282" s="194" t="s">
        <v>10</v>
      </c>
    </row>
    <row r="283" spans="1:8" x14ac:dyDescent="0.25">
      <c r="A283" s="127">
        <v>44807</v>
      </c>
      <c r="B283" s="128" t="s">
        <v>28311</v>
      </c>
      <c r="C283" s="194" t="s">
        <v>214</v>
      </c>
      <c r="D283" s="195">
        <v>8236.7999999999993</v>
      </c>
      <c r="E283" s="196">
        <v>44807</v>
      </c>
      <c r="F283" s="195">
        <v>8236.7999999999993</v>
      </c>
      <c r="G283" s="197">
        <f>Tabla110[[#This Row],[Importe]]-Tabla110[[#This Row],[Pagado]]</f>
        <v>0</v>
      </c>
      <c r="H283" s="194" t="s">
        <v>10</v>
      </c>
    </row>
    <row r="284" spans="1:8" x14ac:dyDescent="0.25">
      <c r="A284" s="127">
        <v>44807</v>
      </c>
      <c r="B284" s="128" t="s">
        <v>28312</v>
      </c>
      <c r="C284" s="194" t="s">
        <v>1644</v>
      </c>
      <c r="D284" s="195">
        <v>868</v>
      </c>
      <c r="E284" s="196">
        <v>44809</v>
      </c>
      <c r="F284" s="195">
        <v>868</v>
      </c>
      <c r="G284" s="197">
        <f>Tabla110[[#This Row],[Importe]]-Tabla110[[#This Row],[Pagado]]</f>
        <v>0</v>
      </c>
      <c r="H284" s="194" t="s">
        <v>10</v>
      </c>
    </row>
    <row r="285" spans="1:8" x14ac:dyDescent="0.25">
      <c r="A285" s="127">
        <v>44807</v>
      </c>
      <c r="B285" s="128" t="s">
        <v>28313</v>
      </c>
      <c r="C285" s="194" t="s">
        <v>87</v>
      </c>
      <c r="D285" s="195">
        <v>4533</v>
      </c>
      <c r="E285" s="196">
        <v>44807</v>
      </c>
      <c r="F285" s="195">
        <v>4533</v>
      </c>
      <c r="G285" s="197">
        <f>Tabla110[[#This Row],[Importe]]-Tabla110[[#This Row],[Pagado]]</f>
        <v>0</v>
      </c>
      <c r="H285" s="194" t="s">
        <v>10</v>
      </c>
    </row>
    <row r="286" spans="1:8" x14ac:dyDescent="0.25">
      <c r="A286" s="127">
        <v>44807</v>
      </c>
      <c r="B286" s="128" t="s">
        <v>28314</v>
      </c>
      <c r="C286" s="194" t="s">
        <v>28315</v>
      </c>
      <c r="D286" s="195">
        <v>0</v>
      </c>
      <c r="E286" s="199" t="s">
        <v>189</v>
      </c>
      <c r="F286" s="195">
        <v>0</v>
      </c>
      <c r="G286" s="197">
        <f>Tabla110[[#This Row],[Importe]]-Tabla110[[#This Row],[Pagado]]</f>
        <v>0</v>
      </c>
      <c r="H286" s="200" t="s">
        <v>28316</v>
      </c>
    </row>
    <row r="287" spans="1:8" x14ac:dyDescent="0.25">
      <c r="A287" s="127">
        <v>44807</v>
      </c>
      <c r="B287" s="128" t="s">
        <v>28317</v>
      </c>
      <c r="C287" s="194" t="s">
        <v>149</v>
      </c>
      <c r="D287" s="195">
        <v>3060</v>
      </c>
      <c r="E287" s="196">
        <v>44807</v>
      </c>
      <c r="F287" s="195">
        <v>3060</v>
      </c>
      <c r="G287" s="197">
        <f>Tabla110[[#This Row],[Importe]]-Tabla110[[#This Row],[Pagado]]</f>
        <v>0</v>
      </c>
      <c r="H287" s="194" t="s">
        <v>10</v>
      </c>
    </row>
    <row r="288" spans="1:8" x14ac:dyDescent="0.25">
      <c r="A288" s="127">
        <v>44807</v>
      </c>
      <c r="B288" s="128" t="s">
        <v>28318</v>
      </c>
      <c r="C288" s="194" t="s">
        <v>29</v>
      </c>
      <c r="D288" s="195">
        <v>8022</v>
      </c>
      <c r="E288" s="196">
        <v>44807</v>
      </c>
      <c r="F288" s="195">
        <v>8022</v>
      </c>
      <c r="G288" s="197">
        <f>Tabla110[[#This Row],[Importe]]-Tabla110[[#This Row],[Pagado]]</f>
        <v>0</v>
      </c>
      <c r="H288" s="194" t="s">
        <v>10</v>
      </c>
    </row>
    <row r="289" spans="1:8" x14ac:dyDescent="0.25">
      <c r="A289" s="127">
        <v>44807</v>
      </c>
      <c r="B289" s="128" t="s">
        <v>28319</v>
      </c>
      <c r="C289" s="194" t="s">
        <v>664</v>
      </c>
      <c r="D289" s="195">
        <v>3798.6</v>
      </c>
      <c r="E289" s="196">
        <v>44807</v>
      </c>
      <c r="F289" s="195">
        <v>3798.6</v>
      </c>
      <c r="G289" s="197">
        <f>Tabla110[[#This Row],[Importe]]-Tabla110[[#This Row],[Pagado]]</f>
        <v>0</v>
      </c>
      <c r="H289" s="194" t="s">
        <v>10</v>
      </c>
    </row>
    <row r="290" spans="1:8" x14ac:dyDescent="0.25">
      <c r="A290" s="127">
        <v>44807</v>
      </c>
      <c r="B290" s="128" t="s">
        <v>28320</v>
      </c>
      <c r="C290" s="194" t="s">
        <v>173</v>
      </c>
      <c r="D290" s="195">
        <v>13440</v>
      </c>
      <c r="E290" s="196">
        <v>44808</v>
      </c>
      <c r="F290" s="195">
        <v>13440</v>
      </c>
      <c r="G290" s="197">
        <f>Tabla110[[#This Row],[Importe]]-Tabla110[[#This Row],[Pagado]]</f>
        <v>0</v>
      </c>
      <c r="H290" s="194" t="s">
        <v>10</v>
      </c>
    </row>
    <row r="291" spans="1:8" x14ac:dyDescent="0.25">
      <c r="A291" s="127">
        <v>44807</v>
      </c>
      <c r="B291" s="128" t="s">
        <v>28321</v>
      </c>
      <c r="C291" s="194" t="s">
        <v>348</v>
      </c>
      <c r="D291" s="195">
        <v>3852.9</v>
      </c>
      <c r="E291" s="196">
        <v>44807</v>
      </c>
      <c r="F291" s="195">
        <v>3852.9</v>
      </c>
      <c r="G291" s="197">
        <f>Tabla110[[#This Row],[Importe]]-Tabla110[[#This Row],[Pagado]]</f>
        <v>0</v>
      </c>
      <c r="H291" s="194" t="s">
        <v>10</v>
      </c>
    </row>
    <row r="292" spans="1:8" x14ac:dyDescent="0.25">
      <c r="A292" s="127">
        <v>44807</v>
      </c>
      <c r="B292" s="128" t="s">
        <v>28322</v>
      </c>
      <c r="C292" s="194" t="s">
        <v>878</v>
      </c>
      <c r="D292" s="195">
        <v>3052</v>
      </c>
      <c r="E292" s="196">
        <v>44807</v>
      </c>
      <c r="F292" s="195">
        <v>3052</v>
      </c>
      <c r="G292" s="197">
        <f>Tabla110[[#This Row],[Importe]]-Tabla110[[#This Row],[Pagado]]</f>
        <v>0</v>
      </c>
      <c r="H292" s="194" t="s">
        <v>10</v>
      </c>
    </row>
    <row r="293" spans="1:8" x14ac:dyDescent="0.25">
      <c r="A293" s="127">
        <v>44807</v>
      </c>
      <c r="B293" s="128" t="s">
        <v>28323</v>
      </c>
      <c r="C293" s="194" t="s">
        <v>75</v>
      </c>
      <c r="D293" s="195">
        <v>12180</v>
      </c>
      <c r="E293" s="196">
        <v>44807</v>
      </c>
      <c r="F293" s="195">
        <v>12180</v>
      </c>
      <c r="G293" s="197">
        <f>Tabla110[[#This Row],[Importe]]-Tabla110[[#This Row],[Pagado]]</f>
        <v>0</v>
      </c>
      <c r="H293" s="194" t="s">
        <v>10</v>
      </c>
    </row>
    <row r="294" spans="1:8" x14ac:dyDescent="0.25">
      <c r="A294" s="127">
        <v>44807</v>
      </c>
      <c r="B294" s="128" t="s">
        <v>28324</v>
      </c>
      <c r="C294" s="194" t="s">
        <v>878</v>
      </c>
      <c r="D294" s="195">
        <v>539</v>
      </c>
      <c r="E294" s="196">
        <v>44807</v>
      </c>
      <c r="F294" s="195">
        <v>539</v>
      </c>
      <c r="G294" s="197">
        <f>Tabla110[[#This Row],[Importe]]-Tabla110[[#This Row],[Pagado]]</f>
        <v>0</v>
      </c>
      <c r="H294" s="194" t="s">
        <v>10</v>
      </c>
    </row>
    <row r="295" spans="1:8" x14ac:dyDescent="0.25">
      <c r="A295" s="127">
        <v>44807</v>
      </c>
      <c r="B295" s="128" t="s">
        <v>28325</v>
      </c>
      <c r="C295" s="194" t="s">
        <v>196</v>
      </c>
      <c r="D295" s="195">
        <v>99866.84</v>
      </c>
      <c r="E295" s="196">
        <v>44819</v>
      </c>
      <c r="F295" s="195">
        <v>99866.84</v>
      </c>
      <c r="G295" s="197">
        <f>Tabla110[[#This Row],[Importe]]-Tabla110[[#This Row],[Pagado]]</f>
        <v>0</v>
      </c>
      <c r="H295" s="194" t="s">
        <v>10</v>
      </c>
    </row>
    <row r="296" spans="1:8" x14ac:dyDescent="0.25">
      <c r="A296" s="127">
        <v>44807</v>
      </c>
      <c r="B296" s="128" t="s">
        <v>28326</v>
      </c>
      <c r="C296" s="194" t="s">
        <v>79</v>
      </c>
      <c r="D296" s="195">
        <v>18807</v>
      </c>
      <c r="E296" s="196">
        <v>44807</v>
      </c>
      <c r="F296" s="195">
        <v>18807</v>
      </c>
      <c r="G296" s="197">
        <f>Tabla110[[#This Row],[Importe]]-Tabla110[[#This Row],[Pagado]]</f>
        <v>0</v>
      </c>
      <c r="H296" s="194" t="s">
        <v>10</v>
      </c>
    </row>
    <row r="297" spans="1:8" x14ac:dyDescent="0.25">
      <c r="A297" s="127">
        <v>44807</v>
      </c>
      <c r="B297" s="128" t="s">
        <v>28327</v>
      </c>
      <c r="C297" s="194" t="s">
        <v>698</v>
      </c>
      <c r="D297" s="195">
        <v>3373.2</v>
      </c>
      <c r="E297" s="196">
        <v>44807</v>
      </c>
      <c r="F297" s="195">
        <v>3373.2</v>
      </c>
      <c r="G297" s="197">
        <f>Tabla110[[#This Row],[Importe]]-Tabla110[[#This Row],[Pagado]]</f>
        <v>0</v>
      </c>
      <c r="H297" s="194" t="s">
        <v>10</v>
      </c>
    </row>
    <row r="298" spans="1:8" x14ac:dyDescent="0.25">
      <c r="A298" s="127">
        <v>44807</v>
      </c>
      <c r="B298" s="128" t="s">
        <v>28328</v>
      </c>
      <c r="C298" s="194" t="s">
        <v>28087</v>
      </c>
      <c r="D298" s="195">
        <v>19771.400000000001</v>
      </c>
      <c r="E298" s="196">
        <v>44893</v>
      </c>
      <c r="F298" s="195">
        <v>19771.400000000001</v>
      </c>
      <c r="G298" s="197">
        <f>Tabla110[[#This Row],[Importe]]-Tabla110[[#This Row],[Pagado]]</f>
        <v>0</v>
      </c>
      <c r="H298" s="78" t="s">
        <v>17776</v>
      </c>
    </row>
    <row r="299" spans="1:8" x14ac:dyDescent="0.25">
      <c r="A299" s="127">
        <v>44807</v>
      </c>
      <c r="B299" s="128" t="s">
        <v>28329</v>
      </c>
      <c r="C299" s="194" t="s">
        <v>45</v>
      </c>
      <c r="D299" s="195">
        <v>11530.8</v>
      </c>
      <c r="E299" s="196">
        <v>44807</v>
      </c>
      <c r="F299" s="195">
        <v>11530.8</v>
      </c>
      <c r="G299" s="197">
        <f>Tabla110[[#This Row],[Importe]]-Tabla110[[#This Row],[Pagado]]</f>
        <v>0</v>
      </c>
      <c r="H299" s="194" t="s">
        <v>10</v>
      </c>
    </row>
    <row r="300" spans="1:8" x14ac:dyDescent="0.25">
      <c r="A300" s="127">
        <v>44807</v>
      </c>
      <c r="B300" s="128" t="s">
        <v>28330</v>
      </c>
      <c r="C300" s="194" t="s">
        <v>45</v>
      </c>
      <c r="D300" s="195">
        <v>794.8</v>
      </c>
      <c r="E300" s="196">
        <v>44807</v>
      </c>
      <c r="F300" s="195">
        <v>794.8</v>
      </c>
      <c r="G300" s="197">
        <f>Tabla110[[#This Row],[Importe]]-Tabla110[[#This Row],[Pagado]]</f>
        <v>0</v>
      </c>
      <c r="H300" s="194" t="s">
        <v>10</v>
      </c>
    </row>
    <row r="301" spans="1:8" x14ac:dyDescent="0.25">
      <c r="A301" s="127">
        <v>44807</v>
      </c>
      <c r="B301" s="128" t="s">
        <v>28331</v>
      </c>
      <c r="C301" s="194" t="s">
        <v>198</v>
      </c>
      <c r="D301" s="195">
        <v>5779.8</v>
      </c>
      <c r="E301" s="196">
        <v>44807</v>
      </c>
      <c r="F301" s="195">
        <v>5779.8</v>
      </c>
      <c r="G301" s="197">
        <f>Tabla110[[#This Row],[Importe]]-Tabla110[[#This Row],[Pagado]]</f>
        <v>0</v>
      </c>
      <c r="H301" s="194" t="s">
        <v>10</v>
      </c>
    </row>
    <row r="302" spans="1:8" x14ac:dyDescent="0.25">
      <c r="A302" s="127">
        <v>44807</v>
      </c>
      <c r="B302" s="128" t="s">
        <v>28332</v>
      </c>
      <c r="C302" s="194" t="s">
        <v>1003</v>
      </c>
      <c r="D302" s="195">
        <v>2160.6</v>
      </c>
      <c r="E302" s="196">
        <v>44807</v>
      </c>
      <c r="F302" s="195">
        <v>2160.6</v>
      </c>
      <c r="G302" s="197">
        <f>Tabla110[[#This Row],[Importe]]-Tabla110[[#This Row],[Pagado]]</f>
        <v>0</v>
      </c>
      <c r="H302" s="194" t="s">
        <v>10</v>
      </c>
    </row>
    <row r="303" spans="1:8" x14ac:dyDescent="0.25">
      <c r="A303" s="127">
        <v>44807</v>
      </c>
      <c r="B303" s="128" t="s">
        <v>28333</v>
      </c>
      <c r="C303" s="194" t="s">
        <v>4136</v>
      </c>
      <c r="D303" s="195">
        <v>1427.2</v>
      </c>
      <c r="E303" s="196">
        <v>44807</v>
      </c>
      <c r="F303" s="195">
        <v>1427.2</v>
      </c>
      <c r="G303" s="197">
        <f>Tabla110[[#This Row],[Importe]]-Tabla110[[#This Row],[Pagado]]</f>
        <v>0</v>
      </c>
      <c r="H303" s="194" t="s">
        <v>10</v>
      </c>
    </row>
    <row r="304" spans="1:8" x14ac:dyDescent="0.25">
      <c r="A304" s="127">
        <v>44807</v>
      </c>
      <c r="B304" s="128" t="s">
        <v>28334</v>
      </c>
      <c r="C304" s="194" t="s">
        <v>289</v>
      </c>
      <c r="D304" s="195">
        <v>17121</v>
      </c>
      <c r="E304" s="196">
        <v>44807</v>
      </c>
      <c r="F304" s="195">
        <v>17121</v>
      </c>
      <c r="G304" s="197">
        <f>Tabla110[[#This Row],[Importe]]-Tabla110[[#This Row],[Pagado]]</f>
        <v>0</v>
      </c>
      <c r="H304" s="194" t="s">
        <v>10</v>
      </c>
    </row>
    <row r="305" spans="1:8" x14ac:dyDescent="0.25">
      <c r="A305" s="127">
        <v>44807</v>
      </c>
      <c r="B305" s="128" t="s">
        <v>28335</v>
      </c>
      <c r="C305" s="194" t="s">
        <v>3971</v>
      </c>
      <c r="D305" s="195">
        <v>7821</v>
      </c>
      <c r="E305" s="196">
        <v>44807</v>
      </c>
      <c r="F305" s="195">
        <v>7821</v>
      </c>
      <c r="G305" s="197">
        <f>Tabla110[[#This Row],[Importe]]-Tabla110[[#This Row],[Pagado]]</f>
        <v>0</v>
      </c>
      <c r="H305" s="194" t="s">
        <v>10</v>
      </c>
    </row>
    <row r="306" spans="1:8" x14ac:dyDescent="0.25">
      <c r="A306" s="127">
        <v>44807</v>
      </c>
      <c r="B306" s="128" t="s">
        <v>28336</v>
      </c>
      <c r="C306" s="194" t="s">
        <v>9587</v>
      </c>
      <c r="D306" s="195">
        <v>204</v>
      </c>
      <c r="E306" s="196">
        <v>44807</v>
      </c>
      <c r="F306" s="195">
        <v>204</v>
      </c>
      <c r="G306" s="197">
        <f>Tabla110[[#This Row],[Importe]]-Tabla110[[#This Row],[Pagado]]</f>
        <v>0</v>
      </c>
      <c r="H306" s="194" t="s">
        <v>10</v>
      </c>
    </row>
    <row r="307" spans="1:8" x14ac:dyDescent="0.25">
      <c r="A307" s="127">
        <v>44807</v>
      </c>
      <c r="B307" s="128" t="s">
        <v>28337</v>
      </c>
      <c r="C307" s="194" t="s">
        <v>12</v>
      </c>
      <c r="D307" s="195">
        <v>7819.8</v>
      </c>
      <c r="E307" s="196">
        <v>44808</v>
      </c>
      <c r="F307" s="195">
        <v>7819.8</v>
      </c>
      <c r="G307" s="197">
        <f>Tabla110[[#This Row],[Importe]]-Tabla110[[#This Row],[Pagado]]</f>
        <v>0</v>
      </c>
      <c r="H307" s="194" t="s">
        <v>10</v>
      </c>
    </row>
    <row r="308" spans="1:8" x14ac:dyDescent="0.25">
      <c r="A308" s="127">
        <v>44807</v>
      </c>
      <c r="B308" s="128" t="s">
        <v>28338</v>
      </c>
      <c r="C308" s="194" t="s">
        <v>62</v>
      </c>
      <c r="D308" s="195">
        <v>5776</v>
      </c>
      <c r="E308" s="196">
        <v>44807</v>
      </c>
      <c r="F308" s="195">
        <v>5776</v>
      </c>
      <c r="G308" s="197">
        <f>Tabla110[[#This Row],[Importe]]-Tabla110[[#This Row],[Pagado]]</f>
        <v>0</v>
      </c>
      <c r="H308" s="194" t="s">
        <v>10</v>
      </c>
    </row>
    <row r="309" spans="1:8" x14ac:dyDescent="0.25">
      <c r="A309" s="127">
        <v>44807</v>
      </c>
      <c r="B309" s="128" t="s">
        <v>28339</v>
      </c>
      <c r="C309" s="194" t="s">
        <v>2151</v>
      </c>
      <c r="D309" s="195">
        <v>15353.2</v>
      </c>
      <c r="E309" s="196">
        <v>44807</v>
      </c>
      <c r="F309" s="195">
        <v>15353.2</v>
      </c>
      <c r="G309" s="197">
        <f>Tabla110[[#This Row],[Importe]]-Tabla110[[#This Row],[Pagado]]</f>
        <v>0</v>
      </c>
      <c r="H309" s="194" t="s">
        <v>10</v>
      </c>
    </row>
    <row r="310" spans="1:8" x14ac:dyDescent="0.25">
      <c r="A310" s="127">
        <v>44807</v>
      </c>
      <c r="B310" s="128" t="s">
        <v>28340</v>
      </c>
      <c r="C310" s="194" t="s">
        <v>58</v>
      </c>
      <c r="D310" s="195">
        <v>4144.6000000000004</v>
      </c>
      <c r="E310" s="196">
        <v>44807</v>
      </c>
      <c r="F310" s="195">
        <v>4144.6000000000004</v>
      </c>
      <c r="G310" s="197">
        <f>Tabla110[[#This Row],[Importe]]-Tabla110[[#This Row],[Pagado]]</f>
        <v>0</v>
      </c>
      <c r="H310" s="194" t="s">
        <v>10</v>
      </c>
    </row>
    <row r="311" spans="1:8" x14ac:dyDescent="0.25">
      <c r="A311" s="127">
        <v>44807</v>
      </c>
      <c r="B311" s="128" t="s">
        <v>28341</v>
      </c>
      <c r="C311" s="194" t="s">
        <v>555</v>
      </c>
      <c r="D311" s="195">
        <v>23902</v>
      </c>
      <c r="E311" s="196">
        <v>44807</v>
      </c>
      <c r="F311" s="195">
        <v>23902</v>
      </c>
      <c r="G311" s="197">
        <f>Tabla110[[#This Row],[Importe]]-Tabla110[[#This Row],[Pagado]]</f>
        <v>0</v>
      </c>
      <c r="H311" s="194" t="s">
        <v>10</v>
      </c>
    </row>
    <row r="312" spans="1:8" x14ac:dyDescent="0.25">
      <c r="A312" s="127">
        <v>44807</v>
      </c>
      <c r="B312" s="128" t="s">
        <v>28342</v>
      </c>
      <c r="C312" s="194" t="s">
        <v>142</v>
      </c>
      <c r="D312" s="195">
        <v>76677.600000000006</v>
      </c>
      <c r="E312" s="196">
        <v>44847</v>
      </c>
      <c r="F312" s="195">
        <v>76677.600000000006</v>
      </c>
      <c r="G312" s="197">
        <f>Tabla110[[#This Row],[Importe]]-Tabla110[[#This Row],[Pagado]]</f>
        <v>0</v>
      </c>
      <c r="H312" s="194" t="s">
        <v>10</v>
      </c>
    </row>
    <row r="313" spans="1:8" x14ac:dyDescent="0.25">
      <c r="A313" s="127">
        <v>44807</v>
      </c>
      <c r="B313" s="128" t="s">
        <v>28343</v>
      </c>
      <c r="C313" s="194" t="s">
        <v>233</v>
      </c>
      <c r="D313" s="195">
        <v>6013.7</v>
      </c>
      <c r="E313" s="196">
        <v>44807</v>
      </c>
      <c r="F313" s="195">
        <v>6013.7</v>
      </c>
      <c r="G313" s="197">
        <f>Tabla110[[#This Row],[Importe]]-Tabla110[[#This Row],[Pagado]]</f>
        <v>0</v>
      </c>
      <c r="H313" s="194" t="s">
        <v>10</v>
      </c>
    </row>
    <row r="314" spans="1:8" x14ac:dyDescent="0.25">
      <c r="A314" s="127">
        <v>44807</v>
      </c>
      <c r="B314" s="128" t="s">
        <v>28344</v>
      </c>
      <c r="C314" s="194" t="s">
        <v>31</v>
      </c>
      <c r="D314" s="195">
        <v>1490.6</v>
      </c>
      <c r="E314" s="196">
        <v>44807</v>
      </c>
      <c r="F314" s="195">
        <v>1490.6</v>
      </c>
      <c r="G314" s="197">
        <f>Tabla110[[#This Row],[Importe]]-Tabla110[[#This Row],[Pagado]]</f>
        <v>0</v>
      </c>
      <c r="H314" s="194" t="s">
        <v>10</v>
      </c>
    </row>
    <row r="315" spans="1:8" x14ac:dyDescent="0.25">
      <c r="A315" s="127">
        <v>44807</v>
      </c>
      <c r="B315" s="128" t="s">
        <v>28345</v>
      </c>
      <c r="C315" s="194" t="s">
        <v>64</v>
      </c>
      <c r="D315" s="195">
        <v>11349</v>
      </c>
      <c r="E315" s="196">
        <v>44809</v>
      </c>
      <c r="F315" s="195">
        <v>11349</v>
      </c>
      <c r="G315" s="197">
        <f>Tabla110[[#This Row],[Importe]]-Tabla110[[#This Row],[Pagado]]</f>
        <v>0</v>
      </c>
      <c r="H315" s="194" t="s">
        <v>10</v>
      </c>
    </row>
    <row r="316" spans="1:8" x14ac:dyDescent="0.25">
      <c r="A316" s="127">
        <v>44807</v>
      </c>
      <c r="B316" s="128" t="s">
        <v>28346</v>
      </c>
      <c r="C316" s="194" t="s">
        <v>60</v>
      </c>
      <c r="D316" s="195">
        <v>5720</v>
      </c>
      <c r="E316" s="196">
        <v>44811</v>
      </c>
      <c r="F316" s="195">
        <v>5720</v>
      </c>
      <c r="G316" s="197">
        <f>Tabla110[[#This Row],[Importe]]-Tabla110[[#This Row],[Pagado]]</f>
        <v>0</v>
      </c>
      <c r="H316" s="194" t="s">
        <v>10</v>
      </c>
    </row>
    <row r="317" spans="1:8" x14ac:dyDescent="0.25">
      <c r="A317" s="127">
        <v>44807</v>
      </c>
      <c r="B317" s="128" t="s">
        <v>28347</v>
      </c>
      <c r="C317" s="194" t="s">
        <v>51</v>
      </c>
      <c r="D317" s="195">
        <v>4071.3</v>
      </c>
      <c r="E317" s="196">
        <v>44807</v>
      </c>
      <c r="F317" s="195">
        <v>4071.3</v>
      </c>
      <c r="G317" s="197">
        <f>Tabla110[[#This Row],[Importe]]-Tabla110[[#This Row],[Pagado]]</f>
        <v>0</v>
      </c>
      <c r="H317" s="194" t="s">
        <v>10</v>
      </c>
    </row>
    <row r="318" spans="1:8" x14ac:dyDescent="0.25">
      <c r="A318" s="127">
        <v>44807</v>
      </c>
      <c r="B318" s="128" t="s">
        <v>28348</v>
      </c>
      <c r="C318" s="194" t="s">
        <v>51</v>
      </c>
      <c r="D318" s="195">
        <v>2835</v>
      </c>
      <c r="E318" s="196">
        <v>44807</v>
      </c>
      <c r="F318" s="195">
        <v>2835</v>
      </c>
      <c r="G318" s="197">
        <f>Tabla110[[#This Row],[Importe]]-Tabla110[[#This Row],[Pagado]]</f>
        <v>0</v>
      </c>
      <c r="H318" s="194" t="s">
        <v>10</v>
      </c>
    </row>
    <row r="319" spans="1:8" x14ac:dyDescent="0.25">
      <c r="A319" s="127">
        <v>44807</v>
      </c>
      <c r="B319" s="128" t="s">
        <v>28349</v>
      </c>
      <c r="C319" s="194" t="s">
        <v>24284</v>
      </c>
      <c r="D319" s="195">
        <v>1834</v>
      </c>
      <c r="E319" s="196">
        <v>44807</v>
      </c>
      <c r="F319" s="195">
        <v>1834</v>
      </c>
      <c r="G319" s="197">
        <f>Tabla110[[#This Row],[Importe]]-Tabla110[[#This Row],[Pagado]]</f>
        <v>0</v>
      </c>
      <c r="H319" s="194" t="s">
        <v>10</v>
      </c>
    </row>
    <row r="320" spans="1:8" x14ac:dyDescent="0.25">
      <c r="A320" s="127">
        <v>44807</v>
      </c>
      <c r="B320" s="128" t="s">
        <v>28350</v>
      </c>
      <c r="C320" s="194" t="s">
        <v>9827</v>
      </c>
      <c r="D320" s="195">
        <v>5243</v>
      </c>
      <c r="E320" s="196">
        <v>44807</v>
      </c>
      <c r="F320" s="195">
        <v>5243</v>
      </c>
      <c r="G320" s="197">
        <f>Tabla110[[#This Row],[Importe]]-Tabla110[[#This Row],[Pagado]]</f>
        <v>0</v>
      </c>
      <c r="H320" s="194" t="s">
        <v>10</v>
      </c>
    </row>
    <row r="321" spans="1:8" x14ac:dyDescent="0.25">
      <c r="A321" s="127">
        <v>44807</v>
      </c>
      <c r="B321" s="128" t="s">
        <v>28351</v>
      </c>
      <c r="C321" s="194" t="s">
        <v>296</v>
      </c>
      <c r="D321" s="195">
        <v>4637.6000000000004</v>
      </c>
      <c r="E321" s="196">
        <v>44807</v>
      </c>
      <c r="F321" s="195">
        <v>4637.6000000000004</v>
      </c>
      <c r="G321" s="197">
        <f>Tabla110[[#This Row],[Importe]]-Tabla110[[#This Row],[Pagado]]</f>
        <v>0</v>
      </c>
      <c r="H321" s="194" t="s">
        <v>10</v>
      </c>
    </row>
    <row r="322" spans="1:8" x14ac:dyDescent="0.25">
      <c r="A322" s="127">
        <v>44807</v>
      </c>
      <c r="B322" s="128" t="s">
        <v>28352</v>
      </c>
      <c r="C322" s="194" t="s">
        <v>53</v>
      </c>
      <c r="D322" s="195">
        <v>2570.4</v>
      </c>
      <c r="E322" s="196">
        <v>44807</v>
      </c>
      <c r="F322" s="195">
        <v>2570.4</v>
      </c>
      <c r="G322" s="197">
        <f>Tabla110[[#This Row],[Importe]]-Tabla110[[#This Row],[Pagado]]</f>
        <v>0</v>
      </c>
      <c r="H322" s="194" t="s">
        <v>10</v>
      </c>
    </row>
    <row r="323" spans="1:8" x14ac:dyDescent="0.25">
      <c r="A323" s="127">
        <v>44807</v>
      </c>
      <c r="B323" s="128" t="s">
        <v>28353</v>
      </c>
      <c r="C323" s="194" t="s">
        <v>421</v>
      </c>
      <c r="D323" s="195">
        <v>7530.8</v>
      </c>
      <c r="E323" s="196">
        <v>44807</v>
      </c>
      <c r="F323" s="195">
        <v>7530.8</v>
      </c>
      <c r="G323" s="197">
        <f>Tabla110[[#This Row],[Importe]]-Tabla110[[#This Row],[Pagado]]</f>
        <v>0</v>
      </c>
      <c r="H323" s="194" t="s">
        <v>10</v>
      </c>
    </row>
    <row r="324" spans="1:8" x14ac:dyDescent="0.25">
      <c r="A324" s="127">
        <v>44807</v>
      </c>
      <c r="B324" s="128" t="s">
        <v>28354</v>
      </c>
      <c r="C324" s="194" t="s">
        <v>670</v>
      </c>
      <c r="D324" s="195">
        <v>5044.3</v>
      </c>
      <c r="E324" s="196">
        <v>44809</v>
      </c>
      <c r="F324" s="195">
        <v>5044.3</v>
      </c>
      <c r="G324" s="197">
        <f>Tabla110[[#This Row],[Importe]]-Tabla110[[#This Row],[Pagado]]</f>
        <v>0</v>
      </c>
      <c r="H324" s="194" t="s">
        <v>10</v>
      </c>
    </row>
    <row r="325" spans="1:8" x14ac:dyDescent="0.25">
      <c r="A325" s="127">
        <v>44807</v>
      </c>
      <c r="B325" s="128" t="s">
        <v>28355</v>
      </c>
      <c r="C325" s="194" t="s">
        <v>1313</v>
      </c>
      <c r="D325" s="195">
        <v>4522</v>
      </c>
      <c r="E325" s="196">
        <v>44807</v>
      </c>
      <c r="F325" s="195">
        <v>4522</v>
      </c>
      <c r="G325" s="197">
        <f>Tabla110[[#This Row],[Importe]]-Tabla110[[#This Row],[Pagado]]</f>
        <v>0</v>
      </c>
      <c r="H325" s="194" t="s">
        <v>10</v>
      </c>
    </row>
    <row r="326" spans="1:8" x14ac:dyDescent="0.25">
      <c r="A326" s="127">
        <v>44807</v>
      </c>
      <c r="B326" s="128" t="s">
        <v>28356</v>
      </c>
      <c r="C326" s="194" t="s">
        <v>16</v>
      </c>
      <c r="D326" s="195">
        <v>128</v>
      </c>
      <c r="E326" s="196">
        <v>44807</v>
      </c>
      <c r="F326" s="195">
        <v>128</v>
      </c>
      <c r="G326" s="197">
        <f>Tabla110[[#This Row],[Importe]]-Tabla110[[#This Row],[Pagado]]</f>
        <v>0</v>
      </c>
      <c r="H326" s="194" t="s">
        <v>10</v>
      </c>
    </row>
    <row r="327" spans="1:8" x14ac:dyDescent="0.25">
      <c r="A327" s="127">
        <v>44807</v>
      </c>
      <c r="B327" s="128" t="s">
        <v>28357</v>
      </c>
      <c r="C327" s="194" t="s">
        <v>226</v>
      </c>
      <c r="D327" s="195">
        <v>12717.4</v>
      </c>
      <c r="E327" s="196">
        <v>44807</v>
      </c>
      <c r="F327" s="195">
        <v>12717.4</v>
      </c>
      <c r="G327" s="197">
        <f>Tabla110[[#This Row],[Importe]]-Tabla110[[#This Row],[Pagado]]</f>
        <v>0</v>
      </c>
      <c r="H327" s="194" t="s">
        <v>10</v>
      </c>
    </row>
    <row r="328" spans="1:8" x14ac:dyDescent="0.25">
      <c r="A328" s="127">
        <v>44807</v>
      </c>
      <c r="B328" s="128" t="s">
        <v>28358</v>
      </c>
      <c r="C328" s="194" t="s">
        <v>67</v>
      </c>
      <c r="D328" s="195">
        <v>1372</v>
      </c>
      <c r="E328" s="196">
        <v>44807</v>
      </c>
      <c r="F328" s="195">
        <v>1372</v>
      </c>
      <c r="G328" s="197">
        <f>Tabla110[[#This Row],[Importe]]-Tabla110[[#This Row],[Pagado]]</f>
        <v>0</v>
      </c>
      <c r="H328" s="194" t="s">
        <v>10</v>
      </c>
    </row>
    <row r="329" spans="1:8" x14ac:dyDescent="0.25">
      <c r="A329" s="127">
        <v>44807</v>
      </c>
      <c r="B329" s="128" t="s">
        <v>28359</v>
      </c>
      <c r="C329" s="194" t="s">
        <v>484</v>
      </c>
      <c r="D329" s="195">
        <v>4380</v>
      </c>
      <c r="E329" s="196">
        <v>44807</v>
      </c>
      <c r="F329" s="195">
        <v>4380</v>
      </c>
      <c r="G329" s="197">
        <f>Tabla110[[#This Row],[Importe]]-Tabla110[[#This Row],[Pagado]]</f>
        <v>0</v>
      </c>
      <c r="H329" s="194" t="s">
        <v>10</v>
      </c>
    </row>
    <row r="330" spans="1:8" x14ac:dyDescent="0.25">
      <c r="A330" s="127">
        <v>44807</v>
      </c>
      <c r="B330" s="128" t="s">
        <v>28360</v>
      </c>
      <c r="C330" s="194" t="s">
        <v>31</v>
      </c>
      <c r="D330" s="195">
        <v>4132.8</v>
      </c>
      <c r="E330" s="196">
        <v>44807</v>
      </c>
      <c r="F330" s="195">
        <v>4132.8</v>
      </c>
      <c r="G330" s="197">
        <f>Tabla110[[#This Row],[Importe]]-Tabla110[[#This Row],[Pagado]]</f>
        <v>0</v>
      </c>
      <c r="H330" s="194" t="s">
        <v>10</v>
      </c>
    </row>
    <row r="331" spans="1:8" x14ac:dyDescent="0.25">
      <c r="A331" s="127">
        <v>44807</v>
      </c>
      <c r="B331" s="128" t="s">
        <v>28361</v>
      </c>
      <c r="C331" s="194" t="s">
        <v>484</v>
      </c>
      <c r="D331" s="195">
        <v>1248</v>
      </c>
      <c r="E331" s="196">
        <v>44807</v>
      </c>
      <c r="F331" s="195">
        <v>1248</v>
      </c>
      <c r="G331" s="197">
        <f>Tabla110[[#This Row],[Importe]]-Tabla110[[#This Row],[Pagado]]</f>
        <v>0</v>
      </c>
      <c r="H331" s="194" t="s">
        <v>10</v>
      </c>
    </row>
    <row r="332" spans="1:8" x14ac:dyDescent="0.25">
      <c r="A332" s="127">
        <v>44807</v>
      </c>
      <c r="B332" s="128" t="s">
        <v>28362</v>
      </c>
      <c r="C332" s="194" t="s">
        <v>31</v>
      </c>
      <c r="D332" s="195">
        <v>1968.4</v>
      </c>
      <c r="E332" s="196">
        <v>44807</v>
      </c>
      <c r="F332" s="195">
        <v>1968.4</v>
      </c>
      <c r="G332" s="197">
        <f>Tabla110[[#This Row],[Importe]]-Tabla110[[#This Row],[Pagado]]</f>
        <v>0</v>
      </c>
      <c r="H332" s="194" t="s">
        <v>10</v>
      </c>
    </row>
    <row r="333" spans="1:8" x14ac:dyDescent="0.25">
      <c r="A333" s="127">
        <v>44807</v>
      </c>
      <c r="B333" s="128" t="s">
        <v>28363</v>
      </c>
      <c r="C333" s="194" t="s">
        <v>181</v>
      </c>
      <c r="D333" s="195">
        <v>17383.400000000001</v>
      </c>
      <c r="E333" s="196">
        <v>44807</v>
      </c>
      <c r="F333" s="195">
        <v>17383.400000000001</v>
      </c>
      <c r="G333" s="197">
        <f>Tabla110[[#This Row],[Importe]]-Tabla110[[#This Row],[Pagado]]</f>
        <v>0</v>
      </c>
      <c r="H333" s="194" t="s">
        <v>10</v>
      </c>
    </row>
    <row r="334" spans="1:8" x14ac:dyDescent="0.25">
      <c r="A334" s="127">
        <v>44807</v>
      </c>
      <c r="B334" s="128" t="s">
        <v>28364</v>
      </c>
      <c r="C334" s="194" t="s">
        <v>200</v>
      </c>
      <c r="D334" s="195">
        <v>2051</v>
      </c>
      <c r="E334" s="196">
        <v>44807</v>
      </c>
      <c r="F334" s="195">
        <v>2051</v>
      </c>
      <c r="G334" s="197">
        <f>Tabla110[[#This Row],[Importe]]-Tabla110[[#This Row],[Pagado]]</f>
        <v>0</v>
      </c>
      <c r="H334" s="194" t="s">
        <v>10</v>
      </c>
    </row>
    <row r="335" spans="1:8" x14ac:dyDescent="0.25">
      <c r="A335" s="127">
        <v>44807</v>
      </c>
      <c r="B335" s="128" t="s">
        <v>28365</v>
      </c>
      <c r="C335" s="194" t="s">
        <v>520</v>
      </c>
      <c r="D335" s="195">
        <v>12126.4</v>
      </c>
      <c r="E335" s="196">
        <v>44808</v>
      </c>
      <c r="F335" s="195">
        <v>12126.4</v>
      </c>
      <c r="G335" s="197">
        <f>Tabla110[[#This Row],[Importe]]-Tabla110[[#This Row],[Pagado]]</f>
        <v>0</v>
      </c>
      <c r="H335" s="194" t="s">
        <v>10</v>
      </c>
    </row>
    <row r="336" spans="1:8" x14ac:dyDescent="0.25">
      <c r="A336" s="127">
        <v>44807</v>
      </c>
      <c r="B336" s="128" t="s">
        <v>28366</v>
      </c>
      <c r="C336" s="194" t="s">
        <v>2139</v>
      </c>
      <c r="D336" s="195">
        <v>6706</v>
      </c>
      <c r="E336" s="196">
        <v>44807</v>
      </c>
      <c r="F336" s="195">
        <v>6706</v>
      </c>
      <c r="G336" s="197">
        <f>Tabla110[[#This Row],[Importe]]-Tabla110[[#This Row],[Pagado]]</f>
        <v>0</v>
      </c>
      <c r="H336" s="194" t="s">
        <v>10</v>
      </c>
    </row>
    <row r="337" spans="1:8" x14ac:dyDescent="0.25">
      <c r="A337" s="127">
        <v>44807</v>
      </c>
      <c r="B337" s="128" t="s">
        <v>28367</v>
      </c>
      <c r="C337" s="194" t="s">
        <v>159</v>
      </c>
      <c r="D337" s="195">
        <v>2208.6</v>
      </c>
      <c r="E337" s="196">
        <v>44808</v>
      </c>
      <c r="F337" s="195">
        <v>2208.6</v>
      </c>
      <c r="G337" s="197">
        <f>Tabla110[[#This Row],[Importe]]-Tabla110[[#This Row],[Pagado]]</f>
        <v>0</v>
      </c>
      <c r="H337" s="194" t="s">
        <v>10</v>
      </c>
    </row>
    <row r="338" spans="1:8" x14ac:dyDescent="0.25">
      <c r="A338" s="127">
        <v>44807</v>
      </c>
      <c r="B338" s="128" t="s">
        <v>28368</v>
      </c>
      <c r="C338" s="194" t="s">
        <v>319</v>
      </c>
      <c r="D338" s="195">
        <v>14116.5</v>
      </c>
      <c r="E338" s="196">
        <v>44808</v>
      </c>
      <c r="F338" s="195">
        <v>14116.5</v>
      </c>
      <c r="G338" s="197">
        <f>Tabla110[[#This Row],[Importe]]-Tabla110[[#This Row],[Pagado]]</f>
        <v>0</v>
      </c>
      <c r="H338" s="194" t="s">
        <v>10</v>
      </c>
    </row>
    <row r="339" spans="1:8" x14ac:dyDescent="0.25">
      <c r="A339" s="127">
        <v>44807</v>
      </c>
      <c r="B339" s="128" t="s">
        <v>28369</v>
      </c>
      <c r="C339" s="194" t="s">
        <v>175</v>
      </c>
      <c r="D339" s="195">
        <v>36021.5</v>
      </c>
      <c r="E339" s="196">
        <v>44807</v>
      </c>
      <c r="F339" s="195">
        <v>36021.5</v>
      </c>
      <c r="G339" s="197">
        <f>Tabla110[[#This Row],[Importe]]-Tabla110[[#This Row],[Pagado]]</f>
        <v>0</v>
      </c>
      <c r="H339" s="194" t="s">
        <v>10</v>
      </c>
    </row>
    <row r="340" spans="1:8" x14ac:dyDescent="0.25">
      <c r="A340" s="127">
        <v>44807</v>
      </c>
      <c r="B340" s="128" t="s">
        <v>28370</v>
      </c>
      <c r="C340" s="194" t="s">
        <v>157</v>
      </c>
      <c r="D340" s="195">
        <v>4785.3999999999996</v>
      </c>
      <c r="E340" s="196">
        <v>44808</v>
      </c>
      <c r="F340" s="195">
        <v>4785.3999999999996</v>
      </c>
      <c r="G340" s="197">
        <f>Tabla110[[#This Row],[Importe]]-Tabla110[[#This Row],[Pagado]]</f>
        <v>0</v>
      </c>
      <c r="H340" s="194" t="s">
        <v>10</v>
      </c>
    </row>
    <row r="341" spans="1:8" x14ac:dyDescent="0.25">
      <c r="A341" s="127">
        <v>44807</v>
      </c>
      <c r="B341" s="128" t="s">
        <v>28371</v>
      </c>
      <c r="C341" s="194" t="s">
        <v>518</v>
      </c>
      <c r="D341" s="195">
        <v>1296</v>
      </c>
      <c r="E341" s="196">
        <v>44808</v>
      </c>
      <c r="F341" s="195">
        <v>1296</v>
      </c>
      <c r="G341" s="197">
        <f>Tabla110[[#This Row],[Importe]]-Tabla110[[#This Row],[Pagado]]</f>
        <v>0</v>
      </c>
      <c r="H341" s="194" t="s">
        <v>10</v>
      </c>
    </row>
    <row r="342" spans="1:8" x14ac:dyDescent="0.25">
      <c r="A342" s="127">
        <v>44807</v>
      </c>
      <c r="B342" s="128" t="s">
        <v>28372</v>
      </c>
      <c r="C342" s="194" t="s">
        <v>525</v>
      </c>
      <c r="D342" s="195">
        <v>7422.5</v>
      </c>
      <c r="E342" s="196">
        <v>44808</v>
      </c>
      <c r="F342" s="195">
        <v>7422.5</v>
      </c>
      <c r="G342" s="197">
        <f>Tabla110[[#This Row],[Importe]]-Tabla110[[#This Row],[Pagado]]</f>
        <v>0</v>
      </c>
      <c r="H342" s="194" t="s">
        <v>10</v>
      </c>
    </row>
    <row r="343" spans="1:8" x14ac:dyDescent="0.25">
      <c r="A343" s="127">
        <v>44807</v>
      </c>
      <c r="B343" s="128" t="s">
        <v>28373</v>
      </c>
      <c r="C343" s="194" t="s">
        <v>518</v>
      </c>
      <c r="D343" s="195">
        <v>2656.8</v>
      </c>
      <c r="E343" s="196">
        <v>44808</v>
      </c>
      <c r="F343" s="195">
        <v>2656.8</v>
      </c>
      <c r="G343" s="197">
        <f>Tabla110[[#This Row],[Importe]]-Tabla110[[#This Row],[Pagado]]</f>
        <v>0</v>
      </c>
      <c r="H343" s="194" t="s">
        <v>10</v>
      </c>
    </row>
    <row r="344" spans="1:8" x14ac:dyDescent="0.25">
      <c r="A344" s="127">
        <v>44807</v>
      </c>
      <c r="B344" s="128" t="s">
        <v>28374</v>
      </c>
      <c r="C344" s="194" t="s">
        <v>151</v>
      </c>
      <c r="D344" s="195">
        <v>9514.7999999999993</v>
      </c>
      <c r="E344" s="196">
        <v>44808</v>
      </c>
      <c r="F344" s="195">
        <v>9514.7999999999993</v>
      </c>
      <c r="G344" s="197">
        <f>Tabla110[[#This Row],[Importe]]-Tabla110[[#This Row],[Pagado]]</f>
        <v>0</v>
      </c>
      <c r="H344" s="194" t="s">
        <v>10</v>
      </c>
    </row>
    <row r="345" spans="1:8" x14ac:dyDescent="0.25">
      <c r="A345" s="127">
        <v>44807</v>
      </c>
      <c r="B345" s="128" t="s">
        <v>28375</v>
      </c>
      <c r="C345" s="194" t="s">
        <v>157</v>
      </c>
      <c r="D345" s="195">
        <v>1673.1</v>
      </c>
      <c r="E345" s="196">
        <v>44808</v>
      </c>
      <c r="F345" s="195">
        <v>1673.1</v>
      </c>
      <c r="G345" s="197">
        <f>Tabla110[[#This Row],[Importe]]-Tabla110[[#This Row],[Pagado]]</f>
        <v>0</v>
      </c>
      <c r="H345" s="194" t="s">
        <v>10</v>
      </c>
    </row>
    <row r="346" spans="1:8" x14ac:dyDescent="0.25">
      <c r="A346" s="127">
        <v>44807</v>
      </c>
      <c r="B346" s="128" t="s">
        <v>28376</v>
      </c>
      <c r="C346" s="194" t="s">
        <v>966</v>
      </c>
      <c r="D346" s="195">
        <v>8115.8</v>
      </c>
      <c r="E346" s="196">
        <v>44808</v>
      </c>
      <c r="F346" s="195">
        <v>8115.8</v>
      </c>
      <c r="G346" s="197">
        <f>Tabla110[[#This Row],[Importe]]-Tabla110[[#This Row],[Pagado]]</f>
        <v>0</v>
      </c>
      <c r="H346" s="194" t="s">
        <v>10</v>
      </c>
    </row>
    <row r="347" spans="1:8" x14ac:dyDescent="0.25">
      <c r="A347" s="127">
        <v>44807</v>
      </c>
      <c r="B347" s="128" t="s">
        <v>28377</v>
      </c>
      <c r="C347" s="194" t="s">
        <v>214</v>
      </c>
      <c r="D347" s="195">
        <v>1820</v>
      </c>
      <c r="E347" s="196">
        <v>44807</v>
      </c>
      <c r="F347" s="195">
        <v>1820</v>
      </c>
      <c r="G347" s="197">
        <f>Tabla110[[#This Row],[Importe]]-Tabla110[[#This Row],[Pagado]]</f>
        <v>0</v>
      </c>
      <c r="H347" s="194" t="s">
        <v>10</v>
      </c>
    </row>
    <row r="348" spans="1:8" x14ac:dyDescent="0.25">
      <c r="A348" s="127">
        <v>44807</v>
      </c>
      <c r="B348" s="128" t="s">
        <v>28378</v>
      </c>
      <c r="C348" s="194" t="s">
        <v>31</v>
      </c>
      <c r="D348" s="195">
        <v>6486.2</v>
      </c>
      <c r="E348" s="196">
        <v>44807</v>
      </c>
      <c r="F348" s="195">
        <v>6486.2</v>
      </c>
      <c r="G348" s="197">
        <f>Tabla110[[#This Row],[Importe]]-Tabla110[[#This Row],[Pagado]]</f>
        <v>0</v>
      </c>
      <c r="H348" s="194" t="s">
        <v>10</v>
      </c>
    </row>
    <row r="349" spans="1:8" x14ac:dyDescent="0.25">
      <c r="A349" s="127">
        <v>44807</v>
      </c>
      <c r="B349" s="128" t="s">
        <v>28379</v>
      </c>
      <c r="C349" s="194" t="s">
        <v>62</v>
      </c>
      <c r="D349" s="195">
        <v>2504</v>
      </c>
      <c r="E349" s="196">
        <v>44807</v>
      </c>
      <c r="F349" s="195">
        <v>2504</v>
      </c>
      <c r="G349" s="197">
        <f>Tabla110[[#This Row],[Importe]]-Tabla110[[#This Row],[Pagado]]</f>
        <v>0</v>
      </c>
      <c r="H349" s="194" t="s">
        <v>10</v>
      </c>
    </row>
    <row r="350" spans="1:8" x14ac:dyDescent="0.25">
      <c r="A350" s="127">
        <v>44807</v>
      </c>
      <c r="B350" s="128" t="s">
        <v>28380</v>
      </c>
      <c r="C350" s="194" t="s">
        <v>10190</v>
      </c>
      <c r="D350" s="195">
        <v>26291.4</v>
      </c>
      <c r="E350" s="196">
        <v>44808</v>
      </c>
      <c r="F350" s="195">
        <v>26291.4</v>
      </c>
      <c r="G350" s="197">
        <f>Tabla110[[#This Row],[Importe]]-Tabla110[[#This Row],[Pagado]]</f>
        <v>0</v>
      </c>
      <c r="H350" s="194" t="s">
        <v>10</v>
      </c>
    </row>
    <row r="351" spans="1:8" x14ac:dyDescent="0.25">
      <c r="A351" s="127">
        <v>44807</v>
      </c>
      <c r="B351" s="128" t="s">
        <v>28381</v>
      </c>
      <c r="C351" s="194" t="s">
        <v>28087</v>
      </c>
      <c r="D351" s="195">
        <v>137091.03</v>
      </c>
      <c r="E351" s="196">
        <v>44893</v>
      </c>
      <c r="F351" s="195">
        <v>137091.03</v>
      </c>
      <c r="G351" s="197">
        <f>Tabla110[[#This Row],[Importe]]-Tabla110[[#This Row],[Pagado]]</f>
        <v>0</v>
      </c>
      <c r="H351" s="78" t="s">
        <v>17776</v>
      </c>
    </row>
    <row r="352" spans="1:8" x14ac:dyDescent="0.25">
      <c r="A352" s="127">
        <v>44807</v>
      </c>
      <c r="B352" s="128" t="s">
        <v>28382</v>
      </c>
      <c r="C352" s="194" t="s">
        <v>407</v>
      </c>
      <c r="D352" s="195">
        <v>39757</v>
      </c>
      <c r="E352" s="196">
        <v>44812</v>
      </c>
      <c r="F352" s="195">
        <v>39757</v>
      </c>
      <c r="G352" s="197">
        <f>Tabla110[[#This Row],[Importe]]-Tabla110[[#This Row],[Pagado]]</f>
        <v>0</v>
      </c>
      <c r="H352" s="194" t="s">
        <v>10</v>
      </c>
    </row>
    <row r="353" spans="1:8" x14ac:dyDescent="0.25">
      <c r="A353" s="127">
        <v>44807</v>
      </c>
      <c r="B353" s="128" t="s">
        <v>28383</v>
      </c>
      <c r="C353" s="194" t="s">
        <v>31</v>
      </c>
      <c r="D353" s="195">
        <v>11352</v>
      </c>
      <c r="E353" s="196">
        <v>44807</v>
      </c>
      <c r="F353" s="195">
        <v>11352</v>
      </c>
      <c r="G353" s="197">
        <f>Tabla110[[#This Row],[Importe]]-Tabla110[[#This Row],[Pagado]]</f>
        <v>0</v>
      </c>
      <c r="H353" s="194" t="s">
        <v>10</v>
      </c>
    </row>
    <row r="354" spans="1:8" x14ac:dyDescent="0.25">
      <c r="A354" s="127">
        <v>44807</v>
      </c>
      <c r="B354" s="128" t="s">
        <v>28384</v>
      </c>
      <c r="C354" s="194" t="s">
        <v>857</v>
      </c>
      <c r="D354" s="195">
        <v>3105.4</v>
      </c>
      <c r="E354" s="196">
        <v>44807</v>
      </c>
      <c r="F354" s="195">
        <v>3105.4</v>
      </c>
      <c r="G354" s="197">
        <f>Tabla110[[#This Row],[Importe]]-Tabla110[[#This Row],[Pagado]]</f>
        <v>0</v>
      </c>
      <c r="H354" s="194" t="s">
        <v>10</v>
      </c>
    </row>
    <row r="355" spans="1:8" x14ac:dyDescent="0.25">
      <c r="A355" s="127">
        <v>44807</v>
      </c>
      <c r="B355" s="128" t="s">
        <v>28385</v>
      </c>
      <c r="C355" s="194" t="s">
        <v>14</v>
      </c>
      <c r="D355" s="195">
        <v>22060.6</v>
      </c>
      <c r="E355" s="196">
        <v>44807</v>
      </c>
      <c r="F355" s="195">
        <v>22060.6</v>
      </c>
      <c r="G355" s="197">
        <f>Tabla110[[#This Row],[Importe]]-Tabla110[[#This Row],[Pagado]]</f>
        <v>0</v>
      </c>
      <c r="H355" s="194" t="s">
        <v>10</v>
      </c>
    </row>
    <row r="356" spans="1:8" x14ac:dyDescent="0.25">
      <c r="A356" s="127">
        <v>44807</v>
      </c>
      <c r="B356" s="128" t="s">
        <v>28386</v>
      </c>
      <c r="C356" s="194" t="s">
        <v>875</v>
      </c>
      <c r="D356" s="195">
        <v>51410.2</v>
      </c>
      <c r="E356" s="196">
        <v>44808</v>
      </c>
      <c r="F356" s="195">
        <v>51410.2</v>
      </c>
      <c r="G356" s="197">
        <f>Tabla110[[#This Row],[Importe]]-Tabla110[[#This Row],[Pagado]]</f>
        <v>0</v>
      </c>
      <c r="H356" s="194" t="s">
        <v>10</v>
      </c>
    </row>
    <row r="357" spans="1:8" x14ac:dyDescent="0.25">
      <c r="A357" s="127">
        <v>44807</v>
      </c>
      <c r="B357" s="128" t="s">
        <v>28387</v>
      </c>
      <c r="C357" s="194" t="s">
        <v>1706</v>
      </c>
      <c r="D357" s="195">
        <v>4342</v>
      </c>
      <c r="E357" s="196">
        <v>44807</v>
      </c>
      <c r="F357" s="195">
        <v>4342</v>
      </c>
      <c r="G357" s="197">
        <f>Tabla110[[#This Row],[Importe]]-Tabla110[[#This Row],[Pagado]]</f>
        <v>0</v>
      </c>
      <c r="H357" s="194" t="s">
        <v>10</v>
      </c>
    </row>
    <row r="358" spans="1:8" x14ac:dyDescent="0.25">
      <c r="A358" s="127">
        <v>44807</v>
      </c>
      <c r="B358" s="128" t="s">
        <v>28388</v>
      </c>
      <c r="C358" s="194" t="s">
        <v>5345</v>
      </c>
      <c r="D358" s="195">
        <v>3031</v>
      </c>
      <c r="E358" s="196">
        <v>44808</v>
      </c>
      <c r="F358" s="195">
        <v>3031</v>
      </c>
      <c r="G358" s="197">
        <f>Tabla110[[#This Row],[Importe]]-Tabla110[[#This Row],[Pagado]]</f>
        <v>0</v>
      </c>
      <c r="H358" s="194" t="s">
        <v>10</v>
      </c>
    </row>
    <row r="359" spans="1:8" x14ac:dyDescent="0.25">
      <c r="A359" s="127">
        <v>44807</v>
      </c>
      <c r="B359" s="128" t="s">
        <v>28389</v>
      </c>
      <c r="C359" s="194" t="s">
        <v>10819</v>
      </c>
      <c r="D359" s="195">
        <v>2577</v>
      </c>
      <c r="E359" s="196">
        <v>44808</v>
      </c>
      <c r="F359" s="195">
        <v>2577</v>
      </c>
      <c r="G359" s="197">
        <f>Tabla110[[#This Row],[Importe]]-Tabla110[[#This Row],[Pagado]]</f>
        <v>0</v>
      </c>
      <c r="H359" s="194" t="s">
        <v>10</v>
      </c>
    </row>
    <row r="360" spans="1:8" x14ac:dyDescent="0.25">
      <c r="A360" s="127">
        <v>44807</v>
      </c>
      <c r="B360" s="128" t="s">
        <v>28390</v>
      </c>
      <c r="C360" s="194" t="s">
        <v>280</v>
      </c>
      <c r="D360" s="195">
        <v>1813</v>
      </c>
      <c r="E360" s="196">
        <v>44808</v>
      </c>
      <c r="F360" s="195">
        <v>1813</v>
      </c>
      <c r="G360" s="197">
        <f>Tabla110[[#This Row],[Importe]]-Tabla110[[#This Row],[Pagado]]</f>
        <v>0</v>
      </c>
      <c r="H360" s="194" t="s">
        <v>10</v>
      </c>
    </row>
    <row r="361" spans="1:8" x14ac:dyDescent="0.25">
      <c r="A361" s="127">
        <v>44807</v>
      </c>
      <c r="B361" s="128" t="s">
        <v>28391</v>
      </c>
      <c r="C361" s="194" t="s">
        <v>31</v>
      </c>
      <c r="D361" s="195">
        <v>1620</v>
      </c>
      <c r="E361" s="196">
        <v>44807</v>
      </c>
      <c r="F361" s="195">
        <v>1620</v>
      </c>
      <c r="G361" s="197">
        <f>Tabla110[[#This Row],[Importe]]-Tabla110[[#This Row],[Pagado]]</f>
        <v>0</v>
      </c>
      <c r="H361" s="194" t="s">
        <v>10</v>
      </c>
    </row>
    <row r="362" spans="1:8" x14ac:dyDescent="0.25">
      <c r="A362" s="127">
        <v>44807</v>
      </c>
      <c r="B362" s="128" t="s">
        <v>28392</v>
      </c>
      <c r="C362" s="194" t="s">
        <v>2151</v>
      </c>
      <c r="D362" s="195">
        <v>10632.4</v>
      </c>
      <c r="E362" s="196">
        <v>44807</v>
      </c>
      <c r="F362" s="195">
        <v>10632.4</v>
      </c>
      <c r="G362" s="197">
        <f>Tabla110[[#This Row],[Importe]]-Tabla110[[#This Row],[Pagado]]</f>
        <v>0</v>
      </c>
      <c r="H362" s="194" t="s">
        <v>10</v>
      </c>
    </row>
    <row r="363" spans="1:8" x14ac:dyDescent="0.25">
      <c r="A363" s="127">
        <v>44807</v>
      </c>
      <c r="B363" s="128" t="s">
        <v>28393</v>
      </c>
      <c r="C363" s="194" t="s">
        <v>282</v>
      </c>
      <c r="D363" s="195">
        <v>1246</v>
      </c>
      <c r="E363" s="196">
        <v>44808</v>
      </c>
      <c r="F363" s="195">
        <v>1246</v>
      </c>
      <c r="G363" s="197">
        <f>Tabla110[[#This Row],[Importe]]-Tabla110[[#This Row],[Pagado]]</f>
        <v>0</v>
      </c>
      <c r="H363" s="194" t="s">
        <v>10</v>
      </c>
    </row>
    <row r="364" spans="1:8" x14ac:dyDescent="0.25">
      <c r="A364" s="127">
        <v>44807</v>
      </c>
      <c r="B364" s="128" t="s">
        <v>28394</v>
      </c>
      <c r="C364" s="194" t="s">
        <v>284</v>
      </c>
      <c r="D364" s="195">
        <v>14098</v>
      </c>
      <c r="E364" s="196">
        <v>44808</v>
      </c>
      <c r="F364" s="195">
        <v>14098</v>
      </c>
      <c r="G364" s="197">
        <f>Tabla110[[#This Row],[Importe]]-Tabla110[[#This Row],[Pagado]]</f>
        <v>0</v>
      </c>
      <c r="H364" s="194" t="s">
        <v>10</v>
      </c>
    </row>
    <row r="365" spans="1:8" x14ac:dyDescent="0.25">
      <c r="A365" s="127">
        <v>44807</v>
      </c>
      <c r="B365" s="128" t="s">
        <v>28395</v>
      </c>
      <c r="C365" s="194" t="s">
        <v>69</v>
      </c>
      <c r="D365" s="195">
        <v>1598</v>
      </c>
      <c r="E365" s="196">
        <v>44807</v>
      </c>
      <c r="F365" s="195">
        <v>1598</v>
      </c>
      <c r="G365" s="197">
        <f>Tabla110[[#This Row],[Importe]]-Tabla110[[#This Row],[Pagado]]</f>
        <v>0</v>
      </c>
      <c r="H365" s="194" t="s">
        <v>10</v>
      </c>
    </row>
    <row r="366" spans="1:8" x14ac:dyDescent="0.25">
      <c r="A366" s="127">
        <v>44807</v>
      </c>
      <c r="B366" s="128" t="s">
        <v>28396</v>
      </c>
      <c r="C366" s="194" t="s">
        <v>16</v>
      </c>
      <c r="D366" s="195">
        <v>1560.6</v>
      </c>
      <c r="E366" s="196">
        <v>44807</v>
      </c>
      <c r="F366" s="195">
        <v>1560.6</v>
      </c>
      <c r="G366" s="197">
        <f>Tabla110[[#This Row],[Importe]]-Tabla110[[#This Row],[Pagado]]</f>
        <v>0</v>
      </c>
      <c r="H366" s="194" t="s">
        <v>10</v>
      </c>
    </row>
    <row r="367" spans="1:8" x14ac:dyDescent="0.25">
      <c r="A367" s="127">
        <v>44807</v>
      </c>
      <c r="B367" s="128" t="s">
        <v>28397</v>
      </c>
      <c r="C367" s="194" t="s">
        <v>1421</v>
      </c>
      <c r="D367" s="195">
        <v>65505</v>
      </c>
      <c r="E367" s="196">
        <v>44807</v>
      </c>
      <c r="F367" s="195">
        <v>65505</v>
      </c>
      <c r="G367" s="197">
        <f>Tabla110[[#This Row],[Importe]]-Tabla110[[#This Row],[Pagado]]</f>
        <v>0</v>
      </c>
      <c r="H367" s="194" t="s">
        <v>10</v>
      </c>
    </row>
    <row r="368" spans="1:8" x14ac:dyDescent="0.25">
      <c r="A368" s="127">
        <v>44807</v>
      </c>
      <c r="B368" s="128" t="s">
        <v>28398</v>
      </c>
      <c r="C368" s="194" t="s">
        <v>409</v>
      </c>
      <c r="D368" s="195">
        <v>7308</v>
      </c>
      <c r="E368" s="196">
        <v>44811</v>
      </c>
      <c r="F368" s="195">
        <v>7308</v>
      </c>
      <c r="G368" s="197">
        <f>Tabla110[[#This Row],[Importe]]-Tabla110[[#This Row],[Pagado]]</f>
        <v>0</v>
      </c>
      <c r="H368" s="194" t="s">
        <v>10</v>
      </c>
    </row>
    <row r="369" spans="1:8" x14ac:dyDescent="0.25">
      <c r="A369" s="127">
        <v>44807</v>
      </c>
      <c r="B369" s="128" t="s">
        <v>28399</v>
      </c>
      <c r="C369" s="194" t="s">
        <v>9415</v>
      </c>
      <c r="D369" s="195">
        <v>14125.6</v>
      </c>
      <c r="E369" s="196">
        <v>44812</v>
      </c>
      <c r="F369" s="195">
        <v>14125.6</v>
      </c>
      <c r="G369" s="197">
        <f>Tabla110[[#This Row],[Importe]]-Tabla110[[#This Row],[Pagado]]</f>
        <v>0</v>
      </c>
      <c r="H369" s="194" t="s">
        <v>10</v>
      </c>
    </row>
    <row r="370" spans="1:8" x14ac:dyDescent="0.25">
      <c r="A370" s="127">
        <v>44807</v>
      </c>
      <c r="B370" s="128" t="s">
        <v>28400</v>
      </c>
      <c r="C370" s="194" t="s">
        <v>442</v>
      </c>
      <c r="D370" s="195">
        <v>28210</v>
      </c>
      <c r="E370" s="196">
        <v>44807</v>
      </c>
      <c r="F370" s="195">
        <v>28210</v>
      </c>
      <c r="G370" s="197">
        <f>Tabla110[[#This Row],[Importe]]-Tabla110[[#This Row],[Pagado]]</f>
        <v>0</v>
      </c>
      <c r="H370" s="194" t="s">
        <v>10</v>
      </c>
    </row>
    <row r="371" spans="1:8" x14ac:dyDescent="0.25">
      <c r="A371" s="127">
        <v>44807</v>
      </c>
      <c r="B371" s="128" t="s">
        <v>28401</v>
      </c>
      <c r="C371" s="194" t="s">
        <v>31</v>
      </c>
      <c r="D371" s="195">
        <v>2212</v>
      </c>
      <c r="E371" s="196">
        <v>44807</v>
      </c>
      <c r="F371" s="195">
        <v>2212</v>
      </c>
      <c r="G371" s="197">
        <f>Tabla110[[#This Row],[Importe]]-Tabla110[[#This Row],[Pagado]]</f>
        <v>0</v>
      </c>
      <c r="H371" s="194" t="s">
        <v>10</v>
      </c>
    </row>
    <row r="372" spans="1:8" x14ac:dyDescent="0.25">
      <c r="A372" s="127">
        <v>44807</v>
      </c>
      <c r="B372" s="128" t="s">
        <v>28402</v>
      </c>
      <c r="C372" s="194" t="s">
        <v>9415</v>
      </c>
      <c r="D372" s="195">
        <v>3088.8</v>
      </c>
      <c r="E372" s="196">
        <v>44812</v>
      </c>
      <c r="F372" s="195">
        <v>3088.8</v>
      </c>
      <c r="G372" s="197">
        <f>Tabla110[[#This Row],[Importe]]-Tabla110[[#This Row],[Pagado]]</f>
        <v>0</v>
      </c>
      <c r="H372" s="194" t="s">
        <v>10</v>
      </c>
    </row>
    <row r="373" spans="1:8" x14ac:dyDescent="0.25">
      <c r="A373" s="127">
        <v>44807</v>
      </c>
      <c r="B373" s="128" t="s">
        <v>28403</v>
      </c>
      <c r="C373" s="194" t="s">
        <v>452</v>
      </c>
      <c r="D373" s="195">
        <v>7347.2</v>
      </c>
      <c r="E373" s="196">
        <v>44807</v>
      </c>
      <c r="F373" s="195">
        <v>7347.2</v>
      </c>
      <c r="G373" s="197">
        <f>Tabla110[[#This Row],[Importe]]-Tabla110[[#This Row],[Pagado]]</f>
        <v>0</v>
      </c>
      <c r="H373" s="194" t="s">
        <v>10</v>
      </c>
    </row>
    <row r="374" spans="1:8" x14ac:dyDescent="0.25">
      <c r="A374" s="127">
        <v>44807</v>
      </c>
      <c r="B374" s="128" t="s">
        <v>28404</v>
      </c>
      <c r="C374" s="194" t="s">
        <v>27773</v>
      </c>
      <c r="D374" s="195">
        <v>28288</v>
      </c>
      <c r="E374" s="196">
        <v>44807</v>
      </c>
      <c r="F374" s="195">
        <v>28288</v>
      </c>
      <c r="G374" s="197">
        <f>Tabla110[[#This Row],[Importe]]-Tabla110[[#This Row],[Pagado]]</f>
        <v>0</v>
      </c>
      <c r="H374" s="194" t="s">
        <v>10</v>
      </c>
    </row>
    <row r="375" spans="1:8" x14ac:dyDescent="0.25">
      <c r="A375" s="127">
        <v>44807</v>
      </c>
      <c r="B375" s="128" t="s">
        <v>28405</v>
      </c>
      <c r="C375" s="194" t="s">
        <v>31</v>
      </c>
      <c r="D375" s="195">
        <v>9900</v>
      </c>
      <c r="E375" s="196">
        <v>44807</v>
      </c>
      <c r="F375" s="195">
        <v>9900</v>
      </c>
      <c r="G375" s="197">
        <f>Tabla110[[#This Row],[Importe]]-Tabla110[[#This Row],[Pagado]]</f>
        <v>0</v>
      </c>
      <c r="H375" s="194" t="s">
        <v>10</v>
      </c>
    </row>
    <row r="376" spans="1:8" x14ac:dyDescent="0.25">
      <c r="A376" s="127">
        <v>44807</v>
      </c>
      <c r="B376" s="128" t="s">
        <v>28406</v>
      </c>
      <c r="C376" s="194" t="s">
        <v>35</v>
      </c>
      <c r="D376" s="195">
        <v>3375.6</v>
      </c>
      <c r="E376" s="196">
        <v>44807</v>
      </c>
      <c r="F376" s="195">
        <v>3375.6</v>
      </c>
      <c r="G376" s="197">
        <f>Tabla110[[#This Row],[Importe]]-Tabla110[[#This Row],[Pagado]]</f>
        <v>0</v>
      </c>
      <c r="H376" s="194" t="s">
        <v>10</v>
      </c>
    </row>
    <row r="377" spans="1:8" x14ac:dyDescent="0.25">
      <c r="A377" s="127">
        <v>44807</v>
      </c>
      <c r="B377" s="128" t="s">
        <v>28407</v>
      </c>
      <c r="C377" s="194" t="s">
        <v>35</v>
      </c>
      <c r="D377" s="195">
        <v>642.6</v>
      </c>
      <c r="E377" s="196">
        <v>44807</v>
      </c>
      <c r="F377" s="195">
        <v>642.6</v>
      </c>
      <c r="G377" s="197">
        <f>Tabla110[[#This Row],[Importe]]-Tabla110[[#This Row],[Pagado]]</f>
        <v>0</v>
      </c>
      <c r="H377" s="194" t="s">
        <v>10</v>
      </c>
    </row>
    <row r="378" spans="1:8" x14ac:dyDescent="0.25">
      <c r="A378" s="127">
        <v>44807</v>
      </c>
      <c r="B378" s="128" t="s">
        <v>28408</v>
      </c>
      <c r="C378" s="194" t="s">
        <v>459</v>
      </c>
      <c r="D378" s="195">
        <v>213</v>
      </c>
      <c r="E378" s="196">
        <v>44807</v>
      </c>
      <c r="F378" s="195">
        <v>213</v>
      </c>
      <c r="G378" s="197">
        <f>Tabla110[[#This Row],[Importe]]-Tabla110[[#This Row],[Pagado]]</f>
        <v>0</v>
      </c>
      <c r="H378" s="194" t="s">
        <v>10</v>
      </c>
    </row>
    <row r="379" spans="1:8" x14ac:dyDescent="0.25">
      <c r="A379" s="127">
        <v>44807</v>
      </c>
      <c r="B379" s="128" t="s">
        <v>28409</v>
      </c>
      <c r="C379" s="194" t="s">
        <v>463</v>
      </c>
      <c r="D379" s="195">
        <v>550</v>
      </c>
      <c r="E379" s="196">
        <v>44810</v>
      </c>
      <c r="F379" s="195">
        <v>550</v>
      </c>
      <c r="G379" s="197">
        <f>Tabla110[[#This Row],[Importe]]-Tabla110[[#This Row],[Pagado]]</f>
        <v>0</v>
      </c>
      <c r="H379" s="194" t="s">
        <v>10</v>
      </c>
    </row>
    <row r="380" spans="1:8" x14ac:dyDescent="0.25">
      <c r="A380" s="127">
        <v>44807</v>
      </c>
      <c r="B380" s="128" t="s">
        <v>28410</v>
      </c>
      <c r="C380" s="194" t="s">
        <v>31</v>
      </c>
      <c r="D380" s="195">
        <v>145</v>
      </c>
      <c r="E380" s="196">
        <v>44807</v>
      </c>
      <c r="F380" s="195">
        <v>145</v>
      </c>
      <c r="G380" s="197">
        <f>Tabla110[[#This Row],[Importe]]-Tabla110[[#This Row],[Pagado]]</f>
        <v>0</v>
      </c>
      <c r="H380" s="194" t="s">
        <v>10</v>
      </c>
    </row>
    <row r="381" spans="1:8" x14ac:dyDescent="0.25">
      <c r="A381" s="127">
        <v>44807</v>
      </c>
      <c r="B381" s="128" t="s">
        <v>28411</v>
      </c>
      <c r="C381" s="194" t="s">
        <v>365</v>
      </c>
      <c r="D381" s="195">
        <v>693.6</v>
      </c>
      <c r="E381" s="196">
        <v>44807</v>
      </c>
      <c r="F381" s="195">
        <v>693.6</v>
      </c>
      <c r="G381" s="197">
        <f>Tabla110[[#This Row],[Importe]]-Tabla110[[#This Row],[Pagado]]</f>
        <v>0</v>
      </c>
      <c r="H381" s="194" t="s">
        <v>10</v>
      </c>
    </row>
    <row r="382" spans="1:8" x14ac:dyDescent="0.25">
      <c r="A382" s="127">
        <v>44807</v>
      </c>
      <c r="B382" s="128" t="s">
        <v>28412</v>
      </c>
      <c r="C382" s="194" t="s">
        <v>8190</v>
      </c>
      <c r="D382" s="195">
        <v>3394.8</v>
      </c>
      <c r="E382" s="196">
        <v>44807</v>
      </c>
      <c r="F382" s="195">
        <v>3394.8</v>
      </c>
      <c r="G382" s="197">
        <f>Tabla110[[#This Row],[Importe]]-Tabla110[[#This Row],[Pagado]]</f>
        <v>0</v>
      </c>
      <c r="H382" s="194" t="s">
        <v>10</v>
      </c>
    </row>
    <row r="383" spans="1:8" x14ac:dyDescent="0.25">
      <c r="A383" s="127">
        <v>44807</v>
      </c>
      <c r="B383" s="128" t="s">
        <v>28413</v>
      </c>
      <c r="C383" s="194" t="s">
        <v>56</v>
      </c>
      <c r="D383" s="195">
        <v>11648.2</v>
      </c>
      <c r="E383" s="196">
        <v>44807</v>
      </c>
      <c r="F383" s="195">
        <v>11648.2</v>
      </c>
      <c r="G383" s="197">
        <f>Tabla110[[#This Row],[Importe]]-Tabla110[[#This Row],[Pagado]]</f>
        <v>0</v>
      </c>
      <c r="H383" s="194" t="s">
        <v>10</v>
      </c>
    </row>
    <row r="384" spans="1:8" x14ac:dyDescent="0.25">
      <c r="A384" s="127">
        <v>44807</v>
      </c>
      <c r="B384" s="128" t="s">
        <v>28414</v>
      </c>
      <c r="C384" s="194" t="s">
        <v>53</v>
      </c>
      <c r="D384" s="195">
        <v>2159.6</v>
      </c>
      <c r="E384" s="196">
        <v>44807</v>
      </c>
      <c r="F384" s="195">
        <v>2159.6</v>
      </c>
      <c r="G384" s="197">
        <f>Tabla110[[#This Row],[Importe]]-Tabla110[[#This Row],[Pagado]]</f>
        <v>0</v>
      </c>
      <c r="H384" s="194" t="s">
        <v>10</v>
      </c>
    </row>
    <row r="385" spans="1:8" x14ac:dyDescent="0.25">
      <c r="A385" s="127">
        <v>44807</v>
      </c>
      <c r="B385" s="128" t="s">
        <v>28415</v>
      </c>
      <c r="C385" s="194" t="s">
        <v>10840</v>
      </c>
      <c r="D385" s="195">
        <v>1812</v>
      </c>
      <c r="E385" s="196">
        <v>44807</v>
      </c>
      <c r="F385" s="195">
        <v>1812</v>
      </c>
      <c r="G385" s="197">
        <f>Tabla110[[#This Row],[Importe]]-Tabla110[[#This Row],[Pagado]]</f>
        <v>0</v>
      </c>
      <c r="H385" s="194" t="s">
        <v>10</v>
      </c>
    </row>
    <row r="386" spans="1:8" x14ac:dyDescent="0.25">
      <c r="A386" s="127">
        <v>44808</v>
      </c>
      <c r="B386" s="128" t="s">
        <v>28416</v>
      </c>
      <c r="C386" s="194" t="s">
        <v>475</v>
      </c>
      <c r="D386" s="195">
        <v>68112.5</v>
      </c>
      <c r="E386" s="196">
        <v>44809</v>
      </c>
      <c r="F386" s="195">
        <v>68112.5</v>
      </c>
      <c r="G386" s="197">
        <f>Tabla110[[#This Row],[Importe]]-Tabla110[[#This Row],[Pagado]]</f>
        <v>0</v>
      </c>
      <c r="H386" s="194" t="s">
        <v>10</v>
      </c>
    </row>
    <row r="387" spans="1:8" x14ac:dyDescent="0.25">
      <c r="A387" s="127">
        <v>44808</v>
      </c>
      <c r="B387" s="128" t="s">
        <v>28417</v>
      </c>
      <c r="C387" s="194" t="s">
        <v>9</v>
      </c>
      <c r="D387" s="195">
        <v>13021.8</v>
      </c>
      <c r="E387" s="196">
        <v>44808</v>
      </c>
      <c r="F387" s="195">
        <v>13021.8</v>
      </c>
      <c r="G387" s="197">
        <f>Tabla110[[#This Row],[Importe]]-Tabla110[[#This Row],[Pagado]]</f>
        <v>0</v>
      </c>
      <c r="H387" s="194" t="s">
        <v>10</v>
      </c>
    </row>
    <row r="388" spans="1:8" x14ac:dyDescent="0.25">
      <c r="A388" s="127">
        <v>44808</v>
      </c>
      <c r="B388" s="128" t="s">
        <v>28418</v>
      </c>
      <c r="C388" s="194" t="s">
        <v>1187</v>
      </c>
      <c r="D388" s="195">
        <v>2294</v>
      </c>
      <c r="E388" s="196">
        <v>44808</v>
      </c>
      <c r="F388" s="195">
        <v>2294</v>
      </c>
      <c r="G388" s="197">
        <f>Tabla110[[#This Row],[Importe]]-Tabla110[[#This Row],[Pagado]]</f>
        <v>0</v>
      </c>
      <c r="H388" s="194" t="s">
        <v>10</v>
      </c>
    </row>
    <row r="389" spans="1:8" x14ac:dyDescent="0.25">
      <c r="A389" s="127">
        <v>44808</v>
      </c>
      <c r="B389" s="128" t="s">
        <v>28419</v>
      </c>
      <c r="C389" s="194" t="s">
        <v>16</v>
      </c>
      <c r="D389" s="195">
        <v>11897.8</v>
      </c>
      <c r="E389" s="196">
        <v>44808</v>
      </c>
      <c r="F389" s="195">
        <v>11897.8</v>
      </c>
      <c r="G389" s="197">
        <f>Tabla110[[#This Row],[Importe]]-Tabla110[[#This Row],[Pagado]]</f>
        <v>0</v>
      </c>
      <c r="H389" s="194" t="s">
        <v>10</v>
      </c>
    </row>
    <row r="390" spans="1:8" x14ac:dyDescent="0.25">
      <c r="A390" s="127">
        <v>44808</v>
      </c>
      <c r="B390" s="128" t="s">
        <v>28420</v>
      </c>
      <c r="C390" s="194" t="s">
        <v>12</v>
      </c>
      <c r="D390" s="195">
        <v>15223.2</v>
      </c>
      <c r="E390" s="196">
        <v>44808</v>
      </c>
      <c r="F390" s="195">
        <v>15223.2</v>
      </c>
      <c r="G390" s="197">
        <f>Tabla110[[#This Row],[Importe]]-Tabla110[[#This Row],[Pagado]]</f>
        <v>0</v>
      </c>
      <c r="H390" s="194" t="s">
        <v>10</v>
      </c>
    </row>
    <row r="391" spans="1:8" x14ac:dyDescent="0.25">
      <c r="A391" s="127">
        <v>44808</v>
      </c>
      <c r="B391" s="128" t="s">
        <v>28421</v>
      </c>
      <c r="C391" s="194" t="s">
        <v>17556</v>
      </c>
      <c r="D391" s="195">
        <v>4477.5</v>
      </c>
      <c r="E391" s="196">
        <v>44808</v>
      </c>
      <c r="F391" s="195">
        <v>4477.5</v>
      </c>
      <c r="G391" s="197">
        <f>Tabla110[[#This Row],[Importe]]-Tabla110[[#This Row],[Pagado]]</f>
        <v>0</v>
      </c>
      <c r="H391" s="194" t="s">
        <v>10</v>
      </c>
    </row>
    <row r="392" spans="1:8" x14ac:dyDescent="0.25">
      <c r="A392" s="127">
        <v>44808</v>
      </c>
      <c r="B392" s="128" t="s">
        <v>28422</v>
      </c>
      <c r="C392" s="194" t="s">
        <v>31</v>
      </c>
      <c r="D392" s="195">
        <v>2820.8</v>
      </c>
      <c r="E392" s="196">
        <v>44808</v>
      </c>
      <c r="F392" s="195">
        <v>2820.8</v>
      </c>
      <c r="G392" s="197">
        <f>Tabla110[[#This Row],[Importe]]-Tabla110[[#This Row],[Pagado]]</f>
        <v>0</v>
      </c>
      <c r="H392" s="194" t="s">
        <v>10</v>
      </c>
    </row>
    <row r="393" spans="1:8" x14ac:dyDescent="0.25">
      <c r="A393" s="127">
        <v>44808</v>
      </c>
      <c r="B393" s="128" t="s">
        <v>28423</v>
      </c>
      <c r="C393" s="194" t="s">
        <v>22</v>
      </c>
      <c r="D393" s="195">
        <v>72220</v>
      </c>
      <c r="E393" s="196">
        <v>44809</v>
      </c>
      <c r="F393" s="195">
        <v>72220</v>
      </c>
      <c r="G393" s="197">
        <f>Tabla110[[#This Row],[Importe]]-Tabla110[[#This Row],[Pagado]]</f>
        <v>0</v>
      </c>
      <c r="H393" s="194" t="s">
        <v>10</v>
      </c>
    </row>
    <row r="394" spans="1:8" x14ac:dyDescent="0.25">
      <c r="A394" s="127">
        <v>44808</v>
      </c>
      <c r="B394" s="128" t="s">
        <v>28424</v>
      </c>
      <c r="C394" s="194" t="s">
        <v>216</v>
      </c>
      <c r="D394" s="195">
        <v>2961</v>
      </c>
      <c r="E394" s="196">
        <v>44808</v>
      </c>
      <c r="F394" s="195">
        <v>2961</v>
      </c>
      <c r="G394" s="197">
        <f>Tabla110[[#This Row],[Importe]]-Tabla110[[#This Row],[Pagado]]</f>
        <v>0</v>
      </c>
      <c r="H394" s="194" t="s">
        <v>10</v>
      </c>
    </row>
    <row r="395" spans="1:8" x14ac:dyDescent="0.25">
      <c r="A395" s="127">
        <v>44808</v>
      </c>
      <c r="B395" s="128" t="s">
        <v>28425</v>
      </c>
      <c r="C395" s="194" t="s">
        <v>20</v>
      </c>
      <c r="D395" s="195">
        <v>14692</v>
      </c>
      <c r="E395" s="196">
        <v>44808</v>
      </c>
      <c r="F395" s="195">
        <v>14692</v>
      </c>
      <c r="G395" s="197">
        <f>Tabla110[[#This Row],[Importe]]-Tabla110[[#This Row],[Pagado]]</f>
        <v>0</v>
      </c>
      <c r="H395" s="194" t="s">
        <v>10</v>
      </c>
    </row>
    <row r="396" spans="1:8" x14ac:dyDescent="0.25">
      <c r="A396" s="127">
        <v>44808</v>
      </c>
      <c r="B396" s="128" t="s">
        <v>28426</v>
      </c>
      <c r="C396" s="194" t="s">
        <v>51</v>
      </c>
      <c r="D396" s="195">
        <v>2332.8000000000002</v>
      </c>
      <c r="E396" s="196">
        <v>44808</v>
      </c>
      <c r="F396" s="195">
        <v>2332.8000000000002</v>
      </c>
      <c r="G396" s="197">
        <f>Tabla110[[#This Row],[Importe]]-Tabla110[[#This Row],[Pagado]]</f>
        <v>0</v>
      </c>
      <c r="H396" s="194" t="s">
        <v>10</v>
      </c>
    </row>
    <row r="397" spans="1:8" x14ac:dyDescent="0.25">
      <c r="A397" s="127">
        <v>44808</v>
      </c>
      <c r="B397" s="128" t="s">
        <v>28427</v>
      </c>
      <c r="C397" s="194" t="s">
        <v>37</v>
      </c>
      <c r="D397" s="195">
        <v>3342.4</v>
      </c>
      <c r="E397" s="196">
        <v>44808</v>
      </c>
      <c r="F397" s="195">
        <v>3342.4</v>
      </c>
      <c r="G397" s="197">
        <f>Tabla110[[#This Row],[Importe]]-Tabla110[[#This Row],[Pagado]]</f>
        <v>0</v>
      </c>
      <c r="H397" s="194" t="s">
        <v>10</v>
      </c>
    </row>
    <row r="398" spans="1:8" x14ac:dyDescent="0.25">
      <c r="A398" s="127">
        <v>44808</v>
      </c>
      <c r="B398" s="128" t="s">
        <v>28428</v>
      </c>
      <c r="C398" s="194" t="s">
        <v>29</v>
      </c>
      <c r="D398" s="195">
        <v>10178</v>
      </c>
      <c r="E398" s="196">
        <v>44808</v>
      </c>
      <c r="F398" s="195">
        <v>10178</v>
      </c>
      <c r="G398" s="197">
        <f>Tabla110[[#This Row],[Importe]]-Tabla110[[#This Row],[Pagado]]</f>
        <v>0</v>
      </c>
      <c r="H398" s="194" t="s">
        <v>10</v>
      </c>
    </row>
    <row r="399" spans="1:8" x14ac:dyDescent="0.25">
      <c r="A399" s="127">
        <v>44808</v>
      </c>
      <c r="B399" s="128" t="s">
        <v>28429</v>
      </c>
      <c r="C399" s="194" t="s">
        <v>348</v>
      </c>
      <c r="D399" s="195">
        <v>6196.8</v>
      </c>
      <c r="E399" s="196">
        <v>44808</v>
      </c>
      <c r="F399" s="195">
        <v>6196.8</v>
      </c>
      <c r="G399" s="197">
        <f>Tabla110[[#This Row],[Importe]]-Tabla110[[#This Row],[Pagado]]</f>
        <v>0</v>
      </c>
      <c r="H399" s="194" t="s">
        <v>10</v>
      </c>
    </row>
    <row r="400" spans="1:8" x14ac:dyDescent="0.25">
      <c r="A400" s="127">
        <v>44808</v>
      </c>
      <c r="B400" s="128" t="s">
        <v>28430</v>
      </c>
      <c r="C400" s="194" t="s">
        <v>815</v>
      </c>
      <c r="D400" s="195">
        <v>2535.1999999999998</v>
      </c>
      <c r="E400" s="196">
        <v>44808</v>
      </c>
      <c r="F400" s="195">
        <v>2535.1999999999998</v>
      </c>
      <c r="G400" s="197">
        <f>Tabla110[[#This Row],[Importe]]-Tabla110[[#This Row],[Pagado]]</f>
        <v>0</v>
      </c>
      <c r="H400" s="194" t="s">
        <v>10</v>
      </c>
    </row>
    <row r="401" spans="1:8" x14ac:dyDescent="0.25">
      <c r="A401" s="127">
        <v>44808</v>
      </c>
      <c r="B401" s="128" t="s">
        <v>28431</v>
      </c>
      <c r="C401" s="194" t="s">
        <v>28432</v>
      </c>
      <c r="D401" s="195">
        <v>2205</v>
      </c>
      <c r="E401" s="196">
        <v>44808</v>
      </c>
      <c r="F401" s="195">
        <v>2205</v>
      </c>
      <c r="G401" s="197">
        <f>Tabla110[[#This Row],[Importe]]-Tabla110[[#This Row],[Pagado]]</f>
        <v>0</v>
      </c>
      <c r="H401" s="194" t="s">
        <v>10</v>
      </c>
    </row>
    <row r="402" spans="1:8" x14ac:dyDescent="0.25">
      <c r="A402" s="127">
        <v>44808</v>
      </c>
      <c r="B402" s="128" t="s">
        <v>28433</v>
      </c>
      <c r="C402" s="194" t="s">
        <v>45</v>
      </c>
      <c r="D402" s="195">
        <v>9055.7999999999993</v>
      </c>
      <c r="E402" s="196">
        <v>44808</v>
      </c>
      <c r="F402" s="195">
        <v>9055.7999999999993</v>
      </c>
      <c r="G402" s="197">
        <f>Tabla110[[#This Row],[Importe]]-Tabla110[[#This Row],[Pagado]]</f>
        <v>0</v>
      </c>
      <c r="H402" s="194" t="s">
        <v>10</v>
      </c>
    </row>
    <row r="403" spans="1:8" x14ac:dyDescent="0.25">
      <c r="A403" s="127">
        <v>44808</v>
      </c>
      <c r="B403" s="128" t="s">
        <v>28434</v>
      </c>
      <c r="C403" s="194" t="s">
        <v>49</v>
      </c>
      <c r="D403" s="195">
        <v>4568.3999999999996</v>
      </c>
      <c r="E403" s="196">
        <v>44808</v>
      </c>
      <c r="F403" s="195">
        <v>4568.3999999999996</v>
      </c>
      <c r="G403" s="197">
        <f>Tabla110[[#This Row],[Importe]]-Tabla110[[#This Row],[Pagado]]</f>
        <v>0</v>
      </c>
      <c r="H403" s="194" t="s">
        <v>10</v>
      </c>
    </row>
    <row r="404" spans="1:8" x14ac:dyDescent="0.25">
      <c r="A404" s="127">
        <v>44808</v>
      </c>
      <c r="B404" s="128" t="s">
        <v>28435</v>
      </c>
      <c r="C404" s="194" t="s">
        <v>191</v>
      </c>
      <c r="D404" s="195">
        <v>3292.5</v>
      </c>
      <c r="E404" s="196">
        <v>44808</v>
      </c>
      <c r="F404" s="195">
        <v>3292.5</v>
      </c>
      <c r="G404" s="197">
        <f>Tabla110[[#This Row],[Importe]]-Tabla110[[#This Row],[Pagado]]</f>
        <v>0</v>
      </c>
      <c r="H404" s="194" t="s">
        <v>10</v>
      </c>
    </row>
    <row r="405" spans="1:8" x14ac:dyDescent="0.25">
      <c r="A405" s="127">
        <v>44808</v>
      </c>
      <c r="B405" s="128" t="s">
        <v>28436</v>
      </c>
      <c r="C405" s="194" t="s">
        <v>191</v>
      </c>
      <c r="D405" s="195">
        <v>256</v>
      </c>
      <c r="E405" s="196">
        <v>44808</v>
      </c>
      <c r="F405" s="195">
        <v>256</v>
      </c>
      <c r="G405" s="197">
        <f>Tabla110[[#This Row],[Importe]]-Tabla110[[#This Row],[Pagado]]</f>
        <v>0</v>
      </c>
      <c r="H405" s="194" t="s">
        <v>10</v>
      </c>
    </row>
    <row r="406" spans="1:8" x14ac:dyDescent="0.25">
      <c r="A406" s="127">
        <v>44808</v>
      </c>
      <c r="B406" s="128" t="s">
        <v>28437</v>
      </c>
      <c r="C406" s="194" t="s">
        <v>1003</v>
      </c>
      <c r="D406" s="195">
        <v>6438.4</v>
      </c>
      <c r="E406" s="196">
        <v>44810</v>
      </c>
      <c r="F406" s="195">
        <v>6438.4</v>
      </c>
      <c r="G406" s="197">
        <f>Tabla110[[#This Row],[Importe]]-Tabla110[[#This Row],[Pagado]]</f>
        <v>0</v>
      </c>
      <c r="H406" s="194" t="s">
        <v>10</v>
      </c>
    </row>
    <row r="407" spans="1:8" x14ac:dyDescent="0.25">
      <c r="A407" s="127">
        <v>44808</v>
      </c>
      <c r="B407" s="128" t="s">
        <v>28438</v>
      </c>
      <c r="C407" s="194" t="s">
        <v>382</v>
      </c>
      <c r="D407" s="195">
        <v>7000</v>
      </c>
      <c r="E407" s="196">
        <v>44808</v>
      </c>
      <c r="F407" s="195">
        <v>7000</v>
      </c>
      <c r="G407" s="197">
        <f>Tabla110[[#This Row],[Importe]]-Tabla110[[#This Row],[Pagado]]</f>
        <v>0</v>
      </c>
      <c r="H407" s="194" t="s">
        <v>10</v>
      </c>
    </row>
    <row r="408" spans="1:8" x14ac:dyDescent="0.25">
      <c r="A408" s="127">
        <v>44808</v>
      </c>
      <c r="B408" s="128" t="s">
        <v>28439</v>
      </c>
      <c r="C408" s="194" t="s">
        <v>9827</v>
      </c>
      <c r="D408" s="195">
        <v>4396</v>
      </c>
      <c r="E408" s="196">
        <v>44808</v>
      </c>
      <c r="F408" s="195">
        <v>4396</v>
      </c>
      <c r="G408" s="197">
        <f>Tabla110[[#This Row],[Importe]]-Tabla110[[#This Row],[Pagado]]</f>
        <v>0</v>
      </c>
      <c r="H408" s="194" t="s">
        <v>10</v>
      </c>
    </row>
    <row r="409" spans="1:8" x14ac:dyDescent="0.25">
      <c r="A409" s="127">
        <v>44808</v>
      </c>
      <c r="B409" s="128" t="s">
        <v>28440</v>
      </c>
      <c r="C409" s="194" t="s">
        <v>296</v>
      </c>
      <c r="D409" s="195">
        <v>8046.3</v>
      </c>
      <c r="E409" s="196">
        <v>44808</v>
      </c>
      <c r="F409" s="195">
        <v>8046.3</v>
      </c>
      <c r="G409" s="197">
        <f>Tabla110[[#This Row],[Importe]]-Tabla110[[#This Row],[Pagado]]</f>
        <v>0</v>
      </c>
      <c r="H409" s="194" t="s">
        <v>10</v>
      </c>
    </row>
    <row r="410" spans="1:8" x14ac:dyDescent="0.25">
      <c r="A410" s="127">
        <v>44808</v>
      </c>
      <c r="B410" s="128" t="s">
        <v>28441</v>
      </c>
      <c r="C410" s="194" t="s">
        <v>296</v>
      </c>
      <c r="D410" s="195">
        <v>648</v>
      </c>
      <c r="E410" s="196">
        <v>44808</v>
      </c>
      <c r="F410" s="195">
        <v>648</v>
      </c>
      <c r="G410" s="197">
        <f>Tabla110[[#This Row],[Importe]]-Tabla110[[#This Row],[Pagado]]</f>
        <v>0</v>
      </c>
      <c r="H410" s="194" t="s">
        <v>10</v>
      </c>
    </row>
    <row r="411" spans="1:8" x14ac:dyDescent="0.25">
      <c r="A411" s="127">
        <v>44808</v>
      </c>
      <c r="B411" s="128" t="s">
        <v>28442</v>
      </c>
      <c r="C411" s="194" t="s">
        <v>196</v>
      </c>
      <c r="D411" s="195">
        <v>4343</v>
      </c>
      <c r="E411" s="196">
        <v>44819</v>
      </c>
      <c r="F411" s="195">
        <v>4343</v>
      </c>
      <c r="G411" s="197">
        <f>Tabla110[[#This Row],[Importe]]-Tabla110[[#This Row],[Pagado]]</f>
        <v>0</v>
      </c>
      <c r="H411" s="194" t="s">
        <v>10</v>
      </c>
    </row>
    <row r="412" spans="1:8" x14ac:dyDescent="0.25">
      <c r="A412" s="127">
        <v>44808</v>
      </c>
      <c r="B412" s="128" t="s">
        <v>28443</v>
      </c>
      <c r="C412" s="194" t="s">
        <v>28087</v>
      </c>
      <c r="D412" s="195">
        <v>8134</v>
      </c>
      <c r="E412" s="196">
        <v>44893</v>
      </c>
      <c r="F412" s="195">
        <v>8134</v>
      </c>
      <c r="G412" s="197">
        <f>Tabla110[[#This Row],[Importe]]-Tabla110[[#This Row],[Pagado]]</f>
        <v>0</v>
      </c>
      <c r="H412" s="78" t="s">
        <v>17776</v>
      </c>
    </row>
    <row r="413" spans="1:8" x14ac:dyDescent="0.25">
      <c r="A413" s="127">
        <v>44808</v>
      </c>
      <c r="B413" s="128" t="s">
        <v>28444</v>
      </c>
      <c r="C413" s="194" t="s">
        <v>1362</v>
      </c>
      <c r="D413" s="195">
        <v>11376</v>
      </c>
      <c r="E413" s="196">
        <v>44808</v>
      </c>
      <c r="F413" s="195">
        <v>11376</v>
      </c>
      <c r="G413" s="197">
        <f>Tabla110[[#This Row],[Importe]]-Tabla110[[#This Row],[Pagado]]</f>
        <v>0</v>
      </c>
      <c r="H413" s="194" t="s">
        <v>10</v>
      </c>
    </row>
    <row r="414" spans="1:8" x14ac:dyDescent="0.25">
      <c r="A414" s="127">
        <v>44808</v>
      </c>
      <c r="B414" s="128" t="s">
        <v>28445</v>
      </c>
      <c r="C414" s="194" t="s">
        <v>24284</v>
      </c>
      <c r="D414" s="195">
        <v>1155</v>
      </c>
      <c r="E414" s="196">
        <v>44808</v>
      </c>
      <c r="F414" s="195">
        <v>1155</v>
      </c>
      <c r="G414" s="197">
        <f>Tabla110[[#This Row],[Importe]]-Tabla110[[#This Row],[Pagado]]</f>
        <v>0</v>
      </c>
      <c r="H414" s="194" t="s">
        <v>10</v>
      </c>
    </row>
    <row r="415" spans="1:8" x14ac:dyDescent="0.25">
      <c r="A415" s="127">
        <v>44808</v>
      </c>
      <c r="B415" s="128" t="s">
        <v>28446</v>
      </c>
      <c r="C415" s="194" t="s">
        <v>58</v>
      </c>
      <c r="D415" s="195">
        <v>5348.4</v>
      </c>
      <c r="E415" s="196">
        <v>44808</v>
      </c>
      <c r="F415" s="195">
        <v>5348.4</v>
      </c>
      <c r="G415" s="197">
        <f>Tabla110[[#This Row],[Importe]]-Tabla110[[#This Row],[Pagado]]</f>
        <v>0</v>
      </c>
      <c r="H415" s="194" t="s">
        <v>10</v>
      </c>
    </row>
    <row r="416" spans="1:8" x14ac:dyDescent="0.25">
      <c r="A416" s="127">
        <v>44808</v>
      </c>
      <c r="B416" s="128" t="s">
        <v>28447</v>
      </c>
      <c r="C416" s="194" t="s">
        <v>31</v>
      </c>
      <c r="D416" s="195">
        <v>576</v>
      </c>
      <c r="E416" s="196">
        <v>44808</v>
      </c>
      <c r="F416" s="195">
        <v>576</v>
      </c>
      <c r="G416" s="197">
        <f>Tabla110[[#This Row],[Importe]]-Tabla110[[#This Row],[Pagado]]</f>
        <v>0</v>
      </c>
      <c r="H416" s="194" t="s">
        <v>10</v>
      </c>
    </row>
    <row r="417" spans="1:8" x14ac:dyDescent="0.25">
      <c r="A417" s="127">
        <v>44808</v>
      </c>
      <c r="B417" s="128" t="s">
        <v>28448</v>
      </c>
      <c r="C417" s="194" t="s">
        <v>31</v>
      </c>
      <c r="D417" s="195">
        <v>600</v>
      </c>
      <c r="E417" s="196">
        <v>44808</v>
      </c>
      <c r="F417" s="195">
        <v>600</v>
      </c>
      <c r="G417" s="197">
        <f>Tabla110[[#This Row],[Importe]]-Tabla110[[#This Row],[Pagado]]</f>
        <v>0</v>
      </c>
      <c r="H417" s="194" t="s">
        <v>10</v>
      </c>
    </row>
    <row r="418" spans="1:8" x14ac:dyDescent="0.25">
      <c r="A418" s="127">
        <v>44808</v>
      </c>
      <c r="B418" s="128" t="s">
        <v>28449</v>
      </c>
      <c r="C418" s="194" t="s">
        <v>67</v>
      </c>
      <c r="D418" s="195">
        <v>4158</v>
      </c>
      <c r="E418" s="196">
        <v>44808</v>
      </c>
      <c r="F418" s="195">
        <v>4158</v>
      </c>
      <c r="G418" s="197">
        <f>Tabla110[[#This Row],[Importe]]-Tabla110[[#This Row],[Pagado]]</f>
        <v>0</v>
      </c>
      <c r="H418" s="194" t="s">
        <v>10</v>
      </c>
    </row>
    <row r="419" spans="1:8" x14ac:dyDescent="0.25">
      <c r="A419" s="127">
        <v>44808</v>
      </c>
      <c r="B419" s="128" t="s">
        <v>28450</v>
      </c>
      <c r="C419" s="194" t="s">
        <v>16</v>
      </c>
      <c r="D419" s="195">
        <v>1328.4</v>
      </c>
      <c r="E419" s="196">
        <v>44808</v>
      </c>
      <c r="F419" s="195">
        <v>1328.4</v>
      </c>
      <c r="G419" s="197">
        <f>Tabla110[[#This Row],[Importe]]-Tabla110[[#This Row],[Pagado]]</f>
        <v>0</v>
      </c>
      <c r="H419" s="194" t="s">
        <v>10</v>
      </c>
    </row>
    <row r="420" spans="1:8" x14ac:dyDescent="0.25">
      <c r="A420" s="127">
        <v>44808</v>
      </c>
      <c r="B420" s="128" t="s">
        <v>28451</v>
      </c>
      <c r="C420" s="194" t="s">
        <v>840</v>
      </c>
      <c r="D420" s="195">
        <v>11636.1</v>
      </c>
      <c r="E420" s="196">
        <v>44808</v>
      </c>
      <c r="F420" s="195">
        <v>11636.1</v>
      </c>
      <c r="G420" s="197">
        <f>Tabla110[[#This Row],[Importe]]-Tabla110[[#This Row],[Pagado]]</f>
        <v>0</v>
      </c>
      <c r="H420" s="194" t="s">
        <v>10</v>
      </c>
    </row>
    <row r="421" spans="1:8" x14ac:dyDescent="0.25">
      <c r="A421" s="127">
        <v>44808</v>
      </c>
      <c r="B421" s="128" t="s">
        <v>28452</v>
      </c>
      <c r="C421" s="194" t="s">
        <v>27773</v>
      </c>
      <c r="D421" s="195">
        <v>12312</v>
      </c>
      <c r="E421" s="196">
        <v>44808</v>
      </c>
      <c r="F421" s="195">
        <v>12312</v>
      </c>
      <c r="G421" s="197">
        <f>Tabla110[[#This Row],[Importe]]-Tabla110[[#This Row],[Pagado]]</f>
        <v>0</v>
      </c>
      <c r="H421" s="194" t="s">
        <v>10</v>
      </c>
    </row>
    <row r="422" spans="1:8" x14ac:dyDescent="0.25">
      <c r="A422" s="127">
        <v>44808</v>
      </c>
      <c r="B422" s="128" t="s">
        <v>28453</v>
      </c>
      <c r="C422" s="194" t="s">
        <v>53</v>
      </c>
      <c r="D422" s="195">
        <v>1123.2</v>
      </c>
      <c r="E422" s="196">
        <v>44808</v>
      </c>
      <c r="F422" s="195">
        <v>1123.2</v>
      </c>
      <c r="G422" s="197">
        <f>Tabla110[[#This Row],[Importe]]-Tabla110[[#This Row],[Pagado]]</f>
        <v>0</v>
      </c>
      <c r="H422" s="194" t="s">
        <v>10</v>
      </c>
    </row>
    <row r="423" spans="1:8" x14ac:dyDescent="0.25">
      <c r="A423" s="127">
        <v>44808</v>
      </c>
      <c r="B423" s="128" t="s">
        <v>28454</v>
      </c>
      <c r="C423" s="194" t="s">
        <v>27773</v>
      </c>
      <c r="D423" s="195">
        <v>6240</v>
      </c>
      <c r="E423" s="196">
        <v>44808</v>
      </c>
      <c r="F423" s="195">
        <v>6240</v>
      </c>
      <c r="G423" s="197">
        <f>Tabla110[[#This Row],[Importe]]-Tabla110[[#This Row],[Pagado]]</f>
        <v>0</v>
      </c>
      <c r="H423" s="194" t="s">
        <v>10</v>
      </c>
    </row>
    <row r="424" spans="1:8" x14ac:dyDescent="0.25">
      <c r="A424" s="127">
        <v>44808</v>
      </c>
      <c r="B424" s="128" t="s">
        <v>28455</v>
      </c>
      <c r="C424" s="194" t="s">
        <v>56</v>
      </c>
      <c r="D424" s="195">
        <v>9009.4</v>
      </c>
      <c r="E424" s="196">
        <v>44808</v>
      </c>
      <c r="F424" s="195">
        <v>9009.4</v>
      </c>
      <c r="G424" s="197">
        <f>Tabla110[[#This Row],[Importe]]-Tabla110[[#This Row],[Pagado]]</f>
        <v>0</v>
      </c>
      <c r="H424" s="194" t="s">
        <v>10</v>
      </c>
    </row>
    <row r="425" spans="1:8" x14ac:dyDescent="0.25">
      <c r="A425" s="127">
        <v>44808</v>
      </c>
      <c r="B425" s="128" t="s">
        <v>28456</v>
      </c>
      <c r="C425" s="194" t="s">
        <v>16</v>
      </c>
      <c r="D425" s="195">
        <v>2492.1</v>
      </c>
      <c r="E425" s="196">
        <v>44808</v>
      </c>
      <c r="F425" s="195">
        <v>2492.1</v>
      </c>
      <c r="G425" s="197">
        <f>Tabla110[[#This Row],[Importe]]-Tabla110[[#This Row],[Pagado]]</f>
        <v>0</v>
      </c>
      <c r="H425" s="194" t="s">
        <v>10</v>
      </c>
    </row>
    <row r="426" spans="1:8" x14ac:dyDescent="0.25">
      <c r="A426" s="127">
        <v>44808</v>
      </c>
      <c r="B426" s="128" t="s">
        <v>28457</v>
      </c>
      <c r="C426" s="194" t="s">
        <v>31</v>
      </c>
      <c r="D426" s="195">
        <v>1872</v>
      </c>
      <c r="E426" s="196">
        <v>44808</v>
      </c>
      <c r="F426" s="195">
        <v>1872</v>
      </c>
      <c r="G426" s="197">
        <f>Tabla110[[#This Row],[Importe]]-Tabla110[[#This Row],[Pagado]]</f>
        <v>0</v>
      </c>
      <c r="H426" s="194" t="s">
        <v>10</v>
      </c>
    </row>
    <row r="427" spans="1:8" x14ac:dyDescent="0.25">
      <c r="A427" s="127">
        <v>44808</v>
      </c>
      <c r="B427" s="128" t="s">
        <v>28458</v>
      </c>
      <c r="C427" s="194" t="s">
        <v>214</v>
      </c>
      <c r="D427" s="195">
        <v>1918</v>
      </c>
      <c r="E427" s="196">
        <v>44808</v>
      </c>
      <c r="F427" s="195">
        <v>1918</v>
      </c>
      <c r="G427" s="197">
        <f>Tabla110[[#This Row],[Importe]]-Tabla110[[#This Row],[Pagado]]</f>
        <v>0</v>
      </c>
      <c r="H427" s="194" t="s">
        <v>10</v>
      </c>
    </row>
    <row r="428" spans="1:8" x14ac:dyDescent="0.25">
      <c r="A428" s="127">
        <v>44808</v>
      </c>
      <c r="B428" s="128" t="s">
        <v>28459</v>
      </c>
      <c r="C428" s="194" t="s">
        <v>31</v>
      </c>
      <c r="D428" s="195">
        <v>672</v>
      </c>
      <c r="E428" s="196">
        <v>44808</v>
      </c>
      <c r="F428" s="195">
        <v>672</v>
      </c>
      <c r="G428" s="197">
        <f>Tabla110[[#This Row],[Importe]]-Tabla110[[#This Row],[Pagado]]</f>
        <v>0</v>
      </c>
      <c r="H428" s="194" t="s">
        <v>10</v>
      </c>
    </row>
    <row r="429" spans="1:8" x14ac:dyDescent="0.25">
      <c r="A429" s="127">
        <v>44808</v>
      </c>
      <c r="B429" s="128" t="s">
        <v>28460</v>
      </c>
      <c r="C429" s="194" t="s">
        <v>994</v>
      </c>
      <c r="D429" s="195">
        <v>1833</v>
      </c>
      <c r="E429" s="196">
        <v>44808</v>
      </c>
      <c r="F429" s="195">
        <v>1833</v>
      </c>
      <c r="G429" s="197">
        <f>Tabla110[[#This Row],[Importe]]-Tabla110[[#This Row],[Pagado]]</f>
        <v>0</v>
      </c>
      <c r="H429" s="194" t="s">
        <v>10</v>
      </c>
    </row>
    <row r="430" spans="1:8" x14ac:dyDescent="0.25">
      <c r="A430" s="127">
        <v>44808</v>
      </c>
      <c r="B430" s="128" t="s">
        <v>28461</v>
      </c>
      <c r="C430" s="194" t="s">
        <v>4027</v>
      </c>
      <c r="D430" s="195">
        <v>334</v>
      </c>
      <c r="E430" s="196">
        <v>44808</v>
      </c>
      <c r="F430" s="195">
        <v>334</v>
      </c>
      <c r="G430" s="197">
        <f>Tabla110[[#This Row],[Importe]]-Tabla110[[#This Row],[Pagado]]</f>
        <v>0</v>
      </c>
      <c r="H430" s="194" t="s">
        <v>10</v>
      </c>
    </row>
    <row r="431" spans="1:8" x14ac:dyDescent="0.25">
      <c r="A431" s="127">
        <v>44808</v>
      </c>
      <c r="B431" s="128" t="s">
        <v>28462</v>
      </c>
      <c r="C431" s="194" t="s">
        <v>75</v>
      </c>
      <c r="D431" s="195">
        <v>10332</v>
      </c>
      <c r="E431" s="196">
        <v>44808</v>
      </c>
      <c r="F431" s="195">
        <v>10332</v>
      </c>
      <c r="G431" s="197">
        <f>Tabla110[[#This Row],[Importe]]-Tabla110[[#This Row],[Pagado]]</f>
        <v>0</v>
      </c>
      <c r="H431" s="194" t="s">
        <v>10</v>
      </c>
    </row>
    <row r="432" spans="1:8" x14ac:dyDescent="0.25">
      <c r="A432" s="127">
        <v>44808</v>
      </c>
      <c r="B432" s="128" t="s">
        <v>28463</v>
      </c>
      <c r="C432" s="194" t="s">
        <v>191</v>
      </c>
      <c r="D432" s="195">
        <v>613.79999999999995</v>
      </c>
      <c r="E432" s="196">
        <v>44808</v>
      </c>
      <c r="F432" s="195">
        <v>613.79999999999995</v>
      </c>
      <c r="G432" s="197">
        <f>Tabla110[[#This Row],[Importe]]-Tabla110[[#This Row],[Pagado]]</f>
        <v>0</v>
      </c>
      <c r="H432" s="194" t="s">
        <v>10</v>
      </c>
    </row>
    <row r="433" spans="1:8" x14ac:dyDescent="0.25">
      <c r="A433" s="127">
        <v>44808</v>
      </c>
      <c r="B433" s="128" t="s">
        <v>28464</v>
      </c>
      <c r="C433" s="194" t="s">
        <v>67</v>
      </c>
      <c r="D433" s="195">
        <v>1384.8</v>
      </c>
      <c r="E433" s="196">
        <v>44808</v>
      </c>
      <c r="F433" s="195">
        <v>1384.8</v>
      </c>
      <c r="G433" s="197">
        <f>Tabla110[[#This Row],[Importe]]-Tabla110[[#This Row],[Pagado]]</f>
        <v>0</v>
      </c>
      <c r="H433" s="194" t="s">
        <v>10</v>
      </c>
    </row>
    <row r="434" spans="1:8" x14ac:dyDescent="0.25">
      <c r="A434" s="127">
        <v>44808</v>
      </c>
      <c r="B434" s="128" t="s">
        <v>28465</v>
      </c>
      <c r="C434" s="194" t="s">
        <v>296</v>
      </c>
      <c r="D434" s="195">
        <v>2090.4</v>
      </c>
      <c r="E434" s="196">
        <v>44808</v>
      </c>
      <c r="F434" s="195">
        <v>2090.4</v>
      </c>
      <c r="G434" s="197">
        <f>Tabla110[[#This Row],[Importe]]-Tabla110[[#This Row],[Pagado]]</f>
        <v>0</v>
      </c>
      <c r="H434" s="194" t="s">
        <v>10</v>
      </c>
    </row>
    <row r="435" spans="1:8" x14ac:dyDescent="0.25">
      <c r="A435" s="127">
        <v>44808</v>
      </c>
      <c r="B435" s="128" t="s">
        <v>28466</v>
      </c>
      <c r="C435" s="194" t="s">
        <v>69</v>
      </c>
      <c r="D435" s="195">
        <v>3031</v>
      </c>
      <c r="E435" s="196">
        <v>44808</v>
      </c>
      <c r="F435" s="195">
        <v>3031</v>
      </c>
      <c r="G435" s="197">
        <f>Tabla110[[#This Row],[Importe]]-Tabla110[[#This Row],[Pagado]]</f>
        <v>0</v>
      </c>
      <c r="H435" s="194" t="s">
        <v>10</v>
      </c>
    </row>
    <row r="436" spans="1:8" ht="31.5" x14ac:dyDescent="0.25">
      <c r="A436" s="127">
        <v>44809</v>
      </c>
      <c r="B436" s="128" t="s">
        <v>28467</v>
      </c>
      <c r="C436" s="194" t="s">
        <v>12</v>
      </c>
      <c r="D436" s="195">
        <v>28023.599999999999</v>
      </c>
      <c r="E436" s="198" t="s">
        <v>28272</v>
      </c>
      <c r="F436" s="195">
        <f>24000+4023.6</f>
        <v>28023.599999999999</v>
      </c>
      <c r="G436" s="197">
        <f>Tabla110[[#This Row],[Importe]]-Tabla110[[#This Row],[Pagado]]</f>
        <v>0</v>
      </c>
      <c r="H436" s="194" t="s">
        <v>10</v>
      </c>
    </row>
    <row r="437" spans="1:8" x14ac:dyDescent="0.25">
      <c r="A437" s="127">
        <v>44809</v>
      </c>
      <c r="B437" s="128" t="s">
        <v>28468</v>
      </c>
      <c r="C437" s="194" t="s">
        <v>887</v>
      </c>
      <c r="D437" s="195">
        <v>16848</v>
      </c>
      <c r="E437" s="196">
        <v>44809</v>
      </c>
      <c r="F437" s="195">
        <v>16848</v>
      </c>
      <c r="G437" s="197">
        <f>Tabla110[[#This Row],[Importe]]-Tabla110[[#This Row],[Pagado]]</f>
        <v>0</v>
      </c>
      <c r="H437" s="194" t="s">
        <v>10</v>
      </c>
    </row>
    <row r="438" spans="1:8" x14ac:dyDescent="0.25">
      <c r="A438" s="127">
        <v>44809</v>
      </c>
      <c r="B438" s="128" t="s">
        <v>28469</v>
      </c>
      <c r="C438" s="194" t="s">
        <v>475</v>
      </c>
      <c r="D438" s="195">
        <v>89661</v>
      </c>
      <c r="E438" s="196">
        <v>44811</v>
      </c>
      <c r="F438" s="195">
        <v>89661</v>
      </c>
      <c r="G438" s="197">
        <f>Tabla110[[#This Row],[Importe]]-Tabla110[[#This Row],[Pagado]]</f>
        <v>0</v>
      </c>
      <c r="H438" s="194" t="s">
        <v>10</v>
      </c>
    </row>
    <row r="439" spans="1:8" x14ac:dyDescent="0.25">
      <c r="A439" s="127">
        <v>44809</v>
      </c>
      <c r="B439" s="128" t="s">
        <v>28470</v>
      </c>
      <c r="C439" s="194" t="s">
        <v>1187</v>
      </c>
      <c r="D439" s="195">
        <v>1987.5</v>
      </c>
      <c r="E439" s="196">
        <v>44809</v>
      </c>
      <c r="F439" s="195">
        <v>1987.5</v>
      </c>
      <c r="G439" s="197">
        <f>Tabla110[[#This Row],[Importe]]-Tabla110[[#This Row],[Pagado]]</f>
        <v>0</v>
      </c>
      <c r="H439" s="194" t="s">
        <v>10</v>
      </c>
    </row>
    <row r="440" spans="1:8" x14ac:dyDescent="0.25">
      <c r="A440" s="127">
        <v>44809</v>
      </c>
      <c r="B440" s="128" t="s">
        <v>28471</v>
      </c>
      <c r="C440" s="194" t="s">
        <v>75</v>
      </c>
      <c r="D440" s="195">
        <v>9065</v>
      </c>
      <c r="E440" s="196">
        <v>44809</v>
      </c>
      <c r="F440" s="195">
        <v>9065</v>
      </c>
      <c r="G440" s="197">
        <f>Tabla110[[#This Row],[Importe]]-Tabla110[[#This Row],[Pagado]]</f>
        <v>0</v>
      </c>
      <c r="H440" s="194" t="s">
        <v>10</v>
      </c>
    </row>
    <row r="441" spans="1:8" x14ac:dyDescent="0.25">
      <c r="A441" s="127">
        <v>44809</v>
      </c>
      <c r="B441" s="128" t="s">
        <v>28472</v>
      </c>
      <c r="C441" s="194" t="s">
        <v>18</v>
      </c>
      <c r="D441" s="195">
        <v>1822.5</v>
      </c>
      <c r="E441" s="196">
        <v>44809</v>
      </c>
      <c r="F441" s="195">
        <v>1822.5</v>
      </c>
      <c r="G441" s="197">
        <f>Tabla110[[#This Row],[Importe]]-Tabla110[[#This Row],[Pagado]]</f>
        <v>0</v>
      </c>
      <c r="H441" s="194" t="s">
        <v>10</v>
      </c>
    </row>
    <row r="442" spans="1:8" x14ac:dyDescent="0.25">
      <c r="A442" s="127">
        <v>44809</v>
      </c>
      <c r="B442" s="128" t="s">
        <v>28473</v>
      </c>
      <c r="C442" s="194" t="s">
        <v>473</v>
      </c>
      <c r="D442" s="195">
        <v>8944</v>
      </c>
      <c r="E442" s="196">
        <v>44809</v>
      </c>
      <c r="F442" s="195">
        <v>8944</v>
      </c>
      <c r="G442" s="197">
        <f>Tabla110[[#This Row],[Importe]]-Tabla110[[#This Row],[Pagado]]</f>
        <v>0</v>
      </c>
      <c r="H442" s="194" t="s">
        <v>10</v>
      </c>
    </row>
    <row r="443" spans="1:8" x14ac:dyDescent="0.25">
      <c r="A443" s="127">
        <v>44809</v>
      </c>
      <c r="B443" s="128" t="s">
        <v>28474</v>
      </c>
      <c r="C443" s="194" t="s">
        <v>314</v>
      </c>
      <c r="D443" s="195">
        <v>1386</v>
      </c>
      <c r="E443" s="196">
        <v>44809</v>
      </c>
      <c r="F443" s="195">
        <v>1386</v>
      </c>
      <c r="G443" s="197">
        <f>Tabla110[[#This Row],[Importe]]-Tabla110[[#This Row],[Pagado]]</f>
        <v>0</v>
      </c>
      <c r="H443" s="194" t="s">
        <v>10</v>
      </c>
    </row>
    <row r="444" spans="1:8" x14ac:dyDescent="0.25">
      <c r="A444" s="127">
        <v>44809</v>
      </c>
      <c r="B444" s="128" t="s">
        <v>28475</v>
      </c>
      <c r="C444" s="194" t="s">
        <v>87</v>
      </c>
      <c r="D444" s="195">
        <v>3316</v>
      </c>
      <c r="E444" s="196">
        <v>44809</v>
      </c>
      <c r="F444" s="195">
        <v>3316</v>
      </c>
      <c r="G444" s="197">
        <f>Tabla110[[#This Row],[Importe]]-Tabla110[[#This Row],[Pagado]]</f>
        <v>0</v>
      </c>
      <c r="H444" s="194" t="s">
        <v>10</v>
      </c>
    </row>
    <row r="445" spans="1:8" x14ac:dyDescent="0.25">
      <c r="A445" s="127">
        <v>44809</v>
      </c>
      <c r="B445" s="128" t="s">
        <v>28476</v>
      </c>
      <c r="C445" s="194" t="s">
        <v>353</v>
      </c>
      <c r="D445" s="195">
        <v>1984</v>
      </c>
      <c r="E445" s="196">
        <v>44809</v>
      </c>
      <c r="F445" s="195">
        <v>1984</v>
      </c>
      <c r="G445" s="197">
        <f>Tabla110[[#This Row],[Importe]]-Tabla110[[#This Row],[Pagado]]</f>
        <v>0</v>
      </c>
      <c r="H445" s="194" t="s">
        <v>10</v>
      </c>
    </row>
    <row r="446" spans="1:8" x14ac:dyDescent="0.25">
      <c r="A446" s="127">
        <v>44809</v>
      </c>
      <c r="B446" s="128" t="s">
        <v>28477</v>
      </c>
      <c r="C446" s="194" t="s">
        <v>9</v>
      </c>
      <c r="D446" s="195">
        <v>8908.6</v>
      </c>
      <c r="E446" s="196">
        <v>44809</v>
      </c>
      <c r="F446" s="195">
        <v>8908.6</v>
      </c>
      <c r="G446" s="197">
        <f>Tabla110[[#This Row],[Importe]]-Tabla110[[#This Row],[Pagado]]</f>
        <v>0</v>
      </c>
      <c r="H446" s="194" t="s">
        <v>10</v>
      </c>
    </row>
    <row r="447" spans="1:8" x14ac:dyDescent="0.25">
      <c r="A447" s="127">
        <v>44809</v>
      </c>
      <c r="B447" s="128" t="s">
        <v>28478</v>
      </c>
      <c r="C447" s="194" t="s">
        <v>109</v>
      </c>
      <c r="D447" s="195">
        <v>5581.8</v>
      </c>
      <c r="E447" s="196">
        <v>44809</v>
      </c>
      <c r="F447" s="195">
        <v>5581.8</v>
      </c>
      <c r="G447" s="197">
        <f>Tabla110[[#This Row],[Importe]]-Tabla110[[#This Row],[Pagado]]</f>
        <v>0</v>
      </c>
      <c r="H447" s="194" t="s">
        <v>10</v>
      </c>
    </row>
    <row r="448" spans="1:8" x14ac:dyDescent="0.25">
      <c r="A448" s="127">
        <v>44809</v>
      </c>
      <c r="B448" s="128" t="s">
        <v>28479</v>
      </c>
      <c r="C448" s="194" t="s">
        <v>60</v>
      </c>
      <c r="D448" s="195">
        <v>4849</v>
      </c>
      <c r="E448" s="196">
        <v>44813</v>
      </c>
      <c r="F448" s="195">
        <v>4849</v>
      </c>
      <c r="G448" s="197">
        <f>Tabla110[[#This Row],[Importe]]-Tabla110[[#This Row],[Pagado]]</f>
        <v>0</v>
      </c>
      <c r="H448" s="194" t="s">
        <v>10</v>
      </c>
    </row>
    <row r="449" spans="1:8" x14ac:dyDescent="0.25">
      <c r="A449" s="127">
        <v>44809</v>
      </c>
      <c r="B449" s="128" t="s">
        <v>28480</v>
      </c>
      <c r="C449" s="194" t="s">
        <v>64</v>
      </c>
      <c r="D449" s="195">
        <v>5070</v>
      </c>
      <c r="E449" s="196">
        <v>44810</v>
      </c>
      <c r="F449" s="195">
        <v>5070</v>
      </c>
      <c r="G449" s="197">
        <f>Tabla110[[#This Row],[Importe]]-Tabla110[[#This Row],[Pagado]]</f>
        <v>0</v>
      </c>
      <c r="H449" s="194" t="s">
        <v>10</v>
      </c>
    </row>
    <row r="450" spans="1:8" x14ac:dyDescent="0.25">
      <c r="A450" s="127">
        <v>44809</v>
      </c>
      <c r="B450" s="128" t="s">
        <v>28481</v>
      </c>
      <c r="C450" s="194" t="s">
        <v>2151</v>
      </c>
      <c r="D450" s="195">
        <v>23320.5</v>
      </c>
      <c r="E450" s="196">
        <v>44809</v>
      </c>
      <c r="F450" s="195">
        <v>23320.5</v>
      </c>
      <c r="G450" s="197">
        <f>Tabla110[[#This Row],[Importe]]-Tabla110[[#This Row],[Pagado]]</f>
        <v>0</v>
      </c>
      <c r="H450" s="194" t="s">
        <v>10</v>
      </c>
    </row>
    <row r="451" spans="1:8" x14ac:dyDescent="0.25">
      <c r="A451" s="127">
        <v>44809</v>
      </c>
      <c r="B451" s="128" t="s">
        <v>28482</v>
      </c>
      <c r="C451" s="194" t="s">
        <v>114</v>
      </c>
      <c r="D451" s="195">
        <v>9714.2999999999993</v>
      </c>
      <c r="E451" s="196">
        <v>44810</v>
      </c>
      <c r="F451" s="195">
        <v>9714.2999999999993</v>
      </c>
      <c r="G451" s="197">
        <f>Tabla110[[#This Row],[Importe]]-Tabla110[[#This Row],[Pagado]]</f>
        <v>0</v>
      </c>
      <c r="H451" s="194" t="s">
        <v>10</v>
      </c>
    </row>
    <row r="452" spans="1:8" x14ac:dyDescent="0.25">
      <c r="A452" s="127">
        <v>44809</v>
      </c>
      <c r="B452" s="128" t="s">
        <v>28483</v>
      </c>
      <c r="C452" s="194" t="s">
        <v>22</v>
      </c>
      <c r="D452" s="195">
        <v>69330.3</v>
      </c>
      <c r="E452" s="196">
        <v>44810</v>
      </c>
      <c r="F452" s="195">
        <v>69330.3</v>
      </c>
      <c r="G452" s="197">
        <f>Tabla110[[#This Row],[Importe]]-Tabla110[[#This Row],[Pagado]]</f>
        <v>0</v>
      </c>
      <c r="H452" s="194" t="s">
        <v>10</v>
      </c>
    </row>
    <row r="453" spans="1:8" x14ac:dyDescent="0.25">
      <c r="A453" s="127">
        <v>44809</v>
      </c>
      <c r="B453" s="128" t="s">
        <v>28484</v>
      </c>
      <c r="C453" s="194" t="s">
        <v>10586</v>
      </c>
      <c r="D453" s="195">
        <v>6079.5</v>
      </c>
      <c r="E453" s="196">
        <v>44810</v>
      </c>
      <c r="F453" s="195">
        <v>6079.5</v>
      </c>
      <c r="G453" s="197">
        <f>Tabla110[[#This Row],[Importe]]-Tabla110[[#This Row],[Pagado]]</f>
        <v>0</v>
      </c>
      <c r="H453" s="194" t="s">
        <v>10</v>
      </c>
    </row>
    <row r="454" spans="1:8" x14ac:dyDescent="0.25">
      <c r="A454" s="127">
        <v>44809</v>
      </c>
      <c r="B454" s="128" t="s">
        <v>28485</v>
      </c>
      <c r="C454" s="194" t="s">
        <v>326</v>
      </c>
      <c r="D454" s="195">
        <v>9016.2000000000007</v>
      </c>
      <c r="E454" s="196">
        <v>44810</v>
      </c>
      <c r="F454" s="195">
        <v>9016.2000000000007</v>
      </c>
      <c r="G454" s="197">
        <f>Tabla110[[#This Row],[Importe]]-Tabla110[[#This Row],[Pagado]]</f>
        <v>0</v>
      </c>
      <c r="H454" s="194" t="s">
        <v>10</v>
      </c>
    </row>
    <row r="455" spans="1:8" x14ac:dyDescent="0.25">
      <c r="A455" s="127">
        <v>44809</v>
      </c>
      <c r="B455" s="128" t="s">
        <v>28486</v>
      </c>
      <c r="C455" s="194" t="s">
        <v>89</v>
      </c>
      <c r="D455" s="195">
        <v>4266</v>
      </c>
      <c r="E455" s="196">
        <v>44810</v>
      </c>
      <c r="F455" s="195">
        <v>4266</v>
      </c>
      <c r="G455" s="197">
        <f>Tabla110[[#This Row],[Importe]]-Tabla110[[#This Row],[Pagado]]</f>
        <v>0</v>
      </c>
      <c r="H455" s="194" t="s">
        <v>10</v>
      </c>
    </row>
    <row r="456" spans="1:8" x14ac:dyDescent="0.25">
      <c r="A456" s="127">
        <v>44809</v>
      </c>
      <c r="B456" s="128" t="s">
        <v>28487</v>
      </c>
      <c r="C456" s="194" t="s">
        <v>17556</v>
      </c>
      <c r="D456" s="195">
        <v>3737.6</v>
      </c>
      <c r="E456" s="196">
        <v>44809</v>
      </c>
      <c r="F456" s="195">
        <v>3737.6</v>
      </c>
      <c r="G456" s="197">
        <f>Tabla110[[#This Row],[Importe]]-Tabla110[[#This Row],[Pagado]]</f>
        <v>0</v>
      </c>
      <c r="H456" s="194" t="s">
        <v>10</v>
      </c>
    </row>
    <row r="457" spans="1:8" x14ac:dyDescent="0.25">
      <c r="A457" s="127">
        <v>44809</v>
      </c>
      <c r="B457" s="128" t="s">
        <v>28488</v>
      </c>
      <c r="C457" s="194" t="s">
        <v>97</v>
      </c>
      <c r="D457" s="195">
        <v>7875.5</v>
      </c>
      <c r="E457" s="196">
        <v>44810</v>
      </c>
      <c r="F457" s="195">
        <v>7875.5</v>
      </c>
      <c r="G457" s="197">
        <f>Tabla110[[#This Row],[Importe]]-Tabla110[[#This Row],[Pagado]]</f>
        <v>0</v>
      </c>
      <c r="H457" s="194" t="s">
        <v>10</v>
      </c>
    </row>
    <row r="458" spans="1:8" x14ac:dyDescent="0.25">
      <c r="A458" s="127">
        <v>44809</v>
      </c>
      <c r="B458" s="128" t="s">
        <v>28489</v>
      </c>
      <c r="C458" s="194" t="s">
        <v>105</v>
      </c>
      <c r="D458" s="195">
        <v>8245.7999999999993</v>
      </c>
      <c r="E458" s="196">
        <v>44809</v>
      </c>
      <c r="F458" s="195">
        <v>8245.7999999999993</v>
      </c>
      <c r="G458" s="197">
        <f>Tabla110[[#This Row],[Importe]]-Tabla110[[#This Row],[Pagado]]</f>
        <v>0</v>
      </c>
      <c r="H458" s="194" t="s">
        <v>10</v>
      </c>
    </row>
    <row r="459" spans="1:8" x14ac:dyDescent="0.25">
      <c r="A459" s="127">
        <v>44809</v>
      </c>
      <c r="B459" s="128" t="s">
        <v>28490</v>
      </c>
      <c r="C459" s="194" t="s">
        <v>39</v>
      </c>
      <c r="D459" s="195">
        <v>1076</v>
      </c>
      <c r="E459" s="196">
        <v>44809</v>
      </c>
      <c r="F459" s="195">
        <v>1076</v>
      </c>
      <c r="G459" s="197">
        <f>Tabla110[[#This Row],[Importe]]-Tabla110[[#This Row],[Pagado]]</f>
        <v>0</v>
      </c>
      <c r="H459" s="194" t="s">
        <v>10</v>
      </c>
    </row>
    <row r="460" spans="1:8" x14ac:dyDescent="0.25">
      <c r="A460" s="127">
        <v>44809</v>
      </c>
      <c r="B460" s="128" t="s">
        <v>28491</v>
      </c>
      <c r="C460" s="194" t="s">
        <v>918</v>
      </c>
      <c r="D460" s="195">
        <v>388</v>
      </c>
      <c r="E460" s="196">
        <v>44809</v>
      </c>
      <c r="F460" s="195">
        <v>388</v>
      </c>
      <c r="G460" s="197">
        <f>Tabla110[[#This Row],[Importe]]-Tabla110[[#This Row],[Pagado]]</f>
        <v>0</v>
      </c>
      <c r="H460" s="194" t="s">
        <v>10</v>
      </c>
    </row>
    <row r="461" spans="1:8" x14ac:dyDescent="0.25">
      <c r="A461" s="127">
        <v>44809</v>
      </c>
      <c r="B461" s="128" t="s">
        <v>28492</v>
      </c>
      <c r="C461" s="194" t="s">
        <v>2563</v>
      </c>
      <c r="D461" s="195">
        <v>5044</v>
      </c>
      <c r="E461" s="196">
        <v>44810</v>
      </c>
      <c r="F461" s="195">
        <v>5044</v>
      </c>
      <c r="G461" s="197">
        <f>Tabla110[[#This Row],[Importe]]-Tabla110[[#This Row],[Pagado]]</f>
        <v>0</v>
      </c>
      <c r="H461" s="194" t="s">
        <v>10</v>
      </c>
    </row>
    <row r="462" spans="1:8" x14ac:dyDescent="0.25">
      <c r="A462" s="127">
        <v>44809</v>
      </c>
      <c r="B462" s="128" t="s">
        <v>28493</v>
      </c>
      <c r="C462" s="194" t="s">
        <v>111</v>
      </c>
      <c r="D462" s="195">
        <v>5266.8</v>
      </c>
      <c r="E462" s="196">
        <v>44810</v>
      </c>
      <c r="F462" s="195">
        <v>5266.8</v>
      </c>
      <c r="G462" s="197">
        <f>Tabla110[[#This Row],[Importe]]-Tabla110[[#This Row],[Pagado]]</f>
        <v>0</v>
      </c>
      <c r="H462" s="194" t="s">
        <v>10</v>
      </c>
    </row>
    <row r="463" spans="1:8" x14ac:dyDescent="0.25">
      <c r="A463" s="127">
        <v>44809</v>
      </c>
      <c r="B463" s="128" t="s">
        <v>28494</v>
      </c>
      <c r="C463" s="194" t="s">
        <v>345</v>
      </c>
      <c r="D463" s="195">
        <v>1940</v>
      </c>
      <c r="E463" s="196">
        <v>44809</v>
      </c>
      <c r="F463" s="195">
        <v>1940</v>
      </c>
      <c r="G463" s="197">
        <f>Tabla110[[#This Row],[Importe]]-Tabla110[[#This Row],[Pagado]]</f>
        <v>0</v>
      </c>
      <c r="H463" s="194" t="s">
        <v>10</v>
      </c>
    </row>
    <row r="464" spans="1:8" x14ac:dyDescent="0.25">
      <c r="A464" s="127">
        <v>44809</v>
      </c>
      <c r="B464" s="128" t="s">
        <v>28495</v>
      </c>
      <c r="C464" s="194" t="s">
        <v>99</v>
      </c>
      <c r="D464" s="195">
        <v>5329.8</v>
      </c>
      <c r="E464" s="196">
        <v>44811</v>
      </c>
      <c r="F464" s="195">
        <v>5329.8</v>
      </c>
      <c r="G464" s="197">
        <f>Tabla110[[#This Row],[Importe]]-Tabla110[[#This Row],[Pagado]]</f>
        <v>0</v>
      </c>
      <c r="H464" s="194" t="s">
        <v>10</v>
      </c>
    </row>
    <row r="465" spans="1:8" x14ac:dyDescent="0.25">
      <c r="A465" s="127">
        <v>44809</v>
      </c>
      <c r="B465" s="128" t="s">
        <v>28496</v>
      </c>
      <c r="C465" s="194" t="s">
        <v>93</v>
      </c>
      <c r="D465" s="195">
        <v>8065.4</v>
      </c>
      <c r="E465" s="196">
        <v>44811</v>
      </c>
      <c r="F465" s="195">
        <v>8065.4</v>
      </c>
      <c r="G465" s="197">
        <f>Tabla110[[#This Row],[Importe]]-Tabla110[[#This Row],[Pagado]]</f>
        <v>0</v>
      </c>
      <c r="H465" s="194" t="s">
        <v>10</v>
      </c>
    </row>
    <row r="466" spans="1:8" x14ac:dyDescent="0.25">
      <c r="A466" s="127">
        <v>44809</v>
      </c>
      <c r="B466" s="128" t="s">
        <v>28497</v>
      </c>
      <c r="C466" s="194" t="s">
        <v>348</v>
      </c>
      <c r="D466" s="195">
        <v>6534</v>
      </c>
      <c r="E466" s="196">
        <v>44809</v>
      </c>
      <c r="F466" s="195">
        <v>6534</v>
      </c>
      <c r="G466" s="197">
        <f>Tabla110[[#This Row],[Importe]]-Tabla110[[#This Row],[Pagado]]</f>
        <v>0</v>
      </c>
      <c r="H466" s="194" t="s">
        <v>10</v>
      </c>
    </row>
    <row r="467" spans="1:8" x14ac:dyDescent="0.25">
      <c r="A467" s="127">
        <v>44809</v>
      </c>
      <c r="B467" s="128" t="s">
        <v>28498</v>
      </c>
      <c r="C467" s="194" t="s">
        <v>703</v>
      </c>
      <c r="D467" s="195">
        <v>2790.3</v>
      </c>
      <c r="E467" s="196">
        <v>44809</v>
      </c>
      <c r="F467" s="195">
        <v>2790.3</v>
      </c>
      <c r="G467" s="197">
        <f>Tabla110[[#This Row],[Importe]]-Tabla110[[#This Row],[Pagado]]</f>
        <v>0</v>
      </c>
      <c r="H467" s="194" t="s">
        <v>10</v>
      </c>
    </row>
    <row r="468" spans="1:8" x14ac:dyDescent="0.25">
      <c r="A468" s="127">
        <v>44809</v>
      </c>
      <c r="B468" s="128" t="s">
        <v>28499</v>
      </c>
      <c r="C468" s="194" t="s">
        <v>703</v>
      </c>
      <c r="D468" s="195">
        <v>4863.5</v>
      </c>
      <c r="E468" s="196">
        <v>44809</v>
      </c>
      <c r="F468" s="195">
        <v>4863.5</v>
      </c>
      <c r="G468" s="197">
        <f>Tabla110[[#This Row],[Importe]]-Tabla110[[#This Row],[Pagado]]</f>
        <v>0</v>
      </c>
      <c r="H468" s="194" t="s">
        <v>10</v>
      </c>
    </row>
    <row r="469" spans="1:8" x14ac:dyDescent="0.25">
      <c r="A469" s="127">
        <v>44809</v>
      </c>
      <c r="B469" s="128" t="s">
        <v>28500</v>
      </c>
      <c r="C469" s="194" t="s">
        <v>804</v>
      </c>
      <c r="D469" s="195">
        <v>20393.599999999999</v>
      </c>
      <c r="E469" s="196">
        <v>44809</v>
      </c>
      <c r="F469" s="195">
        <v>20393.599999999999</v>
      </c>
      <c r="G469" s="197">
        <f>Tabla110[[#This Row],[Importe]]-Tabla110[[#This Row],[Pagado]]</f>
        <v>0</v>
      </c>
      <c r="H469" s="194" t="s">
        <v>10</v>
      </c>
    </row>
    <row r="470" spans="1:8" x14ac:dyDescent="0.25">
      <c r="A470" s="127">
        <v>44809</v>
      </c>
      <c r="B470" s="128" t="s">
        <v>28501</v>
      </c>
      <c r="C470" s="194" t="s">
        <v>924</v>
      </c>
      <c r="D470" s="195">
        <v>17541.400000000001</v>
      </c>
      <c r="E470" s="196">
        <v>44809</v>
      </c>
      <c r="F470" s="195">
        <v>17541.400000000001</v>
      </c>
      <c r="G470" s="197">
        <f>Tabla110[[#This Row],[Importe]]-Tabla110[[#This Row],[Pagado]]</f>
        <v>0</v>
      </c>
      <c r="H470" s="194" t="s">
        <v>10</v>
      </c>
    </row>
    <row r="471" spans="1:8" x14ac:dyDescent="0.25">
      <c r="A471" s="127">
        <v>44809</v>
      </c>
      <c r="B471" s="128" t="s">
        <v>28502</v>
      </c>
      <c r="C471" s="194" t="s">
        <v>16</v>
      </c>
      <c r="D471" s="195">
        <v>7447.3</v>
      </c>
      <c r="E471" s="196">
        <v>44809</v>
      </c>
      <c r="F471" s="195">
        <v>7447.3</v>
      </c>
      <c r="G471" s="197">
        <f>Tabla110[[#This Row],[Importe]]-Tabla110[[#This Row],[Pagado]]</f>
        <v>0</v>
      </c>
      <c r="H471" s="194" t="s">
        <v>10</v>
      </c>
    </row>
    <row r="472" spans="1:8" x14ac:dyDescent="0.25">
      <c r="A472" s="127">
        <v>44809</v>
      </c>
      <c r="B472" s="128" t="s">
        <v>28503</v>
      </c>
      <c r="C472" s="194" t="s">
        <v>45</v>
      </c>
      <c r="D472" s="195">
        <v>9290</v>
      </c>
      <c r="E472" s="196">
        <v>44809</v>
      </c>
      <c r="F472" s="195">
        <v>9290</v>
      </c>
      <c r="G472" s="197">
        <f>Tabla110[[#This Row],[Importe]]-Tabla110[[#This Row],[Pagado]]</f>
        <v>0</v>
      </c>
      <c r="H472" s="194" t="s">
        <v>10</v>
      </c>
    </row>
    <row r="473" spans="1:8" x14ac:dyDescent="0.25">
      <c r="A473" s="127">
        <v>44809</v>
      </c>
      <c r="B473" s="128" t="s">
        <v>28504</v>
      </c>
      <c r="C473" s="194" t="s">
        <v>222</v>
      </c>
      <c r="D473" s="195">
        <v>11428.4</v>
      </c>
      <c r="E473" s="196">
        <v>44809</v>
      </c>
      <c r="F473" s="195">
        <v>11428.4</v>
      </c>
      <c r="G473" s="197">
        <f>Tabla110[[#This Row],[Importe]]-Tabla110[[#This Row],[Pagado]]</f>
        <v>0</v>
      </c>
      <c r="H473" s="194" t="s">
        <v>10</v>
      </c>
    </row>
    <row r="474" spans="1:8" x14ac:dyDescent="0.25">
      <c r="A474" s="127">
        <v>44809</v>
      </c>
      <c r="B474" s="128" t="s">
        <v>28505</v>
      </c>
      <c r="C474" s="194" t="s">
        <v>83</v>
      </c>
      <c r="D474" s="195">
        <v>12552</v>
      </c>
      <c r="E474" s="196">
        <v>44809</v>
      </c>
      <c r="F474" s="195">
        <v>12552</v>
      </c>
      <c r="G474" s="197">
        <f>Tabla110[[#This Row],[Importe]]-Tabla110[[#This Row],[Pagado]]</f>
        <v>0</v>
      </c>
      <c r="H474" s="194" t="s">
        <v>10</v>
      </c>
    </row>
    <row r="475" spans="1:8" x14ac:dyDescent="0.25">
      <c r="A475" s="127">
        <v>44809</v>
      </c>
      <c r="B475" s="128" t="s">
        <v>28506</v>
      </c>
      <c r="C475" s="194" t="s">
        <v>27</v>
      </c>
      <c r="D475" s="195">
        <v>3999.8</v>
      </c>
      <c r="E475" s="196">
        <v>44809</v>
      </c>
      <c r="F475" s="195">
        <v>3999.8</v>
      </c>
      <c r="G475" s="197">
        <f>Tabla110[[#This Row],[Importe]]-Tabla110[[#This Row],[Pagado]]</f>
        <v>0</v>
      </c>
      <c r="H475" s="194" t="s">
        <v>10</v>
      </c>
    </row>
    <row r="476" spans="1:8" x14ac:dyDescent="0.25">
      <c r="A476" s="127">
        <v>44809</v>
      </c>
      <c r="B476" s="128" t="s">
        <v>28507</v>
      </c>
      <c r="C476" s="194" t="s">
        <v>240</v>
      </c>
      <c r="D476" s="195">
        <v>6088.5</v>
      </c>
      <c r="E476" s="196">
        <v>44809</v>
      </c>
      <c r="F476" s="195">
        <v>6088.5</v>
      </c>
      <c r="G476" s="197">
        <f>Tabla110[[#This Row],[Importe]]-Tabla110[[#This Row],[Pagado]]</f>
        <v>0</v>
      </c>
      <c r="H476" s="194" t="s">
        <v>10</v>
      </c>
    </row>
    <row r="477" spans="1:8" x14ac:dyDescent="0.25">
      <c r="A477" s="127">
        <v>44809</v>
      </c>
      <c r="B477" s="128" t="s">
        <v>28508</v>
      </c>
      <c r="C477" s="194" t="s">
        <v>146</v>
      </c>
      <c r="D477" s="195">
        <v>4321.2</v>
      </c>
      <c r="E477" s="196">
        <v>44809</v>
      </c>
      <c r="F477" s="195">
        <v>4321.2</v>
      </c>
      <c r="G477" s="197">
        <f>Tabla110[[#This Row],[Importe]]-Tabla110[[#This Row],[Pagado]]</f>
        <v>0</v>
      </c>
      <c r="H477" s="194" t="s">
        <v>10</v>
      </c>
    </row>
    <row r="478" spans="1:8" x14ac:dyDescent="0.25">
      <c r="A478" s="127">
        <v>44809</v>
      </c>
      <c r="B478" s="128" t="s">
        <v>28509</v>
      </c>
      <c r="C478" s="194" t="s">
        <v>333</v>
      </c>
      <c r="D478" s="195">
        <v>1524.4</v>
      </c>
      <c r="E478" s="196">
        <v>44809</v>
      </c>
      <c r="F478" s="195">
        <v>1524.4</v>
      </c>
      <c r="G478" s="197">
        <f>Tabla110[[#This Row],[Importe]]-Tabla110[[#This Row],[Pagado]]</f>
        <v>0</v>
      </c>
      <c r="H478" s="194" t="s">
        <v>10</v>
      </c>
    </row>
    <row r="479" spans="1:8" x14ac:dyDescent="0.25">
      <c r="A479" s="127">
        <v>44809</v>
      </c>
      <c r="B479" s="128" t="s">
        <v>28510</v>
      </c>
      <c r="C479" s="194" t="s">
        <v>107</v>
      </c>
      <c r="D479" s="195">
        <v>14521</v>
      </c>
      <c r="E479" s="196">
        <v>44809</v>
      </c>
      <c r="F479" s="195">
        <v>14521</v>
      </c>
      <c r="G479" s="197">
        <f>Tabla110[[#This Row],[Importe]]-Tabla110[[#This Row],[Pagado]]</f>
        <v>0</v>
      </c>
      <c r="H479" s="194" t="s">
        <v>10</v>
      </c>
    </row>
    <row r="480" spans="1:8" x14ac:dyDescent="0.25">
      <c r="A480" s="127">
        <v>44809</v>
      </c>
      <c r="B480" s="128" t="s">
        <v>28511</v>
      </c>
      <c r="C480" s="194" t="s">
        <v>1362</v>
      </c>
      <c r="D480" s="195">
        <v>891</v>
      </c>
      <c r="E480" s="196">
        <v>44809</v>
      </c>
      <c r="F480" s="195">
        <v>891</v>
      </c>
      <c r="G480" s="197">
        <f>Tabla110[[#This Row],[Importe]]-Tabla110[[#This Row],[Pagado]]</f>
        <v>0</v>
      </c>
      <c r="H480" s="194" t="s">
        <v>10</v>
      </c>
    </row>
    <row r="481" spans="1:8" x14ac:dyDescent="0.25">
      <c r="A481" s="127">
        <v>44809</v>
      </c>
      <c r="B481" s="128" t="s">
        <v>28512</v>
      </c>
      <c r="C481" s="194" t="s">
        <v>161</v>
      </c>
      <c r="D481" s="195">
        <v>4410.3999999999996</v>
      </c>
      <c r="E481" s="196">
        <v>44809</v>
      </c>
      <c r="F481" s="195">
        <v>4410.3999999999996</v>
      </c>
      <c r="G481" s="197">
        <f>Tabla110[[#This Row],[Importe]]-Tabla110[[#This Row],[Pagado]]</f>
        <v>0</v>
      </c>
      <c r="H481" s="194" t="s">
        <v>10</v>
      </c>
    </row>
    <row r="482" spans="1:8" x14ac:dyDescent="0.25">
      <c r="A482" s="127">
        <v>44809</v>
      </c>
      <c r="B482" s="128" t="s">
        <v>28513</v>
      </c>
      <c r="C482" s="194" t="s">
        <v>196</v>
      </c>
      <c r="D482" s="195">
        <v>162404.20000000001</v>
      </c>
      <c r="E482" s="196">
        <v>44819</v>
      </c>
      <c r="F482" s="195">
        <v>162404.20000000001</v>
      </c>
      <c r="G482" s="197">
        <f>Tabla110[[#This Row],[Importe]]-Tabla110[[#This Row],[Pagado]]</f>
        <v>0</v>
      </c>
      <c r="H482" s="194" t="s">
        <v>10</v>
      </c>
    </row>
    <row r="483" spans="1:8" x14ac:dyDescent="0.25">
      <c r="A483" s="127">
        <v>44809</v>
      </c>
      <c r="B483" s="128" t="s">
        <v>28514</v>
      </c>
      <c r="C483" s="194" t="s">
        <v>144</v>
      </c>
      <c r="D483" s="195">
        <v>4107.2</v>
      </c>
      <c r="E483" s="196">
        <v>44809</v>
      </c>
      <c r="F483" s="195">
        <v>4107.2</v>
      </c>
      <c r="G483" s="197">
        <f>Tabla110[[#This Row],[Importe]]-Tabla110[[#This Row],[Pagado]]</f>
        <v>0</v>
      </c>
      <c r="H483" s="194" t="s">
        <v>10</v>
      </c>
    </row>
    <row r="484" spans="1:8" x14ac:dyDescent="0.25">
      <c r="A484" s="127">
        <v>44809</v>
      </c>
      <c r="B484" s="128" t="s">
        <v>28515</v>
      </c>
      <c r="C484" s="194" t="s">
        <v>392</v>
      </c>
      <c r="D484" s="195">
        <v>1897</v>
      </c>
      <c r="E484" s="196">
        <v>44809</v>
      </c>
      <c r="F484" s="195">
        <v>1897</v>
      </c>
      <c r="G484" s="197">
        <f>Tabla110[[#This Row],[Importe]]-Tabla110[[#This Row],[Pagado]]</f>
        <v>0</v>
      </c>
      <c r="H484" s="194" t="s">
        <v>10</v>
      </c>
    </row>
    <row r="485" spans="1:8" x14ac:dyDescent="0.25">
      <c r="A485" s="127">
        <v>44809</v>
      </c>
      <c r="B485" s="128" t="s">
        <v>28516</v>
      </c>
      <c r="C485" s="194" t="s">
        <v>49</v>
      </c>
      <c r="D485" s="195">
        <v>4579.2</v>
      </c>
      <c r="E485" s="196">
        <v>44809</v>
      </c>
      <c r="F485" s="195">
        <v>4579.2</v>
      </c>
      <c r="G485" s="197">
        <f>Tabla110[[#This Row],[Importe]]-Tabla110[[#This Row],[Pagado]]</f>
        <v>0</v>
      </c>
      <c r="H485" s="194" t="s">
        <v>10</v>
      </c>
    </row>
    <row r="486" spans="1:8" x14ac:dyDescent="0.25">
      <c r="A486" s="127">
        <v>44809</v>
      </c>
      <c r="B486" s="128" t="s">
        <v>28517</v>
      </c>
      <c r="C486" s="194" t="s">
        <v>31</v>
      </c>
      <c r="D486" s="195">
        <v>2497.1999999999998</v>
      </c>
      <c r="E486" s="196">
        <v>44809</v>
      </c>
      <c r="F486" s="195">
        <v>2497.1999999999998</v>
      </c>
      <c r="G486" s="197">
        <f>Tabla110[[#This Row],[Importe]]-Tabla110[[#This Row],[Pagado]]</f>
        <v>0</v>
      </c>
      <c r="H486" s="194" t="s">
        <v>10</v>
      </c>
    </row>
    <row r="487" spans="1:8" x14ac:dyDescent="0.25">
      <c r="A487" s="127">
        <v>44809</v>
      </c>
      <c r="B487" s="128" t="s">
        <v>28518</v>
      </c>
      <c r="C487" s="194" t="s">
        <v>31</v>
      </c>
      <c r="D487" s="195">
        <v>707.4</v>
      </c>
      <c r="E487" s="196">
        <v>44809</v>
      </c>
      <c r="F487" s="195">
        <v>707.4</v>
      </c>
      <c r="G487" s="197">
        <f>Tabla110[[#This Row],[Importe]]-Tabla110[[#This Row],[Pagado]]</f>
        <v>0</v>
      </c>
      <c r="H487" s="194" t="s">
        <v>10</v>
      </c>
    </row>
    <row r="488" spans="1:8" x14ac:dyDescent="0.25">
      <c r="A488" s="127">
        <v>44809</v>
      </c>
      <c r="B488" s="128" t="s">
        <v>28519</v>
      </c>
      <c r="C488" s="194" t="s">
        <v>79</v>
      </c>
      <c r="D488" s="195">
        <v>16820</v>
      </c>
      <c r="E488" s="196">
        <v>44809</v>
      </c>
      <c r="F488" s="195">
        <v>16820</v>
      </c>
      <c r="G488" s="197">
        <f>Tabla110[[#This Row],[Importe]]-Tabla110[[#This Row],[Pagado]]</f>
        <v>0</v>
      </c>
      <c r="H488" s="194" t="s">
        <v>10</v>
      </c>
    </row>
    <row r="489" spans="1:8" x14ac:dyDescent="0.25">
      <c r="A489" s="127">
        <v>44809</v>
      </c>
      <c r="B489" s="128" t="s">
        <v>28520</v>
      </c>
      <c r="C489" s="194" t="s">
        <v>357</v>
      </c>
      <c r="D489" s="195">
        <v>933.2</v>
      </c>
      <c r="E489" s="196">
        <v>44809</v>
      </c>
      <c r="F489" s="195">
        <v>933.2</v>
      </c>
      <c r="G489" s="197">
        <f>Tabla110[[#This Row],[Importe]]-Tabla110[[#This Row],[Pagado]]</f>
        <v>0</v>
      </c>
      <c r="H489" s="194" t="s">
        <v>10</v>
      </c>
    </row>
    <row r="490" spans="1:8" x14ac:dyDescent="0.25">
      <c r="A490" s="127">
        <v>44809</v>
      </c>
      <c r="B490" s="128" t="s">
        <v>28521</v>
      </c>
      <c r="C490" s="194" t="s">
        <v>129</v>
      </c>
      <c r="D490" s="195">
        <v>2632.2</v>
      </c>
      <c r="E490" s="196">
        <v>44809</v>
      </c>
      <c r="F490" s="195">
        <v>2632.2</v>
      </c>
      <c r="G490" s="197">
        <f>Tabla110[[#This Row],[Importe]]-Tabla110[[#This Row],[Pagado]]</f>
        <v>0</v>
      </c>
      <c r="H490" s="194" t="s">
        <v>10</v>
      </c>
    </row>
    <row r="491" spans="1:8" x14ac:dyDescent="0.25">
      <c r="A491" s="127">
        <v>44809</v>
      </c>
      <c r="B491" s="128" t="s">
        <v>28522</v>
      </c>
      <c r="C491" s="194" t="s">
        <v>53</v>
      </c>
      <c r="D491" s="195">
        <v>1728</v>
      </c>
      <c r="E491" s="196">
        <v>44809</v>
      </c>
      <c r="F491" s="195">
        <v>1728</v>
      </c>
      <c r="G491" s="197">
        <f>Tabla110[[#This Row],[Importe]]-Tabla110[[#This Row],[Pagado]]</f>
        <v>0</v>
      </c>
      <c r="H491" s="194" t="s">
        <v>10</v>
      </c>
    </row>
    <row r="492" spans="1:8" x14ac:dyDescent="0.25">
      <c r="A492" s="127">
        <v>44809</v>
      </c>
      <c r="B492" s="128" t="s">
        <v>28523</v>
      </c>
      <c r="C492" s="194" t="s">
        <v>12</v>
      </c>
      <c r="D492" s="195">
        <v>7207.8</v>
      </c>
      <c r="E492" s="196">
        <v>44810</v>
      </c>
      <c r="F492" s="195">
        <v>7207.8</v>
      </c>
      <c r="G492" s="197">
        <f>Tabla110[[#This Row],[Importe]]-Tabla110[[#This Row],[Pagado]]</f>
        <v>0</v>
      </c>
      <c r="H492" s="194" t="s">
        <v>10</v>
      </c>
    </row>
    <row r="493" spans="1:8" x14ac:dyDescent="0.25">
      <c r="A493" s="127">
        <v>44809</v>
      </c>
      <c r="B493" s="128" t="s">
        <v>28524</v>
      </c>
      <c r="C493" s="194" t="s">
        <v>777</v>
      </c>
      <c r="D493" s="195">
        <v>1800</v>
      </c>
      <c r="E493" s="196">
        <v>44809</v>
      </c>
      <c r="F493" s="195">
        <v>1800</v>
      </c>
      <c r="G493" s="197">
        <f>Tabla110[[#This Row],[Importe]]-Tabla110[[#This Row],[Pagado]]</f>
        <v>0</v>
      </c>
      <c r="H493" s="194" t="s">
        <v>10</v>
      </c>
    </row>
    <row r="494" spans="1:8" x14ac:dyDescent="0.25">
      <c r="A494" s="127">
        <v>44809</v>
      </c>
      <c r="B494" s="128" t="s">
        <v>28525</v>
      </c>
      <c r="C494" s="194" t="s">
        <v>127</v>
      </c>
      <c r="D494" s="195">
        <v>5428.3</v>
      </c>
      <c r="E494" s="196">
        <v>44809</v>
      </c>
      <c r="F494" s="195">
        <v>5428.3</v>
      </c>
      <c r="G494" s="197">
        <f>Tabla110[[#This Row],[Importe]]-Tabla110[[#This Row],[Pagado]]</f>
        <v>0</v>
      </c>
      <c r="H494" s="194" t="s">
        <v>10</v>
      </c>
    </row>
    <row r="495" spans="1:8" x14ac:dyDescent="0.25">
      <c r="A495" s="127">
        <v>44809</v>
      </c>
      <c r="B495" s="128" t="s">
        <v>28526</v>
      </c>
      <c r="C495" s="194" t="s">
        <v>140</v>
      </c>
      <c r="D495" s="195">
        <v>5076.3999999999996</v>
      </c>
      <c r="E495" s="196">
        <v>44809</v>
      </c>
      <c r="F495" s="195">
        <v>5076.3999999999996</v>
      </c>
      <c r="G495" s="197">
        <f>Tabla110[[#This Row],[Importe]]-Tabla110[[#This Row],[Pagado]]</f>
        <v>0</v>
      </c>
      <c r="H495" s="194" t="s">
        <v>10</v>
      </c>
    </row>
    <row r="496" spans="1:8" x14ac:dyDescent="0.25">
      <c r="A496" s="127">
        <v>44809</v>
      </c>
      <c r="B496" s="128" t="s">
        <v>28527</v>
      </c>
      <c r="C496" s="194" t="s">
        <v>339</v>
      </c>
      <c r="D496" s="195">
        <v>727.2</v>
      </c>
      <c r="E496" s="196">
        <v>44809</v>
      </c>
      <c r="F496" s="195">
        <v>727.2</v>
      </c>
      <c r="G496" s="197">
        <f>Tabla110[[#This Row],[Importe]]-Tabla110[[#This Row],[Pagado]]</f>
        <v>0</v>
      </c>
      <c r="H496" s="194" t="s">
        <v>10</v>
      </c>
    </row>
    <row r="497" spans="1:8" x14ac:dyDescent="0.25">
      <c r="A497" s="127">
        <v>44809</v>
      </c>
      <c r="B497" s="128" t="s">
        <v>28528</v>
      </c>
      <c r="C497" s="194" t="s">
        <v>214</v>
      </c>
      <c r="D497" s="195">
        <v>1358</v>
      </c>
      <c r="E497" s="196">
        <v>44809</v>
      </c>
      <c r="F497" s="195">
        <v>1358</v>
      </c>
      <c r="G497" s="197">
        <f>Tabla110[[#This Row],[Importe]]-Tabla110[[#This Row],[Pagado]]</f>
        <v>0</v>
      </c>
      <c r="H497" s="194" t="s">
        <v>10</v>
      </c>
    </row>
    <row r="498" spans="1:8" x14ac:dyDescent="0.25">
      <c r="A498" s="127">
        <v>44809</v>
      </c>
      <c r="B498" s="128" t="s">
        <v>28529</v>
      </c>
      <c r="C498" s="194" t="s">
        <v>314</v>
      </c>
      <c r="D498" s="195">
        <v>1330</v>
      </c>
      <c r="E498" s="196">
        <v>44810</v>
      </c>
      <c r="F498" s="195">
        <v>1330</v>
      </c>
      <c r="G498" s="197">
        <f>Tabla110[[#This Row],[Importe]]-Tabla110[[#This Row],[Pagado]]</f>
        <v>0</v>
      </c>
      <c r="H498" s="194" t="s">
        <v>10</v>
      </c>
    </row>
    <row r="499" spans="1:8" x14ac:dyDescent="0.25">
      <c r="A499" s="127">
        <v>44809</v>
      </c>
      <c r="B499" s="128" t="s">
        <v>28530</v>
      </c>
      <c r="C499" s="194" t="s">
        <v>24477</v>
      </c>
      <c r="D499" s="195">
        <v>0</v>
      </c>
      <c r="E499" s="199" t="s">
        <v>189</v>
      </c>
      <c r="F499" s="195">
        <v>0</v>
      </c>
      <c r="G499" s="197">
        <f>Tabla110[[#This Row],[Importe]]-Tabla110[[#This Row],[Pagado]]</f>
        <v>0</v>
      </c>
      <c r="H499" s="194" t="s">
        <v>189</v>
      </c>
    </row>
    <row r="500" spans="1:8" x14ac:dyDescent="0.25">
      <c r="A500" s="127">
        <v>44809</v>
      </c>
      <c r="B500" s="128" t="s">
        <v>28531</v>
      </c>
      <c r="C500" s="194" t="s">
        <v>1362</v>
      </c>
      <c r="D500" s="195">
        <v>2060.3000000000002</v>
      </c>
      <c r="E500" s="196">
        <v>44809</v>
      </c>
      <c r="F500" s="195">
        <v>2060.3000000000002</v>
      </c>
      <c r="G500" s="197">
        <f>Tabla110[[#This Row],[Importe]]-Tabla110[[#This Row],[Pagado]]</f>
        <v>0</v>
      </c>
      <c r="H500" s="194" t="s">
        <v>10</v>
      </c>
    </row>
    <row r="501" spans="1:8" x14ac:dyDescent="0.25">
      <c r="A501" s="127">
        <v>44809</v>
      </c>
      <c r="B501" s="128" t="s">
        <v>28532</v>
      </c>
      <c r="C501" s="194" t="s">
        <v>191</v>
      </c>
      <c r="D501" s="195">
        <v>2533</v>
      </c>
      <c r="E501" s="196">
        <v>44809</v>
      </c>
      <c r="F501" s="195">
        <v>2533</v>
      </c>
      <c r="G501" s="197">
        <f>Tabla110[[#This Row],[Importe]]-Tabla110[[#This Row],[Pagado]]</f>
        <v>0</v>
      </c>
      <c r="H501" s="194" t="s">
        <v>10</v>
      </c>
    </row>
    <row r="502" spans="1:8" x14ac:dyDescent="0.25">
      <c r="A502" s="127">
        <v>44809</v>
      </c>
      <c r="B502" s="128" t="s">
        <v>28533</v>
      </c>
      <c r="C502" s="194" t="s">
        <v>154</v>
      </c>
      <c r="D502" s="195">
        <v>29640</v>
      </c>
      <c r="E502" s="196">
        <v>44817</v>
      </c>
      <c r="F502" s="195">
        <v>29640</v>
      </c>
      <c r="G502" s="197">
        <f>Tabla110[[#This Row],[Importe]]-Tabla110[[#This Row],[Pagado]]</f>
        <v>0</v>
      </c>
      <c r="H502" s="194" t="s">
        <v>10</v>
      </c>
    </row>
    <row r="503" spans="1:8" x14ac:dyDescent="0.25">
      <c r="A503" s="127">
        <v>44809</v>
      </c>
      <c r="B503" s="128" t="s">
        <v>28534</v>
      </c>
      <c r="C503" s="194" t="s">
        <v>1644</v>
      </c>
      <c r="D503" s="195">
        <v>7455</v>
      </c>
      <c r="E503" s="196">
        <v>44810</v>
      </c>
      <c r="F503" s="195">
        <v>7455</v>
      </c>
      <c r="G503" s="197">
        <f>Tabla110[[#This Row],[Importe]]-Tabla110[[#This Row],[Pagado]]</f>
        <v>0</v>
      </c>
      <c r="H503" s="194" t="s">
        <v>10</v>
      </c>
    </row>
    <row r="504" spans="1:8" x14ac:dyDescent="0.25">
      <c r="A504" s="127">
        <v>44809</v>
      </c>
      <c r="B504" s="128" t="s">
        <v>28535</v>
      </c>
      <c r="C504" s="194" t="s">
        <v>15868</v>
      </c>
      <c r="D504" s="195">
        <v>46373.599999999999</v>
      </c>
      <c r="E504" s="196">
        <v>44810</v>
      </c>
      <c r="F504" s="195">
        <v>46373.599999999999</v>
      </c>
      <c r="G504" s="197">
        <f>Tabla110[[#This Row],[Importe]]-Tabla110[[#This Row],[Pagado]]</f>
        <v>0</v>
      </c>
      <c r="H504" s="194" t="s">
        <v>10</v>
      </c>
    </row>
    <row r="505" spans="1:8" x14ac:dyDescent="0.25">
      <c r="A505" s="127">
        <v>44809</v>
      </c>
      <c r="B505" s="128" t="s">
        <v>28536</v>
      </c>
      <c r="C505" s="194" t="s">
        <v>212</v>
      </c>
      <c r="D505" s="195">
        <v>61835.6</v>
      </c>
      <c r="E505" s="196">
        <v>44811</v>
      </c>
      <c r="F505" s="195">
        <v>61835.6</v>
      </c>
      <c r="G505" s="197">
        <f>Tabla110[[#This Row],[Importe]]-Tabla110[[#This Row],[Pagado]]</f>
        <v>0</v>
      </c>
      <c r="H505" s="194" t="s">
        <v>10</v>
      </c>
    </row>
    <row r="506" spans="1:8" x14ac:dyDescent="0.25">
      <c r="A506" s="127">
        <v>44809</v>
      </c>
      <c r="B506" s="128" t="s">
        <v>28537</v>
      </c>
      <c r="C506" s="194" t="s">
        <v>1302</v>
      </c>
      <c r="D506" s="195">
        <v>48916.4</v>
      </c>
      <c r="E506" s="196">
        <v>44809</v>
      </c>
      <c r="F506" s="195">
        <v>48916.4</v>
      </c>
      <c r="G506" s="197">
        <f>Tabla110[[#This Row],[Importe]]-Tabla110[[#This Row],[Pagado]]</f>
        <v>0</v>
      </c>
      <c r="H506" s="194" t="s">
        <v>10</v>
      </c>
    </row>
    <row r="507" spans="1:8" x14ac:dyDescent="0.25">
      <c r="A507" s="127">
        <v>44809</v>
      </c>
      <c r="B507" s="128" t="s">
        <v>28538</v>
      </c>
      <c r="C507" s="194" t="s">
        <v>698</v>
      </c>
      <c r="D507" s="195">
        <v>9612.4</v>
      </c>
      <c r="E507" s="196">
        <v>44809</v>
      </c>
      <c r="F507" s="195">
        <v>9612.4</v>
      </c>
      <c r="G507" s="197">
        <f>Tabla110[[#This Row],[Importe]]-Tabla110[[#This Row],[Pagado]]</f>
        <v>0</v>
      </c>
      <c r="H507" s="194" t="s">
        <v>10</v>
      </c>
    </row>
    <row r="508" spans="1:8" x14ac:dyDescent="0.25">
      <c r="A508" s="127">
        <v>44809</v>
      </c>
      <c r="B508" s="128" t="s">
        <v>28539</v>
      </c>
      <c r="C508" s="194" t="s">
        <v>133</v>
      </c>
      <c r="D508" s="195">
        <v>7504</v>
      </c>
      <c r="E508" s="196">
        <v>44810</v>
      </c>
      <c r="F508" s="195">
        <v>7504</v>
      </c>
      <c r="G508" s="197">
        <f>Tabla110[[#This Row],[Importe]]-Tabla110[[#This Row],[Pagado]]</f>
        <v>0</v>
      </c>
      <c r="H508" s="194" t="s">
        <v>10</v>
      </c>
    </row>
    <row r="509" spans="1:8" x14ac:dyDescent="0.25">
      <c r="A509" s="127">
        <v>44809</v>
      </c>
      <c r="B509" s="128" t="s">
        <v>28540</v>
      </c>
      <c r="C509" s="194" t="s">
        <v>206</v>
      </c>
      <c r="D509" s="195">
        <v>24561.8</v>
      </c>
      <c r="E509" s="196">
        <v>44811</v>
      </c>
      <c r="F509" s="195">
        <v>24561.8</v>
      </c>
      <c r="G509" s="197">
        <f>Tabla110[[#This Row],[Importe]]-Tabla110[[#This Row],[Pagado]]</f>
        <v>0</v>
      </c>
      <c r="H509" s="194" t="s">
        <v>10</v>
      </c>
    </row>
    <row r="510" spans="1:8" x14ac:dyDescent="0.25">
      <c r="A510" s="127">
        <v>44809</v>
      </c>
      <c r="B510" s="128" t="s">
        <v>28541</v>
      </c>
      <c r="C510" s="194" t="s">
        <v>173</v>
      </c>
      <c r="D510" s="195">
        <v>18722.8</v>
      </c>
      <c r="E510" s="196">
        <v>44811</v>
      </c>
      <c r="F510" s="195">
        <v>18722.8</v>
      </c>
      <c r="G510" s="197">
        <f>Tabla110[[#This Row],[Importe]]-Tabla110[[#This Row],[Pagado]]</f>
        <v>0</v>
      </c>
      <c r="H510" s="194" t="s">
        <v>10</v>
      </c>
    </row>
    <row r="511" spans="1:8" x14ac:dyDescent="0.25">
      <c r="A511" s="127">
        <v>44809</v>
      </c>
      <c r="B511" s="128" t="s">
        <v>28542</v>
      </c>
      <c r="C511" s="194" t="s">
        <v>24</v>
      </c>
      <c r="D511" s="195">
        <v>3113.6</v>
      </c>
      <c r="E511" s="196">
        <v>44809</v>
      </c>
      <c r="F511" s="195">
        <v>3113.6</v>
      </c>
      <c r="G511" s="197">
        <f>Tabla110[[#This Row],[Importe]]-Tabla110[[#This Row],[Pagado]]</f>
        <v>0</v>
      </c>
      <c r="H511" s="194" t="s">
        <v>10</v>
      </c>
    </row>
    <row r="512" spans="1:8" x14ac:dyDescent="0.25">
      <c r="A512" s="127">
        <v>44809</v>
      </c>
      <c r="B512" s="128" t="s">
        <v>28543</v>
      </c>
      <c r="C512" s="194" t="s">
        <v>414</v>
      </c>
      <c r="D512" s="195">
        <v>21196</v>
      </c>
      <c r="E512" s="196">
        <v>44809</v>
      </c>
      <c r="F512" s="195">
        <v>21196</v>
      </c>
      <c r="G512" s="197">
        <f>Tabla110[[#This Row],[Importe]]-Tabla110[[#This Row],[Pagado]]</f>
        <v>0</v>
      </c>
      <c r="H512" s="194" t="s">
        <v>10</v>
      </c>
    </row>
    <row r="513" spans="1:8" x14ac:dyDescent="0.25">
      <c r="A513" s="127">
        <v>44809</v>
      </c>
      <c r="B513" s="128" t="s">
        <v>28544</v>
      </c>
      <c r="C513" s="194" t="s">
        <v>135</v>
      </c>
      <c r="D513" s="195">
        <v>1823.2</v>
      </c>
      <c r="E513" s="196">
        <v>44809</v>
      </c>
      <c r="F513" s="195">
        <v>1823.2</v>
      </c>
      <c r="G513" s="197">
        <f>Tabla110[[#This Row],[Importe]]-Tabla110[[#This Row],[Pagado]]</f>
        <v>0</v>
      </c>
      <c r="H513" s="194" t="s">
        <v>10</v>
      </c>
    </row>
    <row r="514" spans="1:8" x14ac:dyDescent="0.25">
      <c r="A514" s="127">
        <v>44809</v>
      </c>
      <c r="B514" s="128" t="s">
        <v>28545</v>
      </c>
      <c r="C514" s="194" t="s">
        <v>1350</v>
      </c>
      <c r="D514" s="195">
        <v>1093.4000000000001</v>
      </c>
      <c r="E514" s="196">
        <v>44809</v>
      </c>
      <c r="F514" s="195">
        <v>1093.4000000000001</v>
      </c>
      <c r="G514" s="197">
        <f>Tabla110[[#This Row],[Importe]]-Tabla110[[#This Row],[Pagado]]</f>
        <v>0</v>
      </c>
      <c r="H514" s="194" t="s">
        <v>10</v>
      </c>
    </row>
    <row r="515" spans="1:8" x14ac:dyDescent="0.25">
      <c r="A515" s="127">
        <v>44809</v>
      </c>
      <c r="B515" s="128" t="s">
        <v>28546</v>
      </c>
      <c r="C515" s="194" t="s">
        <v>142</v>
      </c>
      <c r="D515" s="195">
        <v>74432.399999999994</v>
      </c>
      <c r="E515" s="196">
        <v>44847</v>
      </c>
      <c r="F515" s="195">
        <v>74432.399999999994</v>
      </c>
      <c r="G515" s="197">
        <f>Tabla110[[#This Row],[Importe]]-Tabla110[[#This Row],[Pagado]]</f>
        <v>0</v>
      </c>
      <c r="H515" s="194" t="s">
        <v>10</v>
      </c>
    </row>
    <row r="516" spans="1:8" x14ac:dyDescent="0.25">
      <c r="A516" s="127">
        <v>44809</v>
      </c>
      <c r="B516" s="128" t="s">
        <v>28547</v>
      </c>
      <c r="C516" s="194" t="s">
        <v>9415</v>
      </c>
      <c r="D516" s="195">
        <v>1470</v>
      </c>
      <c r="E516" s="196">
        <v>44812</v>
      </c>
      <c r="F516" s="195">
        <v>1470</v>
      </c>
      <c r="G516" s="197">
        <f>Tabla110[[#This Row],[Importe]]-Tabla110[[#This Row],[Pagado]]</f>
        <v>0</v>
      </c>
      <c r="H516" s="194" t="s">
        <v>10</v>
      </c>
    </row>
    <row r="517" spans="1:8" x14ac:dyDescent="0.25">
      <c r="A517" s="127">
        <v>44809</v>
      </c>
      <c r="B517" s="128" t="s">
        <v>28548</v>
      </c>
      <c r="C517" s="194" t="s">
        <v>27154</v>
      </c>
      <c r="D517" s="195">
        <v>27850.799999999999</v>
      </c>
      <c r="E517" s="196">
        <v>44810</v>
      </c>
      <c r="F517" s="195">
        <v>27850.799999999999</v>
      </c>
      <c r="G517" s="197">
        <f>Tabla110[[#This Row],[Importe]]-Tabla110[[#This Row],[Pagado]]</f>
        <v>0</v>
      </c>
      <c r="H517" s="194" t="s">
        <v>10</v>
      </c>
    </row>
    <row r="518" spans="1:8" x14ac:dyDescent="0.25">
      <c r="A518" s="127">
        <v>44809</v>
      </c>
      <c r="B518" s="128" t="s">
        <v>28549</v>
      </c>
      <c r="C518" s="194" t="s">
        <v>28087</v>
      </c>
      <c r="D518" s="195">
        <v>106689.61</v>
      </c>
      <c r="E518" s="196">
        <v>44893</v>
      </c>
      <c r="F518" s="195">
        <v>106689.61</v>
      </c>
      <c r="G518" s="197">
        <f>Tabla110[[#This Row],[Importe]]-Tabla110[[#This Row],[Pagado]]</f>
        <v>0</v>
      </c>
      <c r="H518" s="78" t="s">
        <v>17776</v>
      </c>
    </row>
    <row r="519" spans="1:8" x14ac:dyDescent="0.25">
      <c r="A519" s="127">
        <v>44809</v>
      </c>
      <c r="B519" s="128" t="s">
        <v>28550</v>
      </c>
      <c r="C519" s="194" t="s">
        <v>21085</v>
      </c>
      <c r="D519" s="195">
        <v>10280</v>
      </c>
      <c r="E519" s="196">
        <v>44809</v>
      </c>
      <c r="F519" s="195">
        <v>10280</v>
      </c>
      <c r="G519" s="197">
        <f>Tabla110[[#This Row],[Importe]]-Tabla110[[#This Row],[Pagado]]</f>
        <v>0</v>
      </c>
      <c r="H519" s="194" t="s">
        <v>10</v>
      </c>
    </row>
    <row r="520" spans="1:8" x14ac:dyDescent="0.25">
      <c r="A520" s="127">
        <v>44809</v>
      </c>
      <c r="B520" s="128" t="s">
        <v>28551</v>
      </c>
      <c r="C520" s="194" t="s">
        <v>62</v>
      </c>
      <c r="D520" s="195">
        <v>9371.6</v>
      </c>
      <c r="E520" s="196">
        <v>44809</v>
      </c>
      <c r="F520" s="195">
        <v>9371.6</v>
      </c>
      <c r="G520" s="197">
        <f>Tabla110[[#This Row],[Importe]]-Tabla110[[#This Row],[Pagado]]</f>
        <v>0</v>
      </c>
      <c r="H520" s="194" t="s">
        <v>10</v>
      </c>
    </row>
    <row r="521" spans="1:8" x14ac:dyDescent="0.25">
      <c r="A521" s="127">
        <v>44809</v>
      </c>
      <c r="B521" s="128" t="s">
        <v>28552</v>
      </c>
      <c r="C521" s="194" t="s">
        <v>670</v>
      </c>
      <c r="D521" s="195">
        <v>4219.3999999999996</v>
      </c>
      <c r="E521" s="196">
        <v>44810</v>
      </c>
      <c r="F521" s="195">
        <v>4219.3999999999996</v>
      </c>
      <c r="G521" s="197">
        <f>Tabla110[[#This Row],[Importe]]-Tabla110[[#This Row],[Pagado]]</f>
        <v>0</v>
      </c>
      <c r="H521" s="194" t="s">
        <v>10</v>
      </c>
    </row>
    <row r="522" spans="1:8" x14ac:dyDescent="0.25">
      <c r="A522" s="127">
        <v>44809</v>
      </c>
      <c r="B522" s="128" t="s">
        <v>28553</v>
      </c>
      <c r="C522" s="194" t="s">
        <v>475</v>
      </c>
      <c r="D522" s="195">
        <v>22938.9</v>
      </c>
      <c r="E522" s="196">
        <v>44811</v>
      </c>
      <c r="F522" s="195">
        <v>22938.9</v>
      </c>
      <c r="G522" s="197">
        <f>Tabla110[[#This Row],[Importe]]-Tabla110[[#This Row],[Pagado]]</f>
        <v>0</v>
      </c>
      <c r="H522" s="194" t="s">
        <v>10</v>
      </c>
    </row>
    <row r="523" spans="1:8" x14ac:dyDescent="0.25">
      <c r="A523" s="127">
        <v>44809</v>
      </c>
      <c r="B523" s="128" t="s">
        <v>28554</v>
      </c>
      <c r="C523" s="194" t="s">
        <v>9827</v>
      </c>
      <c r="D523" s="195">
        <v>3738</v>
      </c>
      <c r="E523" s="196">
        <v>44809</v>
      </c>
      <c r="F523" s="195">
        <v>3738</v>
      </c>
      <c r="G523" s="197">
        <f>Tabla110[[#This Row],[Importe]]-Tabla110[[#This Row],[Pagado]]</f>
        <v>0</v>
      </c>
      <c r="H523" s="194" t="s">
        <v>10</v>
      </c>
    </row>
    <row r="524" spans="1:8" x14ac:dyDescent="0.25">
      <c r="A524" s="127">
        <v>44809</v>
      </c>
      <c r="B524" s="128" t="s">
        <v>28555</v>
      </c>
      <c r="C524" s="194" t="s">
        <v>58</v>
      </c>
      <c r="D524" s="195">
        <v>1404</v>
      </c>
      <c r="E524" s="196">
        <v>44809</v>
      </c>
      <c r="F524" s="195">
        <v>1404</v>
      </c>
      <c r="G524" s="197">
        <f>Tabla110[[#This Row],[Importe]]-Tabla110[[#This Row],[Pagado]]</f>
        <v>0</v>
      </c>
      <c r="H524" s="194" t="s">
        <v>10</v>
      </c>
    </row>
    <row r="525" spans="1:8" x14ac:dyDescent="0.25">
      <c r="A525" s="127">
        <v>44809</v>
      </c>
      <c r="B525" s="128" t="s">
        <v>28556</v>
      </c>
      <c r="C525" s="194" t="s">
        <v>226</v>
      </c>
      <c r="D525" s="195">
        <v>22232.400000000001</v>
      </c>
      <c r="E525" s="196">
        <v>44809</v>
      </c>
      <c r="F525" s="195">
        <v>22232.400000000001</v>
      </c>
      <c r="G525" s="197">
        <f>Tabla110[[#This Row],[Importe]]-Tabla110[[#This Row],[Pagado]]</f>
        <v>0</v>
      </c>
      <c r="H525" s="194" t="s">
        <v>10</v>
      </c>
    </row>
    <row r="526" spans="1:8" x14ac:dyDescent="0.25">
      <c r="A526" s="127">
        <v>44809</v>
      </c>
      <c r="B526" s="128" t="s">
        <v>28557</v>
      </c>
      <c r="C526" s="194" t="s">
        <v>857</v>
      </c>
      <c r="D526" s="195">
        <v>278.8</v>
      </c>
      <c r="E526" s="196">
        <v>44809</v>
      </c>
      <c r="F526" s="195">
        <v>278.8</v>
      </c>
      <c r="G526" s="197">
        <f>Tabla110[[#This Row],[Importe]]-Tabla110[[#This Row],[Pagado]]</f>
        <v>0</v>
      </c>
      <c r="H526" s="194" t="s">
        <v>10</v>
      </c>
    </row>
    <row r="527" spans="1:8" x14ac:dyDescent="0.25">
      <c r="A527" s="127">
        <v>44809</v>
      </c>
      <c r="B527" s="128" t="s">
        <v>28558</v>
      </c>
      <c r="C527" s="194" t="s">
        <v>244</v>
      </c>
      <c r="D527" s="195">
        <v>1113</v>
      </c>
      <c r="E527" s="196">
        <v>44809</v>
      </c>
      <c r="F527" s="195">
        <v>1113</v>
      </c>
      <c r="G527" s="197">
        <f>Tabla110[[#This Row],[Importe]]-Tabla110[[#This Row],[Pagado]]</f>
        <v>0</v>
      </c>
      <c r="H527" s="194" t="s">
        <v>10</v>
      </c>
    </row>
    <row r="528" spans="1:8" x14ac:dyDescent="0.25">
      <c r="A528" s="127">
        <v>44809</v>
      </c>
      <c r="B528" s="128" t="s">
        <v>28559</v>
      </c>
      <c r="C528" s="194" t="s">
        <v>181</v>
      </c>
      <c r="D528" s="195">
        <v>17641.8</v>
      </c>
      <c r="E528" s="196">
        <v>44810</v>
      </c>
      <c r="F528" s="195">
        <v>17641.8</v>
      </c>
      <c r="G528" s="197">
        <f>Tabla110[[#This Row],[Importe]]-Tabla110[[#This Row],[Pagado]]</f>
        <v>0</v>
      </c>
      <c r="H528" s="194" t="s">
        <v>10</v>
      </c>
    </row>
    <row r="529" spans="1:8" x14ac:dyDescent="0.25">
      <c r="A529" s="127">
        <v>44809</v>
      </c>
      <c r="B529" s="128" t="s">
        <v>28560</v>
      </c>
      <c r="C529" s="194" t="s">
        <v>484</v>
      </c>
      <c r="D529" s="195">
        <v>4184</v>
      </c>
      <c r="E529" s="196">
        <v>44809</v>
      </c>
      <c r="F529" s="195">
        <v>4184</v>
      </c>
      <c r="G529" s="197">
        <f>Tabla110[[#This Row],[Importe]]-Tabla110[[#This Row],[Pagado]]</f>
        <v>0</v>
      </c>
      <c r="H529" s="194" t="s">
        <v>10</v>
      </c>
    </row>
    <row r="530" spans="1:8" x14ac:dyDescent="0.25">
      <c r="A530" s="127">
        <v>44809</v>
      </c>
      <c r="B530" s="128" t="s">
        <v>28561</v>
      </c>
      <c r="C530" s="194" t="s">
        <v>426</v>
      </c>
      <c r="D530" s="195">
        <v>5219.1000000000004</v>
      </c>
      <c r="E530" s="196">
        <v>44810</v>
      </c>
      <c r="F530" s="195">
        <v>5219.1000000000004</v>
      </c>
      <c r="G530" s="197">
        <f>Tabla110[[#This Row],[Importe]]-Tabla110[[#This Row],[Pagado]]</f>
        <v>0</v>
      </c>
      <c r="H530" s="194" t="s">
        <v>10</v>
      </c>
    </row>
    <row r="531" spans="1:8" x14ac:dyDescent="0.25">
      <c r="A531" s="127">
        <v>44809</v>
      </c>
      <c r="B531" s="128" t="s">
        <v>28562</v>
      </c>
      <c r="C531" s="194" t="s">
        <v>359</v>
      </c>
      <c r="D531" s="195">
        <v>2812</v>
      </c>
      <c r="E531" s="196">
        <v>44810</v>
      </c>
      <c r="F531" s="195">
        <v>2812</v>
      </c>
      <c r="G531" s="197">
        <f>Tabla110[[#This Row],[Importe]]-Tabla110[[#This Row],[Pagado]]</f>
        <v>0</v>
      </c>
      <c r="H531" s="194" t="s">
        <v>10</v>
      </c>
    </row>
    <row r="532" spans="1:8" x14ac:dyDescent="0.25">
      <c r="A532" s="127">
        <v>44809</v>
      </c>
      <c r="B532" s="128" t="s">
        <v>28563</v>
      </c>
      <c r="C532" s="194" t="s">
        <v>175</v>
      </c>
      <c r="D532" s="195">
        <v>39210</v>
      </c>
      <c r="E532" s="196">
        <v>44810</v>
      </c>
      <c r="F532" s="195">
        <v>39210</v>
      </c>
      <c r="G532" s="197">
        <f>Tabla110[[#This Row],[Importe]]-Tabla110[[#This Row],[Pagado]]</f>
        <v>0</v>
      </c>
      <c r="H532" s="194" t="s">
        <v>10</v>
      </c>
    </row>
    <row r="533" spans="1:8" x14ac:dyDescent="0.25">
      <c r="A533" s="127">
        <v>44809</v>
      </c>
      <c r="B533" s="128" t="s">
        <v>28564</v>
      </c>
      <c r="C533" s="194" t="s">
        <v>31</v>
      </c>
      <c r="D533" s="195">
        <v>664.2</v>
      </c>
      <c r="E533" s="196">
        <v>44809</v>
      </c>
      <c r="F533" s="195">
        <v>664.2</v>
      </c>
      <c r="G533" s="197">
        <f>Tabla110[[#This Row],[Importe]]-Tabla110[[#This Row],[Pagado]]</f>
        <v>0</v>
      </c>
      <c r="H533" s="194" t="s">
        <v>10</v>
      </c>
    </row>
    <row r="534" spans="1:8" x14ac:dyDescent="0.25">
      <c r="A534" s="127">
        <v>44809</v>
      </c>
      <c r="B534" s="128" t="s">
        <v>28565</v>
      </c>
      <c r="C534" s="194" t="s">
        <v>448</v>
      </c>
      <c r="D534" s="195">
        <v>20629</v>
      </c>
      <c r="E534" s="196">
        <v>44809</v>
      </c>
      <c r="F534" s="195">
        <v>20629</v>
      </c>
      <c r="G534" s="197">
        <f>Tabla110[[#This Row],[Importe]]-Tabla110[[#This Row],[Pagado]]</f>
        <v>0</v>
      </c>
      <c r="H534" s="194" t="s">
        <v>10</v>
      </c>
    </row>
    <row r="535" spans="1:8" x14ac:dyDescent="0.25">
      <c r="A535" s="127">
        <v>44809</v>
      </c>
      <c r="B535" s="128" t="s">
        <v>28566</v>
      </c>
      <c r="C535" s="194" t="s">
        <v>9993</v>
      </c>
      <c r="D535" s="195">
        <v>47127.6</v>
      </c>
      <c r="E535" s="196">
        <v>44809</v>
      </c>
      <c r="F535" s="195">
        <v>47127.6</v>
      </c>
      <c r="G535" s="197">
        <f>Tabla110[[#This Row],[Importe]]-Tabla110[[#This Row],[Pagado]]</f>
        <v>0</v>
      </c>
      <c r="H535" s="194" t="s">
        <v>10</v>
      </c>
    </row>
    <row r="536" spans="1:8" x14ac:dyDescent="0.25">
      <c r="A536" s="127">
        <v>44809</v>
      </c>
      <c r="B536" s="128" t="s">
        <v>28567</v>
      </c>
      <c r="C536" s="194" t="s">
        <v>261</v>
      </c>
      <c r="D536" s="195">
        <v>47834.8</v>
      </c>
      <c r="E536" s="196">
        <v>44810</v>
      </c>
      <c r="F536" s="195">
        <v>47834.8</v>
      </c>
      <c r="G536" s="197">
        <f>Tabla110[[#This Row],[Importe]]-Tabla110[[#This Row],[Pagado]]</f>
        <v>0</v>
      </c>
      <c r="H536" s="194" t="s">
        <v>10</v>
      </c>
    </row>
    <row r="537" spans="1:8" x14ac:dyDescent="0.25">
      <c r="A537" s="127">
        <v>44809</v>
      </c>
      <c r="B537" s="128" t="s">
        <v>28568</v>
      </c>
      <c r="C537" s="194" t="s">
        <v>9993</v>
      </c>
      <c r="D537" s="195">
        <v>6848.4</v>
      </c>
      <c r="E537" s="196">
        <v>44809</v>
      </c>
      <c r="F537" s="195">
        <v>6848.4</v>
      </c>
      <c r="G537" s="197">
        <f>Tabla110[[#This Row],[Importe]]-Tabla110[[#This Row],[Pagado]]</f>
        <v>0</v>
      </c>
      <c r="H537" s="194" t="s">
        <v>10</v>
      </c>
    </row>
    <row r="538" spans="1:8" x14ac:dyDescent="0.25">
      <c r="A538" s="127">
        <v>44809</v>
      </c>
      <c r="B538" s="128" t="s">
        <v>28569</v>
      </c>
      <c r="C538" s="194" t="s">
        <v>312</v>
      </c>
      <c r="D538" s="195">
        <v>1265</v>
      </c>
      <c r="E538" s="196">
        <v>44810</v>
      </c>
      <c r="F538" s="195">
        <v>1265</v>
      </c>
      <c r="G538" s="197">
        <f>Tabla110[[#This Row],[Importe]]-Tabla110[[#This Row],[Pagado]]</f>
        <v>0</v>
      </c>
      <c r="H538" s="194" t="s">
        <v>10</v>
      </c>
    </row>
    <row r="539" spans="1:8" x14ac:dyDescent="0.25">
      <c r="A539" s="127">
        <v>44809</v>
      </c>
      <c r="B539" s="128" t="s">
        <v>28570</v>
      </c>
      <c r="C539" s="194" t="s">
        <v>198</v>
      </c>
      <c r="D539" s="195">
        <v>4691.6000000000004</v>
      </c>
      <c r="E539" s="196">
        <v>44810</v>
      </c>
      <c r="F539" s="195">
        <v>4691.6000000000004</v>
      </c>
      <c r="G539" s="197">
        <f>Tabla110[[#This Row],[Importe]]-Tabla110[[#This Row],[Pagado]]</f>
        <v>0</v>
      </c>
      <c r="H539" s="194" t="s">
        <v>10</v>
      </c>
    </row>
    <row r="540" spans="1:8" x14ac:dyDescent="0.25">
      <c r="A540" s="127">
        <v>44809</v>
      </c>
      <c r="B540" s="128" t="s">
        <v>28571</v>
      </c>
      <c r="C540" s="194" t="s">
        <v>200</v>
      </c>
      <c r="D540" s="195">
        <v>1155</v>
      </c>
      <c r="E540" s="196">
        <v>44810</v>
      </c>
      <c r="F540" s="195">
        <v>1155</v>
      </c>
      <c r="G540" s="197">
        <f>Tabla110[[#This Row],[Importe]]-Tabla110[[#This Row],[Pagado]]</f>
        <v>0</v>
      </c>
      <c r="H540" s="194" t="s">
        <v>10</v>
      </c>
    </row>
    <row r="541" spans="1:8" x14ac:dyDescent="0.25">
      <c r="A541" s="127">
        <v>44809</v>
      </c>
      <c r="B541" s="128" t="s">
        <v>28572</v>
      </c>
      <c r="C541" s="194" t="s">
        <v>461</v>
      </c>
      <c r="D541" s="195">
        <v>394</v>
      </c>
      <c r="E541" s="196">
        <v>44809</v>
      </c>
      <c r="F541" s="195">
        <v>394</v>
      </c>
      <c r="G541" s="197">
        <f>Tabla110[[#This Row],[Importe]]-Tabla110[[#This Row],[Pagado]]</f>
        <v>0</v>
      </c>
      <c r="H541" s="194" t="s">
        <v>10</v>
      </c>
    </row>
    <row r="542" spans="1:8" x14ac:dyDescent="0.25">
      <c r="A542" s="127">
        <v>44809</v>
      </c>
      <c r="B542" s="128" t="s">
        <v>28573</v>
      </c>
      <c r="C542" s="194" t="s">
        <v>1265</v>
      </c>
      <c r="D542" s="195">
        <v>930.6</v>
      </c>
      <c r="E542" s="196">
        <v>44809</v>
      </c>
      <c r="F542" s="195">
        <v>930.6</v>
      </c>
      <c r="G542" s="197">
        <f>Tabla110[[#This Row],[Importe]]-Tabla110[[#This Row],[Pagado]]</f>
        <v>0</v>
      </c>
      <c r="H542" s="194" t="s">
        <v>10</v>
      </c>
    </row>
    <row r="543" spans="1:8" x14ac:dyDescent="0.25">
      <c r="A543" s="127">
        <v>44809</v>
      </c>
      <c r="B543" s="128" t="s">
        <v>28574</v>
      </c>
      <c r="C543" s="194" t="s">
        <v>31</v>
      </c>
      <c r="D543" s="195">
        <v>7445.1</v>
      </c>
      <c r="E543" s="196">
        <v>44809</v>
      </c>
      <c r="F543" s="195">
        <v>7445.1</v>
      </c>
      <c r="G543" s="197">
        <f>Tabla110[[#This Row],[Importe]]-Tabla110[[#This Row],[Pagado]]</f>
        <v>0</v>
      </c>
      <c r="H543" s="194" t="s">
        <v>10</v>
      </c>
    </row>
    <row r="544" spans="1:8" x14ac:dyDescent="0.25">
      <c r="A544" s="127">
        <v>44809</v>
      </c>
      <c r="B544" s="128" t="s">
        <v>28575</v>
      </c>
      <c r="C544" s="194" t="s">
        <v>10678</v>
      </c>
      <c r="D544" s="195">
        <v>1732.4</v>
      </c>
      <c r="E544" s="196">
        <v>44809</v>
      </c>
      <c r="F544" s="195">
        <v>1732.4</v>
      </c>
      <c r="G544" s="197">
        <f>Tabla110[[#This Row],[Importe]]-Tabla110[[#This Row],[Pagado]]</f>
        <v>0</v>
      </c>
      <c r="H544" s="194" t="s">
        <v>10</v>
      </c>
    </row>
    <row r="545" spans="1:8" x14ac:dyDescent="0.25">
      <c r="A545" s="127">
        <v>44809</v>
      </c>
      <c r="B545" s="128" t="s">
        <v>28576</v>
      </c>
      <c r="C545" s="194" t="s">
        <v>8501</v>
      </c>
      <c r="D545" s="195">
        <v>8258.4</v>
      </c>
      <c r="E545" s="196">
        <v>44809</v>
      </c>
      <c r="F545" s="195">
        <v>8258.4</v>
      </c>
      <c r="G545" s="197">
        <f>Tabla110[[#This Row],[Importe]]-Tabla110[[#This Row],[Pagado]]</f>
        <v>0</v>
      </c>
      <c r="H545" s="194" t="s">
        <v>10</v>
      </c>
    </row>
    <row r="546" spans="1:8" x14ac:dyDescent="0.25">
      <c r="A546" s="127">
        <v>44809</v>
      </c>
      <c r="B546" s="128" t="s">
        <v>28577</v>
      </c>
      <c r="C546" s="194" t="s">
        <v>612</v>
      </c>
      <c r="D546" s="195">
        <v>1080</v>
      </c>
      <c r="E546" s="196">
        <v>44809</v>
      </c>
      <c r="F546" s="195">
        <v>1080</v>
      </c>
      <c r="G546" s="197">
        <f>Tabla110[[#This Row],[Importe]]-Tabla110[[#This Row],[Pagado]]</f>
        <v>0</v>
      </c>
      <c r="H546" s="194" t="s">
        <v>10</v>
      </c>
    </row>
    <row r="547" spans="1:8" x14ac:dyDescent="0.25">
      <c r="A547" s="127">
        <v>44809</v>
      </c>
      <c r="B547" s="128" t="s">
        <v>28578</v>
      </c>
      <c r="C547" s="194" t="s">
        <v>10819</v>
      </c>
      <c r="D547" s="195">
        <v>665</v>
      </c>
      <c r="E547" s="196">
        <v>44810</v>
      </c>
      <c r="F547" s="195">
        <v>665</v>
      </c>
      <c r="G547" s="197">
        <f>Tabla110[[#This Row],[Importe]]-Tabla110[[#This Row],[Pagado]]</f>
        <v>0</v>
      </c>
      <c r="H547" s="194" t="s">
        <v>10</v>
      </c>
    </row>
    <row r="548" spans="1:8" x14ac:dyDescent="0.25">
      <c r="A548" s="127">
        <v>44809</v>
      </c>
      <c r="B548" s="128" t="s">
        <v>28579</v>
      </c>
      <c r="C548" s="194" t="s">
        <v>280</v>
      </c>
      <c r="D548" s="195">
        <v>1281</v>
      </c>
      <c r="E548" s="196">
        <v>44810</v>
      </c>
      <c r="F548" s="195">
        <v>1281</v>
      </c>
      <c r="G548" s="197">
        <f>Tabla110[[#This Row],[Importe]]-Tabla110[[#This Row],[Pagado]]</f>
        <v>0</v>
      </c>
      <c r="H548" s="194" t="s">
        <v>10</v>
      </c>
    </row>
    <row r="549" spans="1:8" x14ac:dyDescent="0.25">
      <c r="A549" s="127">
        <v>44809</v>
      </c>
      <c r="B549" s="128" t="s">
        <v>28580</v>
      </c>
      <c r="C549" s="194" t="s">
        <v>51</v>
      </c>
      <c r="D549" s="195">
        <v>1207.8</v>
      </c>
      <c r="E549" s="196">
        <v>44809</v>
      </c>
      <c r="F549" s="195">
        <v>1207.8</v>
      </c>
      <c r="G549" s="197">
        <f>Tabla110[[#This Row],[Importe]]-Tabla110[[#This Row],[Pagado]]</f>
        <v>0</v>
      </c>
      <c r="H549" s="194" t="s">
        <v>10</v>
      </c>
    </row>
    <row r="550" spans="1:8" x14ac:dyDescent="0.25">
      <c r="A550" s="127">
        <v>44809</v>
      </c>
      <c r="B550" s="128" t="s">
        <v>28581</v>
      </c>
      <c r="C550" s="194" t="s">
        <v>282</v>
      </c>
      <c r="D550" s="195">
        <v>1253</v>
      </c>
      <c r="E550" s="196">
        <v>44810</v>
      </c>
      <c r="F550" s="195">
        <v>1253</v>
      </c>
      <c r="G550" s="197">
        <f>Tabla110[[#This Row],[Importe]]-Tabla110[[#This Row],[Pagado]]</f>
        <v>0</v>
      </c>
      <c r="H550" s="194" t="s">
        <v>10</v>
      </c>
    </row>
    <row r="551" spans="1:8" x14ac:dyDescent="0.25">
      <c r="A551" s="127">
        <v>44809</v>
      </c>
      <c r="B551" s="128" t="s">
        <v>28582</v>
      </c>
      <c r="C551" s="194" t="s">
        <v>284</v>
      </c>
      <c r="D551" s="195">
        <v>6734</v>
      </c>
      <c r="E551" s="196">
        <v>44810</v>
      </c>
      <c r="F551" s="195">
        <v>6734</v>
      </c>
      <c r="G551" s="197">
        <f>Tabla110[[#This Row],[Importe]]-Tabla110[[#This Row],[Pagado]]</f>
        <v>0</v>
      </c>
      <c r="H551" s="194" t="s">
        <v>10</v>
      </c>
    </row>
    <row r="552" spans="1:8" x14ac:dyDescent="0.25">
      <c r="A552" s="127">
        <v>44809</v>
      </c>
      <c r="B552" s="128" t="s">
        <v>28583</v>
      </c>
      <c r="C552" s="194" t="s">
        <v>53</v>
      </c>
      <c r="D552" s="195">
        <v>1725.6</v>
      </c>
      <c r="E552" s="196">
        <v>44809</v>
      </c>
      <c r="F552" s="195">
        <v>1725.6</v>
      </c>
      <c r="G552" s="197">
        <f>Tabla110[[#This Row],[Importe]]-Tabla110[[#This Row],[Pagado]]</f>
        <v>0</v>
      </c>
      <c r="H552" s="194" t="s">
        <v>10</v>
      </c>
    </row>
    <row r="553" spans="1:8" x14ac:dyDescent="0.25">
      <c r="A553" s="127">
        <v>44809</v>
      </c>
      <c r="B553" s="128" t="s">
        <v>28584</v>
      </c>
      <c r="C553" s="194" t="s">
        <v>291</v>
      </c>
      <c r="D553" s="195">
        <v>4378.5</v>
      </c>
      <c r="E553" s="196">
        <v>44810</v>
      </c>
      <c r="F553" s="195">
        <v>4378.5</v>
      </c>
      <c r="G553" s="197">
        <f>Tabla110[[#This Row],[Importe]]-Tabla110[[#This Row],[Pagado]]</f>
        <v>0</v>
      </c>
      <c r="H553" s="194" t="s">
        <v>10</v>
      </c>
    </row>
    <row r="554" spans="1:8" x14ac:dyDescent="0.25">
      <c r="A554" s="127">
        <v>44809</v>
      </c>
      <c r="B554" s="128" t="s">
        <v>28585</v>
      </c>
      <c r="C554" s="194" t="s">
        <v>296</v>
      </c>
      <c r="D554" s="195">
        <v>3844.8</v>
      </c>
      <c r="E554" s="196">
        <v>44809</v>
      </c>
      <c r="F554" s="195">
        <v>3844.8</v>
      </c>
      <c r="G554" s="197">
        <f>Tabla110[[#This Row],[Importe]]-Tabla110[[#This Row],[Pagado]]</f>
        <v>0</v>
      </c>
      <c r="H554" s="194" t="s">
        <v>10</v>
      </c>
    </row>
    <row r="555" spans="1:8" x14ac:dyDescent="0.25">
      <c r="A555" s="127">
        <v>44809</v>
      </c>
      <c r="B555" s="128" t="s">
        <v>28586</v>
      </c>
      <c r="C555" s="194" t="s">
        <v>214</v>
      </c>
      <c r="D555" s="195">
        <v>6212.5</v>
      </c>
      <c r="E555" s="196">
        <v>44810</v>
      </c>
      <c r="F555" s="195">
        <v>6212.5</v>
      </c>
      <c r="G555" s="197">
        <f>Tabla110[[#This Row],[Importe]]-Tabla110[[#This Row],[Pagado]]</f>
        <v>0</v>
      </c>
      <c r="H555" s="194" t="s">
        <v>10</v>
      </c>
    </row>
    <row r="556" spans="1:8" x14ac:dyDescent="0.25">
      <c r="A556" s="127">
        <v>44809</v>
      </c>
      <c r="B556" s="128" t="s">
        <v>28587</v>
      </c>
      <c r="C556" s="194" t="s">
        <v>28087</v>
      </c>
      <c r="D556" s="195">
        <v>98767.9</v>
      </c>
      <c r="E556" s="196">
        <v>44893</v>
      </c>
      <c r="F556" s="195">
        <v>98767.9</v>
      </c>
      <c r="G556" s="197">
        <f>Tabla110[[#This Row],[Importe]]-Tabla110[[#This Row],[Pagado]]</f>
        <v>0</v>
      </c>
      <c r="H556" s="78" t="s">
        <v>17776</v>
      </c>
    </row>
    <row r="557" spans="1:8" x14ac:dyDescent="0.25">
      <c r="A557" s="127">
        <v>44809</v>
      </c>
      <c r="B557" s="128" t="s">
        <v>28588</v>
      </c>
      <c r="C557" s="194" t="s">
        <v>31</v>
      </c>
      <c r="D557" s="195">
        <v>16170.4</v>
      </c>
      <c r="E557" s="196">
        <v>44809</v>
      </c>
      <c r="F557" s="195">
        <v>16170.4</v>
      </c>
      <c r="G557" s="197">
        <f>Tabla110[[#This Row],[Importe]]-Tabla110[[#This Row],[Pagado]]</f>
        <v>0</v>
      </c>
      <c r="H557" s="194" t="s">
        <v>10</v>
      </c>
    </row>
    <row r="558" spans="1:8" x14ac:dyDescent="0.25">
      <c r="A558" s="127">
        <v>44809</v>
      </c>
      <c r="B558" s="128" t="s">
        <v>28589</v>
      </c>
      <c r="C558" s="194" t="s">
        <v>414</v>
      </c>
      <c r="D558" s="195">
        <v>2160</v>
      </c>
      <c r="E558" s="196">
        <v>44809</v>
      </c>
      <c r="F558" s="195">
        <v>2160</v>
      </c>
      <c r="G558" s="197">
        <f>Tabla110[[#This Row],[Importe]]-Tabla110[[#This Row],[Pagado]]</f>
        <v>0</v>
      </c>
      <c r="H558" s="194" t="s">
        <v>10</v>
      </c>
    </row>
    <row r="559" spans="1:8" x14ac:dyDescent="0.25">
      <c r="A559" s="127">
        <v>44809</v>
      </c>
      <c r="B559" s="128" t="s">
        <v>28590</v>
      </c>
      <c r="C559" s="194" t="s">
        <v>419</v>
      </c>
      <c r="D559" s="195">
        <v>14491.4</v>
      </c>
      <c r="E559" s="196">
        <v>44809</v>
      </c>
      <c r="F559" s="195">
        <v>14491.4</v>
      </c>
      <c r="G559" s="197">
        <f>Tabla110[[#This Row],[Importe]]-Tabla110[[#This Row],[Pagado]]</f>
        <v>0</v>
      </c>
      <c r="H559" s="194" t="s">
        <v>10</v>
      </c>
    </row>
    <row r="560" spans="1:8" x14ac:dyDescent="0.25">
      <c r="A560" s="127">
        <v>44809</v>
      </c>
      <c r="B560" s="128" t="s">
        <v>28591</v>
      </c>
      <c r="C560" s="194" t="s">
        <v>5126</v>
      </c>
      <c r="D560" s="195">
        <v>47268</v>
      </c>
      <c r="E560" s="196">
        <v>44810</v>
      </c>
      <c r="F560" s="195">
        <v>47268</v>
      </c>
      <c r="G560" s="197">
        <f>Tabla110[[#This Row],[Importe]]-Tabla110[[#This Row],[Pagado]]</f>
        <v>0</v>
      </c>
      <c r="H560" s="194" t="s">
        <v>10</v>
      </c>
    </row>
    <row r="561" spans="1:8" x14ac:dyDescent="0.25">
      <c r="A561" s="127">
        <v>44809</v>
      </c>
      <c r="B561" s="128" t="s">
        <v>28592</v>
      </c>
      <c r="C561" s="194" t="s">
        <v>3747</v>
      </c>
      <c r="D561" s="195">
        <v>29337</v>
      </c>
      <c r="E561" s="196">
        <v>44809</v>
      </c>
      <c r="F561" s="195">
        <v>29337</v>
      </c>
      <c r="G561" s="197">
        <f>Tabla110[[#This Row],[Importe]]-Tabla110[[#This Row],[Pagado]]</f>
        <v>0</v>
      </c>
      <c r="H561" s="194" t="s">
        <v>10</v>
      </c>
    </row>
    <row r="562" spans="1:8" ht="31.5" x14ac:dyDescent="0.25">
      <c r="A562" s="127">
        <v>44809</v>
      </c>
      <c r="B562" s="128" t="s">
        <v>28593</v>
      </c>
      <c r="C562" s="194" t="s">
        <v>10840</v>
      </c>
      <c r="D562" s="195">
        <v>23400.799999999999</v>
      </c>
      <c r="E562" s="198" t="s">
        <v>28594</v>
      </c>
      <c r="F562" s="195">
        <f>15512+7888.8</f>
        <v>23400.799999999999</v>
      </c>
      <c r="G562" s="197">
        <f>Tabla110[[#This Row],[Importe]]-Tabla110[[#This Row],[Pagado]]</f>
        <v>0</v>
      </c>
      <c r="H562" s="194" t="s">
        <v>10</v>
      </c>
    </row>
    <row r="563" spans="1:8" x14ac:dyDescent="0.25">
      <c r="A563" s="127">
        <v>44809</v>
      </c>
      <c r="B563" s="128" t="s">
        <v>28595</v>
      </c>
      <c r="C563" s="194" t="s">
        <v>97</v>
      </c>
      <c r="D563" s="195">
        <v>15648</v>
      </c>
      <c r="E563" s="196">
        <v>44810</v>
      </c>
      <c r="F563" s="195">
        <v>15648</v>
      </c>
      <c r="G563" s="197">
        <f>Tabla110[[#This Row],[Importe]]-Tabla110[[#This Row],[Pagado]]</f>
        <v>0</v>
      </c>
      <c r="H563" s="194" t="s">
        <v>10</v>
      </c>
    </row>
    <row r="564" spans="1:8" x14ac:dyDescent="0.25">
      <c r="A564" s="127">
        <v>44809</v>
      </c>
      <c r="B564" s="128" t="s">
        <v>28596</v>
      </c>
      <c r="C564" s="194" t="s">
        <v>56</v>
      </c>
      <c r="D564" s="195">
        <v>4417.8</v>
      </c>
      <c r="E564" s="196">
        <v>44810</v>
      </c>
      <c r="F564" s="195">
        <v>4417.8</v>
      </c>
      <c r="G564" s="197">
        <f>Tabla110[[#This Row],[Importe]]-Tabla110[[#This Row],[Pagado]]</f>
        <v>0</v>
      </c>
      <c r="H564" s="194" t="s">
        <v>10</v>
      </c>
    </row>
    <row r="565" spans="1:8" x14ac:dyDescent="0.25">
      <c r="A565" s="127">
        <v>44809</v>
      </c>
      <c r="B565" s="128" t="s">
        <v>28597</v>
      </c>
      <c r="C565" s="194" t="s">
        <v>440</v>
      </c>
      <c r="D565" s="195">
        <v>12698.84</v>
      </c>
      <c r="E565" s="196">
        <v>44828</v>
      </c>
      <c r="F565" s="195">
        <v>12698.84</v>
      </c>
      <c r="G565" s="197">
        <f>Tabla110[[#This Row],[Importe]]-Tabla110[[#This Row],[Pagado]]</f>
        <v>0</v>
      </c>
      <c r="H565" s="194" t="s">
        <v>10</v>
      </c>
    </row>
    <row r="566" spans="1:8" x14ac:dyDescent="0.25">
      <c r="A566" s="127">
        <v>44810</v>
      </c>
      <c r="B566" s="128" t="s">
        <v>28598</v>
      </c>
      <c r="C566" s="194" t="s">
        <v>887</v>
      </c>
      <c r="D566" s="195">
        <v>19015.099999999999</v>
      </c>
      <c r="E566" s="196">
        <v>44810</v>
      </c>
      <c r="F566" s="195">
        <v>19015.099999999999</v>
      </c>
      <c r="G566" s="197">
        <f>Tabla110[[#This Row],[Importe]]-Tabla110[[#This Row],[Pagado]]</f>
        <v>0</v>
      </c>
      <c r="H566" s="194" t="s">
        <v>10</v>
      </c>
    </row>
    <row r="567" spans="1:8" x14ac:dyDescent="0.25">
      <c r="A567" s="127">
        <v>44810</v>
      </c>
      <c r="B567" s="128" t="s">
        <v>28599</v>
      </c>
      <c r="C567" s="194" t="s">
        <v>75</v>
      </c>
      <c r="D567" s="195">
        <v>7945</v>
      </c>
      <c r="E567" s="196">
        <v>44810</v>
      </c>
      <c r="F567" s="195">
        <v>7945</v>
      </c>
      <c r="G567" s="197">
        <f>Tabla110[[#This Row],[Importe]]-Tabla110[[#This Row],[Pagado]]</f>
        <v>0</v>
      </c>
      <c r="H567" s="194" t="s">
        <v>10</v>
      </c>
    </row>
    <row r="568" spans="1:8" x14ac:dyDescent="0.25">
      <c r="A568" s="127">
        <v>44810</v>
      </c>
      <c r="B568" s="128" t="s">
        <v>28600</v>
      </c>
      <c r="C568" s="194" t="s">
        <v>95</v>
      </c>
      <c r="D568" s="195">
        <v>12048</v>
      </c>
      <c r="E568" s="196">
        <v>44810</v>
      </c>
      <c r="F568" s="195">
        <v>12048</v>
      </c>
      <c r="G568" s="197">
        <f>Tabla110[[#This Row],[Importe]]-Tabla110[[#This Row],[Pagado]]</f>
        <v>0</v>
      </c>
      <c r="H568" s="194" t="s">
        <v>10</v>
      </c>
    </row>
    <row r="569" spans="1:8" x14ac:dyDescent="0.25">
      <c r="A569" s="127">
        <v>44810</v>
      </c>
      <c r="B569" s="128" t="s">
        <v>28601</v>
      </c>
      <c r="C569" s="194" t="s">
        <v>481</v>
      </c>
      <c r="D569" s="195">
        <v>1001.2</v>
      </c>
      <c r="E569" s="196">
        <v>44810</v>
      </c>
      <c r="F569" s="195">
        <v>1001.2</v>
      </c>
      <c r="G569" s="197">
        <f>Tabla110[[#This Row],[Importe]]-Tabla110[[#This Row],[Pagado]]</f>
        <v>0</v>
      </c>
      <c r="H569" s="194" t="s">
        <v>10</v>
      </c>
    </row>
    <row r="570" spans="1:8" x14ac:dyDescent="0.25">
      <c r="A570" s="127">
        <v>44810</v>
      </c>
      <c r="B570" s="128" t="s">
        <v>28602</v>
      </c>
      <c r="C570" s="194" t="s">
        <v>16</v>
      </c>
      <c r="D570" s="195">
        <v>5449.8</v>
      </c>
      <c r="E570" s="196">
        <v>44810</v>
      </c>
      <c r="F570" s="195">
        <v>5449.8</v>
      </c>
      <c r="G570" s="197">
        <f>Tabla110[[#This Row],[Importe]]-Tabla110[[#This Row],[Pagado]]</f>
        <v>0</v>
      </c>
      <c r="H570" s="194" t="s">
        <v>10</v>
      </c>
    </row>
    <row r="571" spans="1:8" x14ac:dyDescent="0.25">
      <c r="A571" s="127">
        <v>44810</v>
      </c>
      <c r="B571" s="128" t="s">
        <v>28603</v>
      </c>
      <c r="C571" s="194" t="s">
        <v>12</v>
      </c>
      <c r="D571" s="195">
        <v>6916.5</v>
      </c>
      <c r="E571" s="196">
        <v>44810</v>
      </c>
      <c r="F571" s="195">
        <v>6916.5</v>
      </c>
      <c r="G571" s="197">
        <f>Tabla110[[#This Row],[Importe]]-Tabla110[[#This Row],[Pagado]]</f>
        <v>0</v>
      </c>
      <c r="H571" s="194" t="s">
        <v>10</v>
      </c>
    </row>
    <row r="572" spans="1:8" x14ac:dyDescent="0.25">
      <c r="A572" s="127">
        <v>44810</v>
      </c>
      <c r="B572" s="128" t="s">
        <v>28604</v>
      </c>
      <c r="C572" s="194" t="s">
        <v>450</v>
      </c>
      <c r="D572" s="195">
        <v>8030.7</v>
      </c>
      <c r="E572" s="196">
        <v>44810</v>
      </c>
      <c r="F572" s="195">
        <v>8030.7</v>
      </c>
      <c r="G572" s="197">
        <f>Tabla110[[#This Row],[Importe]]-Tabla110[[#This Row],[Pagado]]</f>
        <v>0</v>
      </c>
      <c r="H572" s="194" t="s">
        <v>10</v>
      </c>
    </row>
    <row r="573" spans="1:8" x14ac:dyDescent="0.25">
      <c r="A573" s="127">
        <v>44810</v>
      </c>
      <c r="B573" s="128" t="s">
        <v>28605</v>
      </c>
      <c r="C573" s="194" t="s">
        <v>22</v>
      </c>
      <c r="D573" s="195">
        <v>54533.5</v>
      </c>
      <c r="E573" s="196">
        <v>44811</v>
      </c>
      <c r="F573" s="195">
        <v>54533.5</v>
      </c>
      <c r="G573" s="197">
        <f>Tabla110[[#This Row],[Importe]]-Tabla110[[#This Row],[Pagado]]</f>
        <v>0</v>
      </c>
      <c r="H573" s="194" t="s">
        <v>10</v>
      </c>
    </row>
    <row r="574" spans="1:8" x14ac:dyDescent="0.25">
      <c r="A574" s="127">
        <v>44810</v>
      </c>
      <c r="B574" s="128" t="s">
        <v>28606</v>
      </c>
      <c r="C574" s="194" t="s">
        <v>93</v>
      </c>
      <c r="D574" s="195">
        <v>7276.9</v>
      </c>
      <c r="E574" s="196">
        <v>44812</v>
      </c>
      <c r="F574" s="195">
        <v>7276.9</v>
      </c>
      <c r="G574" s="197">
        <f>Tabla110[[#This Row],[Importe]]-Tabla110[[#This Row],[Pagado]]</f>
        <v>0</v>
      </c>
      <c r="H574" s="194" t="s">
        <v>10</v>
      </c>
    </row>
    <row r="575" spans="1:8" x14ac:dyDescent="0.25">
      <c r="A575" s="127">
        <v>44810</v>
      </c>
      <c r="B575" s="128" t="s">
        <v>28607</v>
      </c>
      <c r="C575" s="194" t="s">
        <v>105</v>
      </c>
      <c r="D575" s="195">
        <v>7805.7</v>
      </c>
      <c r="E575" s="196">
        <v>44811</v>
      </c>
      <c r="F575" s="195">
        <v>7805.7</v>
      </c>
      <c r="G575" s="197">
        <f>Tabla110[[#This Row],[Importe]]-Tabla110[[#This Row],[Pagado]]</f>
        <v>0</v>
      </c>
      <c r="H575" s="194" t="s">
        <v>10</v>
      </c>
    </row>
    <row r="576" spans="1:8" x14ac:dyDescent="0.25">
      <c r="A576" s="127">
        <v>44810</v>
      </c>
      <c r="B576" s="128" t="s">
        <v>28608</v>
      </c>
      <c r="C576" s="194" t="s">
        <v>111</v>
      </c>
      <c r="D576" s="195">
        <v>5959.8</v>
      </c>
      <c r="E576" s="196">
        <v>44812</v>
      </c>
      <c r="F576" s="195">
        <v>5959.8</v>
      </c>
      <c r="G576" s="197">
        <f>Tabla110[[#This Row],[Importe]]-Tabla110[[#This Row],[Pagado]]</f>
        <v>0</v>
      </c>
      <c r="H576" s="194" t="s">
        <v>10</v>
      </c>
    </row>
    <row r="577" spans="1:8" x14ac:dyDescent="0.25">
      <c r="A577" s="127">
        <v>44810</v>
      </c>
      <c r="B577" s="128" t="s">
        <v>28609</v>
      </c>
      <c r="C577" s="194" t="s">
        <v>97</v>
      </c>
      <c r="D577" s="195">
        <v>7699.5</v>
      </c>
      <c r="E577" s="196">
        <v>44811</v>
      </c>
      <c r="F577" s="195">
        <v>7699.5</v>
      </c>
      <c r="G577" s="197">
        <f>Tabla110[[#This Row],[Importe]]-Tabla110[[#This Row],[Pagado]]</f>
        <v>0</v>
      </c>
      <c r="H577" s="194" t="s">
        <v>10</v>
      </c>
    </row>
    <row r="578" spans="1:8" x14ac:dyDescent="0.25">
      <c r="A578" s="127">
        <v>44810</v>
      </c>
      <c r="B578" s="128" t="s">
        <v>28610</v>
      </c>
      <c r="C578" s="194" t="s">
        <v>64</v>
      </c>
      <c r="D578" s="195">
        <v>5902</v>
      </c>
      <c r="E578" s="196">
        <v>44811</v>
      </c>
      <c r="F578" s="195">
        <v>5902</v>
      </c>
      <c r="G578" s="197">
        <f>Tabla110[[#This Row],[Importe]]-Tabla110[[#This Row],[Pagado]]</f>
        <v>0</v>
      </c>
      <c r="H578" s="194" t="s">
        <v>10</v>
      </c>
    </row>
    <row r="579" spans="1:8" x14ac:dyDescent="0.25">
      <c r="A579" s="127">
        <v>44810</v>
      </c>
      <c r="B579" s="128" t="s">
        <v>28611</v>
      </c>
      <c r="C579" s="194" t="s">
        <v>2151</v>
      </c>
      <c r="D579" s="195">
        <v>19473.400000000001</v>
      </c>
      <c r="E579" s="196">
        <v>44810</v>
      </c>
      <c r="F579" s="195">
        <v>19473.400000000001</v>
      </c>
      <c r="G579" s="197">
        <f>Tabla110[[#This Row],[Importe]]-Tabla110[[#This Row],[Pagado]]</f>
        <v>0</v>
      </c>
      <c r="H579" s="194" t="s">
        <v>10</v>
      </c>
    </row>
    <row r="580" spans="1:8" x14ac:dyDescent="0.25">
      <c r="A580" s="127">
        <v>44810</v>
      </c>
      <c r="B580" s="128" t="s">
        <v>28612</v>
      </c>
      <c r="C580" s="194" t="s">
        <v>345</v>
      </c>
      <c r="D580" s="195">
        <v>1190</v>
      </c>
      <c r="E580" s="196">
        <v>44811</v>
      </c>
      <c r="F580" s="195">
        <v>1190</v>
      </c>
      <c r="G580" s="197">
        <f>Tabla110[[#This Row],[Importe]]-Tabla110[[#This Row],[Pagado]]</f>
        <v>0</v>
      </c>
      <c r="H580" s="194" t="s">
        <v>10</v>
      </c>
    </row>
    <row r="581" spans="1:8" x14ac:dyDescent="0.25">
      <c r="A581" s="127">
        <v>44810</v>
      </c>
      <c r="B581" s="128" t="s">
        <v>28613</v>
      </c>
      <c r="C581" s="194" t="s">
        <v>114</v>
      </c>
      <c r="D581" s="195">
        <v>11006.1</v>
      </c>
      <c r="E581" s="196">
        <v>44811</v>
      </c>
      <c r="F581" s="195">
        <v>11006.1</v>
      </c>
      <c r="G581" s="197">
        <f>Tabla110[[#This Row],[Importe]]-Tabla110[[#This Row],[Pagado]]</f>
        <v>0</v>
      </c>
      <c r="H581" s="194" t="s">
        <v>10</v>
      </c>
    </row>
    <row r="582" spans="1:8" x14ac:dyDescent="0.25">
      <c r="A582" s="127">
        <v>44810</v>
      </c>
      <c r="B582" s="128" t="s">
        <v>28614</v>
      </c>
      <c r="C582" s="194" t="s">
        <v>326</v>
      </c>
      <c r="D582" s="195">
        <v>3618</v>
      </c>
      <c r="E582" s="196">
        <v>44811</v>
      </c>
      <c r="F582" s="195">
        <v>3618</v>
      </c>
      <c r="G582" s="197">
        <f>Tabla110[[#This Row],[Importe]]-Tabla110[[#This Row],[Pagado]]</f>
        <v>0</v>
      </c>
      <c r="H582" s="194" t="s">
        <v>10</v>
      </c>
    </row>
    <row r="583" spans="1:8" x14ac:dyDescent="0.25">
      <c r="A583" s="127">
        <v>44810</v>
      </c>
      <c r="B583" s="128" t="s">
        <v>28615</v>
      </c>
      <c r="C583" s="194" t="s">
        <v>9</v>
      </c>
      <c r="D583" s="195">
        <v>8763.2000000000007</v>
      </c>
      <c r="E583" s="196">
        <v>44810</v>
      </c>
      <c r="F583" s="195">
        <v>8763.2000000000007</v>
      </c>
      <c r="G583" s="197">
        <f>Tabla110[[#This Row],[Importe]]-Tabla110[[#This Row],[Pagado]]</f>
        <v>0</v>
      </c>
      <c r="H583" s="194" t="s">
        <v>10</v>
      </c>
    </row>
    <row r="584" spans="1:8" x14ac:dyDescent="0.25">
      <c r="A584" s="127">
        <v>44810</v>
      </c>
      <c r="B584" s="128" t="s">
        <v>28616</v>
      </c>
      <c r="C584" s="194" t="s">
        <v>200</v>
      </c>
      <c r="D584" s="195">
        <v>574</v>
      </c>
      <c r="E584" s="196">
        <v>44811</v>
      </c>
      <c r="F584" s="195">
        <v>574</v>
      </c>
      <c r="G584" s="197">
        <f>Tabla110[[#This Row],[Importe]]-Tabla110[[#This Row],[Pagado]]</f>
        <v>0</v>
      </c>
      <c r="H584" s="194" t="s">
        <v>10</v>
      </c>
    </row>
    <row r="585" spans="1:8" x14ac:dyDescent="0.25">
      <c r="A585" s="127">
        <v>44810</v>
      </c>
      <c r="B585" s="128" t="s">
        <v>28617</v>
      </c>
      <c r="C585" s="194" t="s">
        <v>17556</v>
      </c>
      <c r="D585" s="195">
        <v>3744.9</v>
      </c>
      <c r="E585" s="196">
        <v>44810</v>
      </c>
      <c r="F585" s="195">
        <v>3744.9</v>
      </c>
      <c r="G585" s="197">
        <f>Tabla110[[#This Row],[Importe]]-Tabla110[[#This Row],[Pagado]]</f>
        <v>0</v>
      </c>
      <c r="H585" s="194" t="s">
        <v>10</v>
      </c>
    </row>
    <row r="586" spans="1:8" x14ac:dyDescent="0.25">
      <c r="A586" s="127">
        <v>44810</v>
      </c>
      <c r="B586" s="128" t="s">
        <v>28618</v>
      </c>
      <c r="C586" s="194" t="s">
        <v>27</v>
      </c>
      <c r="D586" s="195">
        <v>2334</v>
      </c>
      <c r="E586" s="196">
        <v>44810</v>
      </c>
      <c r="F586" s="195">
        <v>2334</v>
      </c>
      <c r="G586" s="197">
        <f>Tabla110[[#This Row],[Importe]]-Tabla110[[#This Row],[Pagado]]</f>
        <v>0</v>
      </c>
      <c r="H586" s="194" t="s">
        <v>10</v>
      </c>
    </row>
    <row r="587" spans="1:8" x14ac:dyDescent="0.25">
      <c r="A587" s="127">
        <v>44810</v>
      </c>
      <c r="B587" s="128" t="s">
        <v>28619</v>
      </c>
      <c r="C587" s="194" t="s">
        <v>520</v>
      </c>
      <c r="D587" s="195">
        <v>4920.2</v>
      </c>
      <c r="E587" s="196">
        <v>44810</v>
      </c>
      <c r="F587" s="195">
        <v>4920.2</v>
      </c>
      <c r="G587" s="197">
        <f>Tabla110[[#This Row],[Importe]]-Tabla110[[#This Row],[Pagado]]</f>
        <v>0</v>
      </c>
      <c r="H587" s="194" t="s">
        <v>10</v>
      </c>
    </row>
    <row r="588" spans="1:8" x14ac:dyDescent="0.25">
      <c r="A588" s="127">
        <v>44810</v>
      </c>
      <c r="B588" s="128" t="s">
        <v>28620</v>
      </c>
      <c r="C588" s="194" t="s">
        <v>426</v>
      </c>
      <c r="D588" s="195">
        <v>2714.4</v>
      </c>
      <c r="E588" s="196">
        <v>44810</v>
      </c>
      <c r="F588" s="195">
        <v>2714.4</v>
      </c>
      <c r="G588" s="197">
        <f>Tabla110[[#This Row],[Importe]]-Tabla110[[#This Row],[Pagado]]</f>
        <v>0</v>
      </c>
      <c r="H588" s="194" t="s">
        <v>10</v>
      </c>
    </row>
    <row r="589" spans="1:8" x14ac:dyDescent="0.25">
      <c r="A589" s="127">
        <v>44810</v>
      </c>
      <c r="B589" s="128" t="s">
        <v>28621</v>
      </c>
      <c r="C589" s="194" t="s">
        <v>175</v>
      </c>
      <c r="D589" s="195">
        <v>26585.3</v>
      </c>
      <c r="E589" s="196">
        <v>44810</v>
      </c>
      <c r="F589" s="195">
        <v>26585.3</v>
      </c>
      <c r="G589" s="197">
        <f>Tabla110[[#This Row],[Importe]]-Tabla110[[#This Row],[Pagado]]</f>
        <v>0</v>
      </c>
      <c r="H589" s="194" t="s">
        <v>10</v>
      </c>
    </row>
    <row r="590" spans="1:8" x14ac:dyDescent="0.25">
      <c r="A590" s="127">
        <v>44810</v>
      </c>
      <c r="B590" s="128" t="s">
        <v>28622</v>
      </c>
      <c r="C590" s="194" t="s">
        <v>12543</v>
      </c>
      <c r="D590" s="195">
        <v>95997.2</v>
      </c>
      <c r="E590" s="196">
        <v>44810</v>
      </c>
      <c r="F590" s="195">
        <v>95997.2</v>
      </c>
      <c r="G590" s="197">
        <f>Tabla110[[#This Row],[Importe]]-Tabla110[[#This Row],[Pagado]]</f>
        <v>0</v>
      </c>
      <c r="H590" s="194" t="s">
        <v>10</v>
      </c>
    </row>
    <row r="591" spans="1:8" x14ac:dyDescent="0.25">
      <c r="A591" s="127">
        <v>44810</v>
      </c>
      <c r="B591" s="128" t="s">
        <v>28623</v>
      </c>
      <c r="C591" s="194" t="s">
        <v>12543</v>
      </c>
      <c r="D591" s="195">
        <v>12033</v>
      </c>
      <c r="E591" s="196">
        <v>44810</v>
      </c>
      <c r="F591" s="195">
        <v>12033</v>
      </c>
      <c r="G591" s="197">
        <f>Tabla110[[#This Row],[Importe]]-Tabla110[[#This Row],[Pagado]]</f>
        <v>0</v>
      </c>
      <c r="H591" s="194" t="s">
        <v>10</v>
      </c>
    </row>
    <row r="592" spans="1:8" x14ac:dyDescent="0.25">
      <c r="A592" s="127">
        <v>44810</v>
      </c>
      <c r="B592" s="128" t="s">
        <v>28624</v>
      </c>
      <c r="C592" s="194" t="s">
        <v>45</v>
      </c>
      <c r="D592" s="195">
        <v>11323.6</v>
      </c>
      <c r="E592" s="196">
        <v>44810</v>
      </c>
      <c r="F592" s="195">
        <v>11323.6</v>
      </c>
      <c r="G592" s="197">
        <f>Tabla110[[#This Row],[Importe]]-Tabla110[[#This Row],[Pagado]]</f>
        <v>0</v>
      </c>
      <c r="H592" s="194" t="s">
        <v>10</v>
      </c>
    </row>
    <row r="593" spans="1:8" x14ac:dyDescent="0.25">
      <c r="A593" s="127">
        <v>44810</v>
      </c>
      <c r="B593" s="128" t="s">
        <v>28625</v>
      </c>
      <c r="C593" s="194" t="s">
        <v>348</v>
      </c>
      <c r="D593" s="195">
        <v>5474.6</v>
      </c>
      <c r="E593" s="196">
        <v>44810</v>
      </c>
      <c r="F593" s="195">
        <v>5474.6</v>
      </c>
      <c r="G593" s="197">
        <f>Tabla110[[#This Row],[Importe]]-Tabla110[[#This Row],[Pagado]]</f>
        <v>0</v>
      </c>
      <c r="H593" s="194" t="s">
        <v>10</v>
      </c>
    </row>
    <row r="594" spans="1:8" x14ac:dyDescent="0.25">
      <c r="A594" s="127">
        <v>44810</v>
      </c>
      <c r="B594" s="128" t="s">
        <v>28626</v>
      </c>
      <c r="C594" s="194" t="s">
        <v>421</v>
      </c>
      <c r="D594" s="195">
        <v>9959.4</v>
      </c>
      <c r="E594" s="196">
        <v>44814</v>
      </c>
      <c r="F594" s="195">
        <v>9959.4</v>
      </c>
      <c r="G594" s="197">
        <f>Tabla110[[#This Row],[Importe]]-Tabla110[[#This Row],[Pagado]]</f>
        <v>0</v>
      </c>
      <c r="H594" s="194" t="s">
        <v>10</v>
      </c>
    </row>
    <row r="595" spans="1:8" x14ac:dyDescent="0.25">
      <c r="A595" s="127">
        <v>44810</v>
      </c>
      <c r="B595" s="128" t="s">
        <v>28627</v>
      </c>
      <c r="C595" s="194" t="s">
        <v>466</v>
      </c>
      <c r="D595" s="195">
        <v>9210</v>
      </c>
      <c r="E595" s="196">
        <v>44810</v>
      </c>
      <c r="F595" s="195">
        <v>9210</v>
      </c>
      <c r="G595" s="197">
        <f>Tabla110[[#This Row],[Importe]]-Tabla110[[#This Row],[Pagado]]</f>
        <v>0</v>
      </c>
      <c r="H595" s="194" t="s">
        <v>10</v>
      </c>
    </row>
    <row r="596" spans="1:8" x14ac:dyDescent="0.25">
      <c r="A596" s="127">
        <v>44810</v>
      </c>
      <c r="B596" s="128" t="s">
        <v>28628</v>
      </c>
      <c r="C596" s="194" t="s">
        <v>151</v>
      </c>
      <c r="D596" s="195">
        <v>7653.6</v>
      </c>
      <c r="E596" s="196">
        <v>44810</v>
      </c>
      <c r="F596" s="195">
        <v>7653.6</v>
      </c>
      <c r="G596" s="197">
        <f>Tabla110[[#This Row],[Importe]]-Tabla110[[#This Row],[Pagado]]</f>
        <v>0</v>
      </c>
      <c r="H596" s="194" t="s">
        <v>10</v>
      </c>
    </row>
    <row r="597" spans="1:8" x14ac:dyDescent="0.25">
      <c r="A597" s="127">
        <v>44810</v>
      </c>
      <c r="B597" s="128" t="s">
        <v>28629</v>
      </c>
      <c r="C597" s="194" t="s">
        <v>49</v>
      </c>
      <c r="D597" s="195">
        <v>2673</v>
      </c>
      <c r="E597" s="196">
        <v>44810</v>
      </c>
      <c r="F597" s="195">
        <v>2673</v>
      </c>
      <c r="G597" s="197">
        <f>Tabla110[[#This Row],[Importe]]-Tabla110[[#This Row],[Pagado]]</f>
        <v>0</v>
      </c>
      <c r="H597" s="194" t="s">
        <v>10</v>
      </c>
    </row>
    <row r="598" spans="1:8" x14ac:dyDescent="0.25">
      <c r="A598" s="127">
        <v>44810</v>
      </c>
      <c r="B598" s="128" t="s">
        <v>28630</v>
      </c>
      <c r="C598" s="194" t="s">
        <v>149</v>
      </c>
      <c r="D598" s="195">
        <v>2680.5</v>
      </c>
      <c r="E598" s="196">
        <v>44810</v>
      </c>
      <c r="F598" s="195">
        <v>2680.5</v>
      </c>
      <c r="G598" s="197">
        <f>Tabla110[[#This Row],[Importe]]-Tabla110[[#This Row],[Pagado]]</f>
        <v>0</v>
      </c>
      <c r="H598" s="194" t="s">
        <v>10</v>
      </c>
    </row>
    <row r="599" spans="1:8" x14ac:dyDescent="0.25">
      <c r="A599" s="127">
        <v>44810</v>
      </c>
      <c r="B599" s="128" t="s">
        <v>28631</v>
      </c>
      <c r="C599" s="194" t="s">
        <v>520</v>
      </c>
      <c r="D599" s="195">
        <v>8428.6</v>
      </c>
      <c r="E599" s="196">
        <v>44810</v>
      </c>
      <c r="F599" s="195">
        <v>8428.6</v>
      </c>
      <c r="G599" s="197">
        <f>Tabla110[[#This Row],[Importe]]-Tabla110[[#This Row],[Pagado]]</f>
        <v>0</v>
      </c>
      <c r="H599" s="194" t="s">
        <v>10</v>
      </c>
    </row>
    <row r="600" spans="1:8" x14ac:dyDescent="0.25">
      <c r="A600" s="127">
        <v>44810</v>
      </c>
      <c r="B600" s="128" t="s">
        <v>28632</v>
      </c>
      <c r="C600" s="194" t="s">
        <v>319</v>
      </c>
      <c r="D600" s="195">
        <v>10870.6</v>
      </c>
      <c r="E600" s="196">
        <v>44810</v>
      </c>
      <c r="F600" s="195">
        <v>10870.6</v>
      </c>
      <c r="G600" s="197">
        <f>Tabla110[[#This Row],[Importe]]-Tabla110[[#This Row],[Pagado]]</f>
        <v>0</v>
      </c>
      <c r="H600" s="194" t="s">
        <v>10</v>
      </c>
    </row>
    <row r="601" spans="1:8" x14ac:dyDescent="0.25">
      <c r="A601" s="127">
        <v>44810</v>
      </c>
      <c r="B601" s="128" t="s">
        <v>28633</v>
      </c>
      <c r="C601" s="194" t="s">
        <v>157</v>
      </c>
      <c r="D601" s="195">
        <v>5744.6</v>
      </c>
      <c r="E601" s="196">
        <v>44810</v>
      </c>
      <c r="F601" s="195">
        <v>5744.6</v>
      </c>
      <c r="G601" s="197">
        <f>Tabla110[[#This Row],[Importe]]-Tabla110[[#This Row],[Pagado]]</f>
        <v>0</v>
      </c>
      <c r="H601" s="194" t="s">
        <v>10</v>
      </c>
    </row>
    <row r="602" spans="1:8" x14ac:dyDescent="0.25">
      <c r="A602" s="127">
        <v>44810</v>
      </c>
      <c r="B602" s="128" t="s">
        <v>28634</v>
      </c>
      <c r="C602" s="194" t="s">
        <v>518</v>
      </c>
      <c r="D602" s="195">
        <v>4223.6000000000004</v>
      </c>
      <c r="E602" s="196">
        <v>44810</v>
      </c>
      <c r="F602" s="195">
        <v>4223.6000000000004</v>
      </c>
      <c r="G602" s="197">
        <f>Tabla110[[#This Row],[Importe]]-Tabla110[[#This Row],[Pagado]]</f>
        <v>0</v>
      </c>
      <c r="H602" s="194" t="s">
        <v>10</v>
      </c>
    </row>
    <row r="603" spans="1:8" x14ac:dyDescent="0.25">
      <c r="A603" s="127">
        <v>44810</v>
      </c>
      <c r="B603" s="128" t="s">
        <v>28635</v>
      </c>
      <c r="C603" s="194" t="s">
        <v>7801</v>
      </c>
      <c r="D603" s="195">
        <v>13832</v>
      </c>
      <c r="E603" s="196">
        <v>44810</v>
      </c>
      <c r="F603" s="195">
        <v>13832</v>
      </c>
      <c r="G603" s="197">
        <f>Tabla110[[#This Row],[Importe]]-Tabla110[[#This Row],[Pagado]]</f>
        <v>0</v>
      </c>
      <c r="H603" s="194" t="s">
        <v>10</v>
      </c>
    </row>
    <row r="604" spans="1:8" x14ac:dyDescent="0.25">
      <c r="A604" s="127">
        <v>44810</v>
      </c>
      <c r="B604" s="128" t="s">
        <v>28636</v>
      </c>
      <c r="C604" s="194" t="s">
        <v>525</v>
      </c>
      <c r="D604" s="195">
        <v>1711.4</v>
      </c>
      <c r="E604" s="196">
        <v>44810</v>
      </c>
      <c r="F604" s="195">
        <v>1711.4</v>
      </c>
      <c r="G604" s="197">
        <f>Tabla110[[#This Row],[Importe]]-Tabla110[[#This Row],[Pagado]]</f>
        <v>0</v>
      </c>
      <c r="H604" s="194" t="s">
        <v>10</v>
      </c>
    </row>
    <row r="605" spans="1:8" x14ac:dyDescent="0.25">
      <c r="A605" s="127">
        <v>44810</v>
      </c>
      <c r="B605" s="128" t="s">
        <v>28637</v>
      </c>
      <c r="C605" s="194" t="s">
        <v>79</v>
      </c>
      <c r="D605" s="195">
        <v>10157</v>
      </c>
      <c r="E605" s="196">
        <v>44810</v>
      </c>
      <c r="F605" s="195">
        <v>10157</v>
      </c>
      <c r="G605" s="197">
        <f>Tabla110[[#This Row],[Importe]]-Tabla110[[#This Row],[Pagado]]</f>
        <v>0</v>
      </c>
      <c r="H605" s="194" t="s">
        <v>10</v>
      </c>
    </row>
    <row r="606" spans="1:8" x14ac:dyDescent="0.25">
      <c r="A606" s="127">
        <v>44810</v>
      </c>
      <c r="B606" s="128" t="s">
        <v>28638</v>
      </c>
      <c r="C606" s="194" t="s">
        <v>159</v>
      </c>
      <c r="D606" s="195">
        <v>2095.1999999999998</v>
      </c>
      <c r="E606" s="196">
        <v>44810</v>
      </c>
      <c r="F606" s="195">
        <v>2095.1999999999998</v>
      </c>
      <c r="G606" s="197">
        <f>Tabla110[[#This Row],[Importe]]-Tabla110[[#This Row],[Pagado]]</f>
        <v>0</v>
      </c>
      <c r="H606" s="194" t="s">
        <v>10</v>
      </c>
    </row>
    <row r="607" spans="1:8" x14ac:dyDescent="0.25">
      <c r="A607" s="127">
        <v>44810</v>
      </c>
      <c r="B607" s="128" t="s">
        <v>28639</v>
      </c>
      <c r="C607" s="194" t="s">
        <v>9587</v>
      </c>
      <c r="D607" s="195">
        <v>11718</v>
      </c>
      <c r="E607" s="196">
        <v>44810</v>
      </c>
      <c r="F607" s="195">
        <v>11718</v>
      </c>
      <c r="G607" s="197">
        <f>Tabla110[[#This Row],[Importe]]-Tabla110[[#This Row],[Pagado]]</f>
        <v>0</v>
      </c>
      <c r="H607" s="194" t="s">
        <v>10</v>
      </c>
    </row>
    <row r="608" spans="1:8" x14ac:dyDescent="0.25">
      <c r="A608" s="127">
        <v>44810</v>
      </c>
      <c r="B608" s="128" t="s">
        <v>28640</v>
      </c>
      <c r="C608" s="194" t="s">
        <v>9587</v>
      </c>
      <c r="D608" s="195">
        <v>382.5</v>
      </c>
      <c r="E608" s="196">
        <v>44810</v>
      </c>
      <c r="F608" s="195">
        <v>382.5</v>
      </c>
      <c r="G608" s="197">
        <f>Tabla110[[#This Row],[Importe]]-Tabla110[[#This Row],[Pagado]]</f>
        <v>0</v>
      </c>
      <c r="H608" s="194" t="s">
        <v>10</v>
      </c>
    </row>
    <row r="609" spans="1:8" x14ac:dyDescent="0.25">
      <c r="A609" s="127">
        <v>44810</v>
      </c>
      <c r="B609" s="128" t="s">
        <v>28641</v>
      </c>
      <c r="C609" s="194" t="s">
        <v>314</v>
      </c>
      <c r="D609" s="195">
        <v>2688</v>
      </c>
      <c r="E609" s="196">
        <v>44810</v>
      </c>
      <c r="F609" s="195">
        <v>2688</v>
      </c>
      <c r="G609" s="197">
        <f>Tabla110[[#This Row],[Importe]]-Tabla110[[#This Row],[Pagado]]</f>
        <v>0</v>
      </c>
      <c r="H609" s="194" t="s">
        <v>10</v>
      </c>
    </row>
    <row r="610" spans="1:8" x14ac:dyDescent="0.25">
      <c r="A610" s="127">
        <v>44810</v>
      </c>
      <c r="B610" s="128" t="s">
        <v>28642</v>
      </c>
      <c r="C610" s="194" t="s">
        <v>87</v>
      </c>
      <c r="D610" s="195">
        <v>2185</v>
      </c>
      <c r="E610" s="196">
        <v>44810</v>
      </c>
      <c r="F610" s="195">
        <v>2185</v>
      </c>
      <c r="G610" s="197">
        <f>Tabla110[[#This Row],[Importe]]-Tabla110[[#This Row],[Pagado]]</f>
        <v>0</v>
      </c>
      <c r="H610" s="194" t="s">
        <v>10</v>
      </c>
    </row>
    <row r="611" spans="1:8" x14ac:dyDescent="0.25">
      <c r="A611" s="127">
        <v>44810</v>
      </c>
      <c r="B611" s="128" t="s">
        <v>28643</v>
      </c>
      <c r="C611" s="194" t="s">
        <v>83</v>
      </c>
      <c r="D611" s="195">
        <v>8016</v>
      </c>
      <c r="E611" s="196">
        <v>44810</v>
      </c>
      <c r="F611" s="195">
        <v>8016</v>
      </c>
      <c r="G611" s="197">
        <f>Tabla110[[#This Row],[Importe]]-Tabla110[[#This Row],[Pagado]]</f>
        <v>0</v>
      </c>
      <c r="H611" s="194" t="s">
        <v>10</v>
      </c>
    </row>
    <row r="612" spans="1:8" x14ac:dyDescent="0.25">
      <c r="A612" s="127">
        <v>44810</v>
      </c>
      <c r="B612" s="128" t="s">
        <v>28644</v>
      </c>
      <c r="C612" s="194" t="s">
        <v>129</v>
      </c>
      <c r="D612" s="195">
        <v>1176.5999999999999</v>
      </c>
      <c r="E612" s="196">
        <v>44810</v>
      </c>
      <c r="F612" s="195">
        <v>1176.5999999999999</v>
      </c>
      <c r="G612" s="197">
        <f>Tabla110[[#This Row],[Importe]]-Tabla110[[#This Row],[Pagado]]</f>
        <v>0</v>
      </c>
      <c r="H612" s="194" t="s">
        <v>10</v>
      </c>
    </row>
    <row r="613" spans="1:8" x14ac:dyDescent="0.25">
      <c r="A613" s="127">
        <v>44810</v>
      </c>
      <c r="B613" s="128" t="s">
        <v>28645</v>
      </c>
      <c r="C613" s="194" t="s">
        <v>357</v>
      </c>
      <c r="D613" s="195">
        <v>1243.2</v>
      </c>
      <c r="E613" s="196">
        <v>44810</v>
      </c>
      <c r="F613" s="195">
        <v>1243.2</v>
      </c>
      <c r="G613" s="197">
        <f>Tabla110[[#This Row],[Importe]]-Tabla110[[#This Row],[Pagado]]</f>
        <v>0</v>
      </c>
      <c r="H613" s="194" t="s">
        <v>10</v>
      </c>
    </row>
    <row r="614" spans="1:8" x14ac:dyDescent="0.25">
      <c r="A614" s="127">
        <v>44810</v>
      </c>
      <c r="B614" s="128" t="s">
        <v>28646</v>
      </c>
      <c r="C614" s="194" t="s">
        <v>127</v>
      </c>
      <c r="D614" s="195">
        <v>2269.6</v>
      </c>
      <c r="E614" s="196">
        <v>44810</v>
      </c>
      <c r="F614" s="195">
        <v>2269.6</v>
      </c>
      <c r="G614" s="197">
        <f>Tabla110[[#This Row],[Importe]]-Tabla110[[#This Row],[Pagado]]</f>
        <v>0</v>
      </c>
      <c r="H614" s="194" t="s">
        <v>10</v>
      </c>
    </row>
    <row r="615" spans="1:8" x14ac:dyDescent="0.25">
      <c r="A615" s="127">
        <v>44810</v>
      </c>
      <c r="B615" s="128" t="s">
        <v>28647</v>
      </c>
      <c r="C615" s="194" t="s">
        <v>146</v>
      </c>
      <c r="D615" s="195">
        <v>4804.8</v>
      </c>
      <c r="E615" s="196">
        <v>44810</v>
      </c>
      <c r="F615" s="195">
        <v>4804.8</v>
      </c>
      <c r="G615" s="197">
        <f>Tabla110[[#This Row],[Importe]]-Tabla110[[#This Row],[Pagado]]</f>
        <v>0</v>
      </c>
      <c r="H615" s="194" t="s">
        <v>10</v>
      </c>
    </row>
    <row r="616" spans="1:8" x14ac:dyDescent="0.25">
      <c r="A616" s="127">
        <v>44810</v>
      </c>
      <c r="B616" s="128" t="s">
        <v>28648</v>
      </c>
      <c r="C616" s="194" t="s">
        <v>1362</v>
      </c>
      <c r="D616" s="195">
        <v>2070.1</v>
      </c>
      <c r="E616" s="196">
        <v>44718</v>
      </c>
      <c r="F616" s="195">
        <v>2070.1</v>
      </c>
      <c r="G616" s="197">
        <f>Tabla110[[#This Row],[Importe]]-Tabla110[[#This Row],[Pagado]]</f>
        <v>0</v>
      </c>
      <c r="H616" s="194" t="s">
        <v>10</v>
      </c>
    </row>
    <row r="617" spans="1:8" x14ac:dyDescent="0.25">
      <c r="A617" s="127">
        <v>44810</v>
      </c>
      <c r="B617" s="128" t="s">
        <v>28649</v>
      </c>
      <c r="C617" s="194" t="s">
        <v>226</v>
      </c>
      <c r="D617" s="195">
        <v>6599.2</v>
      </c>
      <c r="E617" s="196">
        <v>44626</v>
      </c>
      <c r="F617" s="195">
        <v>6599.2</v>
      </c>
      <c r="G617" s="197">
        <f>Tabla110[[#This Row],[Importe]]-Tabla110[[#This Row],[Pagado]]</f>
        <v>0</v>
      </c>
      <c r="H617" s="194" t="s">
        <v>10</v>
      </c>
    </row>
    <row r="618" spans="1:8" x14ac:dyDescent="0.25">
      <c r="A618" s="127">
        <v>44810</v>
      </c>
      <c r="B618" s="128" t="s">
        <v>28650</v>
      </c>
      <c r="C618" s="194" t="s">
        <v>214</v>
      </c>
      <c r="D618" s="195">
        <v>1778</v>
      </c>
      <c r="E618" s="196">
        <v>44536</v>
      </c>
      <c r="F618" s="195">
        <v>1778</v>
      </c>
      <c r="G618" s="197">
        <f>Tabla110[[#This Row],[Importe]]-Tabla110[[#This Row],[Pagado]]</f>
        <v>0</v>
      </c>
      <c r="H618" s="194" t="s">
        <v>10</v>
      </c>
    </row>
    <row r="619" spans="1:8" x14ac:dyDescent="0.25">
      <c r="A619" s="127">
        <v>44810</v>
      </c>
      <c r="B619" s="128" t="s">
        <v>28651</v>
      </c>
      <c r="C619" s="194" t="s">
        <v>396</v>
      </c>
      <c r="D619" s="195">
        <v>13640.04</v>
      </c>
      <c r="E619" s="196">
        <v>44820</v>
      </c>
      <c r="F619" s="195">
        <v>13640.04</v>
      </c>
      <c r="G619" s="197">
        <f>Tabla110[[#This Row],[Importe]]-Tabla110[[#This Row],[Pagado]]</f>
        <v>0</v>
      </c>
      <c r="H619" s="194" t="s">
        <v>10</v>
      </c>
    </row>
    <row r="620" spans="1:8" x14ac:dyDescent="0.25">
      <c r="A620" s="127">
        <v>44810</v>
      </c>
      <c r="B620" s="128" t="s">
        <v>28652</v>
      </c>
      <c r="C620" s="194" t="s">
        <v>216</v>
      </c>
      <c r="D620" s="195">
        <v>1610</v>
      </c>
      <c r="E620" s="196">
        <v>44810</v>
      </c>
      <c r="F620" s="195">
        <v>1610</v>
      </c>
      <c r="G620" s="197">
        <f>Tabla110[[#This Row],[Importe]]-Tabla110[[#This Row],[Pagado]]</f>
        <v>0</v>
      </c>
      <c r="H620" s="194" t="s">
        <v>10</v>
      </c>
    </row>
    <row r="621" spans="1:8" x14ac:dyDescent="0.25">
      <c r="A621" s="127">
        <v>44810</v>
      </c>
      <c r="B621" s="128" t="s">
        <v>28653</v>
      </c>
      <c r="C621" s="194" t="s">
        <v>107</v>
      </c>
      <c r="D621" s="195">
        <v>16277.5</v>
      </c>
      <c r="E621" s="196">
        <v>44810</v>
      </c>
      <c r="F621" s="195">
        <v>16277.5</v>
      </c>
      <c r="G621" s="197">
        <f>Tabla110[[#This Row],[Importe]]-Tabla110[[#This Row],[Pagado]]</f>
        <v>0</v>
      </c>
      <c r="H621" s="194" t="s">
        <v>10</v>
      </c>
    </row>
    <row r="622" spans="1:8" x14ac:dyDescent="0.25">
      <c r="A622" s="127">
        <v>44810</v>
      </c>
      <c r="B622" s="128" t="s">
        <v>28654</v>
      </c>
      <c r="C622" s="194" t="s">
        <v>24</v>
      </c>
      <c r="D622" s="195">
        <v>3563.5</v>
      </c>
      <c r="E622" s="196">
        <v>44810</v>
      </c>
      <c r="F622" s="195">
        <v>3563.5</v>
      </c>
      <c r="G622" s="197">
        <f>Tabla110[[#This Row],[Importe]]-Tabla110[[#This Row],[Pagado]]</f>
        <v>0</v>
      </c>
      <c r="H622" s="194" t="s">
        <v>10</v>
      </c>
    </row>
    <row r="623" spans="1:8" x14ac:dyDescent="0.25">
      <c r="A623" s="127">
        <v>44810</v>
      </c>
      <c r="B623" s="128" t="s">
        <v>28655</v>
      </c>
      <c r="C623" s="194" t="s">
        <v>698</v>
      </c>
      <c r="D623" s="195">
        <v>7217.4</v>
      </c>
      <c r="E623" s="196">
        <v>44810</v>
      </c>
      <c r="F623" s="195">
        <v>7217.4</v>
      </c>
      <c r="G623" s="197">
        <f>Tabla110[[#This Row],[Importe]]-Tabla110[[#This Row],[Pagado]]</f>
        <v>0</v>
      </c>
      <c r="H623" s="194" t="s">
        <v>10</v>
      </c>
    </row>
    <row r="624" spans="1:8" x14ac:dyDescent="0.25">
      <c r="A624" s="127">
        <v>44810</v>
      </c>
      <c r="B624" s="128" t="s">
        <v>28656</v>
      </c>
      <c r="C624" s="194" t="s">
        <v>142</v>
      </c>
      <c r="D624" s="195">
        <v>88952.15</v>
      </c>
      <c r="E624" s="196">
        <v>44847</v>
      </c>
      <c r="F624" s="195">
        <v>88952.15</v>
      </c>
      <c r="G624" s="197">
        <f>Tabla110[[#This Row],[Importe]]-Tabla110[[#This Row],[Pagado]]</f>
        <v>0</v>
      </c>
      <c r="H624" s="194" t="s">
        <v>10</v>
      </c>
    </row>
    <row r="625" spans="1:8" x14ac:dyDescent="0.25">
      <c r="A625" s="127">
        <v>44810</v>
      </c>
      <c r="B625" s="128" t="s">
        <v>28657</v>
      </c>
      <c r="C625" s="194" t="s">
        <v>31</v>
      </c>
      <c r="D625" s="195">
        <v>1995.8</v>
      </c>
      <c r="E625" s="196">
        <v>44810</v>
      </c>
      <c r="F625" s="195">
        <v>1995.8</v>
      </c>
      <c r="G625" s="197">
        <f>Tabla110[[#This Row],[Importe]]-Tabla110[[#This Row],[Pagado]]</f>
        <v>0</v>
      </c>
      <c r="H625" s="194" t="s">
        <v>10</v>
      </c>
    </row>
    <row r="626" spans="1:8" x14ac:dyDescent="0.25">
      <c r="A626" s="127">
        <v>44810</v>
      </c>
      <c r="B626" s="128" t="s">
        <v>28658</v>
      </c>
      <c r="C626" s="194" t="s">
        <v>14</v>
      </c>
      <c r="D626" s="195">
        <v>24771.8</v>
      </c>
      <c r="E626" s="196">
        <v>44810</v>
      </c>
      <c r="F626" s="195">
        <v>24771.8</v>
      </c>
      <c r="G626" s="197">
        <f>Tabla110[[#This Row],[Importe]]-Tabla110[[#This Row],[Pagado]]</f>
        <v>0</v>
      </c>
      <c r="H626" s="194" t="s">
        <v>10</v>
      </c>
    </row>
    <row r="627" spans="1:8" x14ac:dyDescent="0.25">
      <c r="A627" s="127">
        <v>44810</v>
      </c>
      <c r="B627" s="128" t="s">
        <v>28659</v>
      </c>
      <c r="C627" s="194" t="s">
        <v>24284</v>
      </c>
      <c r="D627" s="195">
        <v>630</v>
      </c>
      <c r="E627" s="196">
        <v>44810</v>
      </c>
      <c r="F627" s="195">
        <v>630</v>
      </c>
      <c r="G627" s="197">
        <f>Tabla110[[#This Row],[Importe]]-Tabla110[[#This Row],[Pagado]]</f>
        <v>0</v>
      </c>
      <c r="H627" s="194" t="s">
        <v>10</v>
      </c>
    </row>
    <row r="628" spans="1:8" x14ac:dyDescent="0.25">
      <c r="A628" s="127">
        <v>44810</v>
      </c>
      <c r="B628" s="128" t="s">
        <v>28660</v>
      </c>
      <c r="C628" s="194" t="s">
        <v>407</v>
      </c>
      <c r="D628" s="195">
        <v>30958</v>
      </c>
      <c r="E628" s="196">
        <v>44837</v>
      </c>
      <c r="F628" s="195">
        <v>30958</v>
      </c>
      <c r="G628" s="197">
        <f>Tabla110[[#This Row],[Importe]]-Tabla110[[#This Row],[Pagado]]</f>
        <v>0</v>
      </c>
      <c r="H628" s="194" t="s">
        <v>10</v>
      </c>
    </row>
    <row r="629" spans="1:8" x14ac:dyDescent="0.25">
      <c r="A629" s="127">
        <v>44810</v>
      </c>
      <c r="B629" s="128" t="s">
        <v>28661</v>
      </c>
      <c r="C629" s="194" t="s">
        <v>1003</v>
      </c>
      <c r="D629" s="195">
        <v>10277</v>
      </c>
      <c r="E629" s="196">
        <v>44813</v>
      </c>
      <c r="F629" s="195">
        <v>10277</v>
      </c>
      <c r="G629" s="197">
        <f>Tabla110[[#This Row],[Importe]]-Tabla110[[#This Row],[Pagado]]</f>
        <v>0</v>
      </c>
      <c r="H629" s="194" t="s">
        <v>10</v>
      </c>
    </row>
    <row r="630" spans="1:8" x14ac:dyDescent="0.25">
      <c r="A630" s="127">
        <v>44810</v>
      </c>
      <c r="B630" s="128" t="s">
        <v>28662</v>
      </c>
      <c r="C630" s="194" t="s">
        <v>670</v>
      </c>
      <c r="D630" s="195">
        <v>5110</v>
      </c>
      <c r="E630" s="196">
        <v>44813</v>
      </c>
      <c r="F630" s="195">
        <v>5110</v>
      </c>
      <c r="G630" s="197">
        <f>Tabla110[[#This Row],[Importe]]-Tabla110[[#This Row],[Pagado]]</f>
        <v>0</v>
      </c>
      <c r="H630" s="194" t="s">
        <v>10</v>
      </c>
    </row>
    <row r="631" spans="1:8" x14ac:dyDescent="0.25">
      <c r="A631" s="127">
        <v>44810</v>
      </c>
      <c r="B631" s="128" t="s">
        <v>28663</v>
      </c>
      <c r="C631" s="194" t="s">
        <v>4136</v>
      </c>
      <c r="D631" s="195">
        <v>2656</v>
      </c>
      <c r="E631" s="196">
        <v>44810</v>
      </c>
      <c r="F631" s="195">
        <v>2656</v>
      </c>
      <c r="G631" s="197">
        <f>Tabla110[[#This Row],[Importe]]-Tabla110[[#This Row],[Pagado]]</f>
        <v>0</v>
      </c>
      <c r="H631" s="194" t="s">
        <v>10</v>
      </c>
    </row>
    <row r="632" spans="1:8" x14ac:dyDescent="0.25">
      <c r="A632" s="127">
        <v>44810</v>
      </c>
      <c r="B632" s="128" t="s">
        <v>28664</v>
      </c>
      <c r="C632" s="194" t="s">
        <v>5694</v>
      </c>
      <c r="D632" s="195">
        <v>3934</v>
      </c>
      <c r="E632" s="196">
        <v>44810</v>
      </c>
      <c r="F632" s="195">
        <v>3934</v>
      </c>
      <c r="G632" s="197">
        <f>Tabla110[[#This Row],[Importe]]-Tabla110[[#This Row],[Pagado]]</f>
        <v>0</v>
      </c>
      <c r="H632" s="194" t="s">
        <v>10</v>
      </c>
    </row>
    <row r="633" spans="1:8" x14ac:dyDescent="0.25">
      <c r="A633" s="127">
        <v>44810</v>
      </c>
      <c r="B633" s="128" t="s">
        <v>28665</v>
      </c>
      <c r="C633" s="194" t="s">
        <v>4136</v>
      </c>
      <c r="D633" s="195">
        <v>390</v>
      </c>
      <c r="E633" s="196">
        <v>44810</v>
      </c>
      <c r="F633" s="195">
        <v>390</v>
      </c>
      <c r="G633" s="197">
        <f>Tabla110[[#This Row],[Importe]]-Tabla110[[#This Row],[Pagado]]</f>
        <v>0</v>
      </c>
      <c r="H633" s="194" t="s">
        <v>10</v>
      </c>
    </row>
    <row r="634" spans="1:8" x14ac:dyDescent="0.25">
      <c r="A634" s="127">
        <v>44810</v>
      </c>
      <c r="B634" s="128" t="s">
        <v>28666</v>
      </c>
      <c r="C634" s="194" t="s">
        <v>214</v>
      </c>
      <c r="D634" s="195">
        <v>871</v>
      </c>
      <c r="E634" s="196">
        <v>44810</v>
      </c>
      <c r="F634" s="195">
        <v>871</v>
      </c>
      <c r="G634" s="197">
        <f>Tabla110[[#This Row],[Importe]]-Tabla110[[#This Row],[Pagado]]</f>
        <v>0</v>
      </c>
      <c r="H634" s="194" t="s">
        <v>10</v>
      </c>
    </row>
    <row r="635" spans="1:8" x14ac:dyDescent="0.25">
      <c r="A635" s="127">
        <v>44810</v>
      </c>
      <c r="B635" s="128" t="s">
        <v>28667</v>
      </c>
      <c r="C635" s="194" t="s">
        <v>31</v>
      </c>
      <c r="D635" s="195">
        <v>1022</v>
      </c>
      <c r="E635" s="196">
        <v>44810</v>
      </c>
      <c r="F635" s="195">
        <v>1022</v>
      </c>
      <c r="G635" s="197">
        <f>Tabla110[[#This Row],[Importe]]-Tabla110[[#This Row],[Pagado]]</f>
        <v>0</v>
      </c>
      <c r="H635" s="194" t="s">
        <v>10</v>
      </c>
    </row>
    <row r="636" spans="1:8" x14ac:dyDescent="0.25">
      <c r="A636" s="127">
        <v>44810</v>
      </c>
      <c r="B636" s="128" t="s">
        <v>28668</v>
      </c>
      <c r="C636" s="194" t="s">
        <v>31</v>
      </c>
      <c r="D636" s="195">
        <v>225.5</v>
      </c>
      <c r="E636" s="196">
        <v>44810</v>
      </c>
      <c r="F636" s="195">
        <v>225.5</v>
      </c>
      <c r="G636" s="197">
        <f>Tabla110[[#This Row],[Importe]]-Tabla110[[#This Row],[Pagado]]</f>
        <v>0</v>
      </c>
      <c r="H636" s="194" t="s">
        <v>10</v>
      </c>
    </row>
    <row r="637" spans="1:8" x14ac:dyDescent="0.25">
      <c r="A637" s="127">
        <v>44810</v>
      </c>
      <c r="B637" s="128" t="s">
        <v>28669</v>
      </c>
      <c r="C637" s="194" t="s">
        <v>12107</v>
      </c>
      <c r="D637" s="195">
        <v>856.8</v>
      </c>
      <c r="E637" s="196">
        <v>44810</v>
      </c>
      <c r="F637" s="195">
        <v>856.8</v>
      </c>
      <c r="G637" s="197">
        <f>Tabla110[[#This Row],[Importe]]-Tabla110[[#This Row],[Pagado]]</f>
        <v>0</v>
      </c>
      <c r="H637" s="194" t="s">
        <v>10</v>
      </c>
    </row>
    <row r="638" spans="1:8" x14ac:dyDescent="0.25">
      <c r="A638" s="127">
        <v>44810</v>
      </c>
      <c r="B638" s="128" t="s">
        <v>28670</v>
      </c>
      <c r="C638" s="194" t="s">
        <v>400</v>
      </c>
      <c r="D638" s="195">
        <v>12658.3</v>
      </c>
      <c r="E638" s="196">
        <v>44820</v>
      </c>
      <c r="F638" s="195">
        <v>12658.3</v>
      </c>
      <c r="G638" s="197">
        <f>Tabla110[[#This Row],[Importe]]-Tabla110[[#This Row],[Pagado]]</f>
        <v>0</v>
      </c>
      <c r="H638" s="194" t="s">
        <v>10</v>
      </c>
    </row>
    <row r="639" spans="1:8" x14ac:dyDescent="0.25">
      <c r="A639" s="127">
        <v>44810</v>
      </c>
      <c r="B639" s="128" t="s">
        <v>28671</v>
      </c>
      <c r="C639" s="194" t="s">
        <v>233</v>
      </c>
      <c r="D639" s="195">
        <v>4771.2</v>
      </c>
      <c r="E639" s="196">
        <v>44810</v>
      </c>
      <c r="F639" s="195">
        <v>4771.2</v>
      </c>
      <c r="G639" s="197">
        <f>Tabla110[[#This Row],[Importe]]-Tabla110[[#This Row],[Pagado]]</f>
        <v>0</v>
      </c>
      <c r="H639" s="194" t="s">
        <v>10</v>
      </c>
    </row>
    <row r="640" spans="1:8" x14ac:dyDescent="0.25">
      <c r="A640" s="127">
        <v>44810</v>
      </c>
      <c r="B640" s="128" t="s">
        <v>28672</v>
      </c>
      <c r="C640" s="194" t="s">
        <v>10678</v>
      </c>
      <c r="D640" s="195">
        <v>2918.9</v>
      </c>
      <c r="E640" s="196">
        <v>44810</v>
      </c>
      <c r="F640" s="195">
        <v>2918.9</v>
      </c>
      <c r="G640" s="197">
        <f>Tabla110[[#This Row],[Importe]]-Tabla110[[#This Row],[Pagado]]</f>
        <v>0</v>
      </c>
      <c r="H640" s="194" t="s">
        <v>10</v>
      </c>
    </row>
    <row r="641" spans="1:8" x14ac:dyDescent="0.25">
      <c r="A641" s="127">
        <v>44810</v>
      </c>
      <c r="B641" s="128" t="s">
        <v>28673</v>
      </c>
      <c r="C641" s="194" t="s">
        <v>58</v>
      </c>
      <c r="D641" s="195">
        <v>2235</v>
      </c>
      <c r="E641" s="196">
        <v>44810</v>
      </c>
      <c r="F641" s="195">
        <v>2235</v>
      </c>
      <c r="G641" s="197">
        <f>Tabla110[[#This Row],[Importe]]-Tabla110[[#This Row],[Pagado]]</f>
        <v>0</v>
      </c>
      <c r="H641" s="194" t="s">
        <v>10</v>
      </c>
    </row>
    <row r="642" spans="1:8" x14ac:dyDescent="0.25">
      <c r="A642" s="127">
        <v>44810</v>
      </c>
      <c r="B642" s="128" t="s">
        <v>28674</v>
      </c>
      <c r="C642" s="194" t="s">
        <v>31</v>
      </c>
      <c r="D642" s="195">
        <v>2361.4</v>
      </c>
      <c r="E642" s="196">
        <v>44810</v>
      </c>
      <c r="F642" s="195">
        <v>2361.4</v>
      </c>
      <c r="G642" s="197">
        <f>Tabla110[[#This Row],[Importe]]-Tabla110[[#This Row],[Pagado]]</f>
        <v>0</v>
      </c>
      <c r="H642" s="194" t="s">
        <v>10</v>
      </c>
    </row>
    <row r="643" spans="1:8" x14ac:dyDescent="0.25">
      <c r="A643" s="127">
        <v>44810</v>
      </c>
      <c r="B643" s="128" t="s">
        <v>28675</v>
      </c>
      <c r="C643" s="194" t="s">
        <v>244</v>
      </c>
      <c r="D643" s="195">
        <v>1514.7</v>
      </c>
      <c r="E643" s="196">
        <v>44810</v>
      </c>
      <c r="F643" s="195">
        <v>1514.7</v>
      </c>
      <c r="G643" s="197">
        <f>Tabla110[[#This Row],[Importe]]-Tabla110[[#This Row],[Pagado]]</f>
        <v>0</v>
      </c>
      <c r="H643" s="194" t="s">
        <v>10</v>
      </c>
    </row>
    <row r="644" spans="1:8" x14ac:dyDescent="0.25">
      <c r="A644" s="127">
        <v>44810</v>
      </c>
      <c r="B644" s="128" t="s">
        <v>28676</v>
      </c>
      <c r="C644" s="194" t="s">
        <v>849</v>
      </c>
      <c r="D644" s="195">
        <v>1706.1</v>
      </c>
      <c r="E644" s="196">
        <v>44810</v>
      </c>
      <c r="F644" s="195">
        <v>1706.1</v>
      </c>
      <c r="G644" s="197">
        <f>Tabla110[[#This Row],[Importe]]-Tabla110[[#This Row],[Pagado]]</f>
        <v>0</v>
      </c>
      <c r="H644" s="194" t="s">
        <v>10</v>
      </c>
    </row>
    <row r="645" spans="1:8" x14ac:dyDescent="0.25">
      <c r="A645" s="127">
        <v>44810</v>
      </c>
      <c r="B645" s="128" t="s">
        <v>28677</v>
      </c>
      <c r="C645" s="194" t="s">
        <v>27857</v>
      </c>
      <c r="D645" s="195">
        <v>0</v>
      </c>
      <c r="E645" s="199" t="s">
        <v>189</v>
      </c>
      <c r="F645" s="195">
        <v>0</v>
      </c>
      <c r="G645" s="197">
        <f>Tabla110[[#This Row],[Importe]]-Tabla110[[#This Row],[Pagado]]</f>
        <v>0</v>
      </c>
      <c r="H645" s="194" t="s">
        <v>189</v>
      </c>
    </row>
    <row r="646" spans="1:8" x14ac:dyDescent="0.25">
      <c r="A646" s="127">
        <v>44810</v>
      </c>
      <c r="B646" s="128" t="s">
        <v>28678</v>
      </c>
      <c r="C646" s="194" t="s">
        <v>167</v>
      </c>
      <c r="D646" s="195">
        <v>81942.399999999994</v>
      </c>
      <c r="E646" s="196">
        <v>44810</v>
      </c>
      <c r="F646" s="195">
        <v>81942.399999999994</v>
      </c>
      <c r="G646" s="197">
        <f>Tabla110[[#This Row],[Importe]]-Tabla110[[#This Row],[Pagado]]</f>
        <v>0</v>
      </c>
      <c r="H646" s="194" t="s">
        <v>10</v>
      </c>
    </row>
    <row r="647" spans="1:8" x14ac:dyDescent="0.25">
      <c r="A647" s="127">
        <v>44810</v>
      </c>
      <c r="B647" s="128" t="s">
        <v>28679</v>
      </c>
      <c r="C647" s="194" t="s">
        <v>31</v>
      </c>
      <c r="D647" s="195">
        <v>283.5</v>
      </c>
      <c r="E647" s="196">
        <v>44810</v>
      </c>
      <c r="F647" s="195">
        <v>283.5</v>
      </c>
      <c r="G647" s="197">
        <f>Tabla110[[#This Row],[Importe]]-Tabla110[[#This Row],[Pagado]]</f>
        <v>0</v>
      </c>
      <c r="H647" s="194" t="s">
        <v>10</v>
      </c>
    </row>
    <row r="648" spans="1:8" x14ac:dyDescent="0.25">
      <c r="A648" s="127">
        <v>44810</v>
      </c>
      <c r="B648" s="128" t="s">
        <v>28680</v>
      </c>
      <c r="C648" s="194" t="s">
        <v>67</v>
      </c>
      <c r="D648" s="195">
        <v>1609</v>
      </c>
      <c r="E648" s="196">
        <v>44810</v>
      </c>
      <c r="F648" s="195">
        <v>1609</v>
      </c>
      <c r="G648" s="197">
        <f>Tabla110[[#This Row],[Importe]]-Tabla110[[#This Row],[Pagado]]</f>
        <v>0</v>
      </c>
      <c r="H648" s="194" t="s">
        <v>10</v>
      </c>
    </row>
    <row r="649" spans="1:8" x14ac:dyDescent="0.25">
      <c r="A649" s="127">
        <v>44810</v>
      </c>
      <c r="B649" s="128" t="s">
        <v>28681</v>
      </c>
      <c r="C649" s="194" t="s">
        <v>857</v>
      </c>
      <c r="D649" s="195">
        <v>952.8</v>
      </c>
      <c r="E649" s="196">
        <v>44810</v>
      </c>
      <c r="F649" s="195">
        <v>952.8</v>
      </c>
      <c r="G649" s="197">
        <f>Tabla110[[#This Row],[Importe]]-Tabla110[[#This Row],[Pagado]]</f>
        <v>0</v>
      </c>
      <c r="H649" s="194" t="s">
        <v>10</v>
      </c>
    </row>
    <row r="650" spans="1:8" x14ac:dyDescent="0.25">
      <c r="A650" s="127">
        <v>44810</v>
      </c>
      <c r="B650" s="128" t="s">
        <v>28682</v>
      </c>
      <c r="C650" s="194" t="s">
        <v>56</v>
      </c>
      <c r="D650" s="195">
        <v>7039</v>
      </c>
      <c r="E650" s="196">
        <v>44810</v>
      </c>
      <c r="F650" s="195">
        <v>7039</v>
      </c>
      <c r="G650" s="197">
        <f>Tabla110[[#This Row],[Importe]]-Tabla110[[#This Row],[Pagado]]</f>
        <v>0</v>
      </c>
      <c r="H650" s="194" t="s">
        <v>10</v>
      </c>
    </row>
    <row r="651" spans="1:8" x14ac:dyDescent="0.25">
      <c r="A651" s="127">
        <v>44810</v>
      </c>
      <c r="B651" s="128" t="s">
        <v>28683</v>
      </c>
      <c r="C651" s="194" t="s">
        <v>31</v>
      </c>
      <c r="D651" s="195">
        <v>132</v>
      </c>
      <c r="E651" s="196">
        <v>44810</v>
      </c>
      <c r="F651" s="195">
        <v>132</v>
      </c>
      <c r="G651" s="197">
        <f>Tabla110[[#This Row],[Importe]]-Tabla110[[#This Row],[Pagado]]</f>
        <v>0</v>
      </c>
      <c r="H651" s="194" t="s">
        <v>10</v>
      </c>
    </row>
    <row r="652" spans="1:8" x14ac:dyDescent="0.25">
      <c r="A652" s="127">
        <v>44810</v>
      </c>
      <c r="B652" s="128" t="s">
        <v>28684</v>
      </c>
      <c r="C652" s="194" t="s">
        <v>28087</v>
      </c>
      <c r="D652" s="195">
        <v>113520.2</v>
      </c>
      <c r="E652" s="196">
        <v>44893</v>
      </c>
      <c r="F652" s="195">
        <v>113520.2</v>
      </c>
      <c r="G652" s="197">
        <f>Tabla110[[#This Row],[Importe]]-Tabla110[[#This Row],[Pagado]]</f>
        <v>0</v>
      </c>
      <c r="H652" s="78" t="s">
        <v>17776</v>
      </c>
    </row>
    <row r="653" spans="1:8" x14ac:dyDescent="0.25">
      <c r="A653" s="127">
        <v>44810</v>
      </c>
      <c r="B653" s="128" t="s">
        <v>28685</v>
      </c>
      <c r="C653" s="194" t="s">
        <v>261</v>
      </c>
      <c r="D653" s="195">
        <v>45567.6</v>
      </c>
      <c r="E653" s="196">
        <v>44811</v>
      </c>
      <c r="F653" s="195">
        <v>45567.6</v>
      </c>
      <c r="G653" s="197">
        <f>Tabla110[[#This Row],[Importe]]-Tabla110[[#This Row],[Pagado]]</f>
        <v>0</v>
      </c>
      <c r="H653" s="194" t="s">
        <v>10</v>
      </c>
    </row>
    <row r="654" spans="1:8" x14ac:dyDescent="0.25">
      <c r="A654" s="127">
        <v>44810</v>
      </c>
      <c r="B654" s="128" t="s">
        <v>28686</v>
      </c>
      <c r="C654" s="194" t="s">
        <v>135</v>
      </c>
      <c r="D654" s="195">
        <v>1316.4</v>
      </c>
      <c r="E654" s="196">
        <v>44811</v>
      </c>
      <c r="F654" s="195">
        <v>1316.4</v>
      </c>
      <c r="G654" s="197">
        <f>Tabla110[[#This Row],[Importe]]-Tabla110[[#This Row],[Pagado]]</f>
        <v>0</v>
      </c>
      <c r="H654" s="194" t="s">
        <v>10</v>
      </c>
    </row>
    <row r="655" spans="1:8" x14ac:dyDescent="0.25">
      <c r="A655" s="127">
        <v>44810</v>
      </c>
      <c r="B655" s="128" t="s">
        <v>28687</v>
      </c>
      <c r="C655" s="194" t="s">
        <v>712</v>
      </c>
      <c r="D655" s="195">
        <v>4.8099999999999996</v>
      </c>
      <c r="E655" s="196">
        <v>44817</v>
      </c>
      <c r="F655" s="195">
        <v>4.8099999999999996</v>
      </c>
      <c r="G655" s="197">
        <f>Tabla110[[#This Row],[Importe]]-Tabla110[[#This Row],[Pagado]]</f>
        <v>0</v>
      </c>
      <c r="H655" s="194" t="s">
        <v>10</v>
      </c>
    </row>
    <row r="656" spans="1:8" x14ac:dyDescent="0.25">
      <c r="A656" s="127">
        <v>44810</v>
      </c>
      <c r="B656" s="128" t="s">
        <v>28688</v>
      </c>
      <c r="C656" s="194" t="s">
        <v>2020</v>
      </c>
      <c r="D656" s="195">
        <v>650</v>
      </c>
      <c r="E656" s="196">
        <v>44810</v>
      </c>
      <c r="F656" s="195">
        <v>650</v>
      </c>
      <c r="G656" s="197">
        <f>Tabla110[[#This Row],[Importe]]-Tabla110[[#This Row],[Pagado]]</f>
        <v>0</v>
      </c>
      <c r="H656" s="194" t="s">
        <v>10</v>
      </c>
    </row>
    <row r="657" spans="1:8" x14ac:dyDescent="0.25">
      <c r="A657" s="127">
        <v>44810</v>
      </c>
      <c r="B657" s="128" t="s">
        <v>28689</v>
      </c>
      <c r="C657" s="194" t="s">
        <v>612</v>
      </c>
      <c r="D657" s="195">
        <v>1050</v>
      </c>
      <c r="E657" s="196">
        <v>44810</v>
      </c>
      <c r="F657" s="195">
        <v>1050</v>
      </c>
      <c r="G657" s="197">
        <f>Tabla110[[#This Row],[Importe]]-Tabla110[[#This Row],[Pagado]]</f>
        <v>0</v>
      </c>
      <c r="H657" s="194" t="s">
        <v>10</v>
      </c>
    </row>
    <row r="658" spans="1:8" x14ac:dyDescent="0.25">
      <c r="A658" s="127">
        <v>44810</v>
      </c>
      <c r="B658" s="128" t="s">
        <v>28690</v>
      </c>
      <c r="C658" s="194" t="s">
        <v>69</v>
      </c>
      <c r="D658" s="195">
        <v>2828</v>
      </c>
      <c r="E658" s="196">
        <v>44810</v>
      </c>
      <c r="F658" s="195">
        <v>2828</v>
      </c>
      <c r="G658" s="197">
        <f>Tabla110[[#This Row],[Importe]]-Tabla110[[#This Row],[Pagado]]</f>
        <v>0</v>
      </c>
      <c r="H658" s="194" t="s">
        <v>10</v>
      </c>
    </row>
    <row r="659" spans="1:8" x14ac:dyDescent="0.25">
      <c r="A659" s="127">
        <v>44810</v>
      </c>
      <c r="B659" s="128" t="s">
        <v>28691</v>
      </c>
      <c r="C659" s="194" t="s">
        <v>612</v>
      </c>
      <c r="D659" s="195">
        <v>30</v>
      </c>
      <c r="E659" s="196">
        <v>44810</v>
      </c>
      <c r="F659" s="195">
        <v>30</v>
      </c>
      <c r="G659" s="197">
        <f>Tabla110[[#This Row],[Importe]]-Tabla110[[#This Row],[Pagado]]</f>
        <v>0</v>
      </c>
      <c r="H659" s="194" t="s">
        <v>10</v>
      </c>
    </row>
    <row r="660" spans="1:8" x14ac:dyDescent="0.25">
      <c r="A660" s="127">
        <v>44810</v>
      </c>
      <c r="B660" s="128" t="s">
        <v>28692</v>
      </c>
      <c r="C660" s="194" t="s">
        <v>407</v>
      </c>
      <c r="D660" s="195">
        <v>10600</v>
      </c>
      <c r="E660" s="196">
        <v>44820</v>
      </c>
      <c r="F660" s="195">
        <v>10600</v>
      </c>
      <c r="G660" s="197">
        <f>Tabla110[[#This Row],[Importe]]-Tabla110[[#This Row],[Pagado]]</f>
        <v>0</v>
      </c>
      <c r="H660" s="194" t="s">
        <v>10</v>
      </c>
    </row>
    <row r="661" spans="1:8" x14ac:dyDescent="0.25">
      <c r="A661" s="127">
        <v>44810</v>
      </c>
      <c r="B661" s="128" t="s">
        <v>28693</v>
      </c>
      <c r="C661" s="194" t="s">
        <v>296</v>
      </c>
      <c r="D661" s="195">
        <v>2949.6</v>
      </c>
      <c r="E661" s="196">
        <v>44810</v>
      </c>
      <c r="F661" s="195">
        <v>2949.6</v>
      </c>
      <c r="G661" s="197">
        <f>Tabla110[[#This Row],[Importe]]-Tabla110[[#This Row],[Pagado]]</f>
        <v>0</v>
      </c>
      <c r="H661" s="194" t="s">
        <v>10</v>
      </c>
    </row>
    <row r="662" spans="1:8" x14ac:dyDescent="0.25">
      <c r="A662" s="127">
        <v>44810</v>
      </c>
      <c r="B662" s="128" t="s">
        <v>28694</v>
      </c>
      <c r="C662" s="194" t="s">
        <v>414</v>
      </c>
      <c r="D662" s="195">
        <v>59796</v>
      </c>
      <c r="E662" s="196">
        <v>44813</v>
      </c>
      <c r="F662" s="195">
        <v>59796</v>
      </c>
      <c r="G662" s="197">
        <f>Tabla110[[#This Row],[Importe]]-Tabla110[[#This Row],[Pagado]]</f>
        <v>0</v>
      </c>
      <c r="H662" s="194" t="s">
        <v>10</v>
      </c>
    </row>
    <row r="663" spans="1:8" x14ac:dyDescent="0.25">
      <c r="A663" s="127">
        <v>44810</v>
      </c>
      <c r="B663" s="128" t="s">
        <v>28695</v>
      </c>
      <c r="C663" s="194" t="s">
        <v>9175</v>
      </c>
      <c r="D663" s="195">
        <v>14229.8</v>
      </c>
      <c r="E663" s="196">
        <v>44810</v>
      </c>
      <c r="F663" s="195">
        <v>14229.8</v>
      </c>
      <c r="G663" s="197">
        <f>Tabla110[[#This Row],[Importe]]-Tabla110[[#This Row],[Pagado]]</f>
        <v>0</v>
      </c>
      <c r="H663" s="194" t="s">
        <v>10</v>
      </c>
    </row>
    <row r="664" spans="1:8" x14ac:dyDescent="0.25">
      <c r="A664" s="127">
        <v>44810</v>
      </c>
      <c r="B664" s="128" t="s">
        <v>28696</v>
      </c>
      <c r="C664" s="194" t="s">
        <v>1008</v>
      </c>
      <c r="D664" s="195">
        <v>120</v>
      </c>
      <c r="E664" s="196">
        <v>44810</v>
      </c>
      <c r="F664" s="195">
        <v>120</v>
      </c>
      <c r="G664" s="197">
        <f>Tabla110[[#This Row],[Importe]]-Tabla110[[#This Row],[Pagado]]</f>
        <v>0</v>
      </c>
      <c r="H664" s="194" t="s">
        <v>10</v>
      </c>
    </row>
    <row r="665" spans="1:8" x14ac:dyDescent="0.25">
      <c r="A665" s="127">
        <v>44810</v>
      </c>
      <c r="B665" s="128" t="s">
        <v>28697</v>
      </c>
      <c r="C665" s="194" t="s">
        <v>1008</v>
      </c>
      <c r="D665" s="195">
        <v>390</v>
      </c>
      <c r="E665" s="196">
        <v>44810</v>
      </c>
      <c r="F665" s="195">
        <v>390</v>
      </c>
      <c r="G665" s="197">
        <f>Tabla110[[#This Row],[Importe]]-Tabla110[[#This Row],[Pagado]]</f>
        <v>0</v>
      </c>
      <c r="H665" s="194" t="s">
        <v>10</v>
      </c>
    </row>
    <row r="666" spans="1:8" x14ac:dyDescent="0.25">
      <c r="A666" s="127">
        <v>44810</v>
      </c>
      <c r="B666" s="128" t="s">
        <v>28698</v>
      </c>
      <c r="C666" s="194" t="s">
        <v>31</v>
      </c>
      <c r="D666" s="195">
        <v>87.4</v>
      </c>
      <c r="E666" s="196">
        <v>44810</v>
      </c>
      <c r="F666" s="195">
        <v>87.4</v>
      </c>
      <c r="G666" s="197">
        <f>Tabla110[[#This Row],[Importe]]-Tabla110[[#This Row],[Pagado]]</f>
        <v>0</v>
      </c>
      <c r="H666" s="194" t="s">
        <v>10</v>
      </c>
    </row>
    <row r="667" spans="1:8" x14ac:dyDescent="0.25">
      <c r="A667" s="127">
        <v>44810</v>
      </c>
      <c r="B667" s="128" t="s">
        <v>28699</v>
      </c>
      <c r="C667" s="194" t="s">
        <v>31</v>
      </c>
      <c r="D667" s="195">
        <v>665.5</v>
      </c>
      <c r="E667" s="196">
        <v>44810</v>
      </c>
      <c r="F667" s="195">
        <v>665.5</v>
      </c>
      <c r="G667" s="197">
        <f>Tabla110[[#This Row],[Importe]]-Tabla110[[#This Row],[Pagado]]</f>
        <v>0</v>
      </c>
      <c r="H667" s="194" t="s">
        <v>10</v>
      </c>
    </row>
    <row r="668" spans="1:8" x14ac:dyDescent="0.25">
      <c r="A668" s="127">
        <v>44810</v>
      </c>
      <c r="B668" s="128" t="s">
        <v>28700</v>
      </c>
      <c r="C668" s="194" t="s">
        <v>12</v>
      </c>
      <c r="D668" s="195">
        <v>250.5</v>
      </c>
      <c r="E668" s="196">
        <v>44811</v>
      </c>
      <c r="F668" s="195">
        <v>250.5</v>
      </c>
      <c r="G668" s="197">
        <f>Tabla110[[#This Row],[Importe]]-Tabla110[[#This Row],[Pagado]]</f>
        <v>0</v>
      </c>
      <c r="H668" s="194" t="s">
        <v>10</v>
      </c>
    </row>
    <row r="669" spans="1:8" x14ac:dyDescent="0.25">
      <c r="A669" s="127">
        <v>44810</v>
      </c>
      <c r="B669" s="128" t="s">
        <v>28701</v>
      </c>
      <c r="C669" s="194" t="s">
        <v>31</v>
      </c>
      <c r="D669" s="195">
        <v>616</v>
      </c>
      <c r="E669" s="196">
        <v>44810</v>
      </c>
      <c r="F669" s="195">
        <v>616</v>
      </c>
      <c r="G669" s="197">
        <f>Tabla110[[#This Row],[Importe]]-Tabla110[[#This Row],[Pagado]]</f>
        <v>0</v>
      </c>
      <c r="H669" s="194" t="s">
        <v>10</v>
      </c>
    </row>
    <row r="670" spans="1:8" x14ac:dyDescent="0.25">
      <c r="A670" s="127">
        <v>44810</v>
      </c>
      <c r="B670" s="128" t="s">
        <v>28702</v>
      </c>
      <c r="C670" s="194" t="s">
        <v>31</v>
      </c>
      <c r="D670" s="195">
        <v>623</v>
      </c>
      <c r="E670" s="196">
        <v>44810</v>
      </c>
      <c r="F670" s="195">
        <v>623</v>
      </c>
      <c r="G670" s="197">
        <f>Tabla110[[#This Row],[Importe]]-Tabla110[[#This Row],[Pagado]]</f>
        <v>0</v>
      </c>
      <c r="H670" s="194" t="s">
        <v>10</v>
      </c>
    </row>
    <row r="671" spans="1:8" x14ac:dyDescent="0.25">
      <c r="A671" s="127">
        <v>44810</v>
      </c>
      <c r="B671" s="128" t="s">
        <v>28703</v>
      </c>
      <c r="C671" s="194" t="s">
        <v>282</v>
      </c>
      <c r="D671" s="195">
        <v>763</v>
      </c>
      <c r="E671" s="196">
        <v>44811</v>
      </c>
      <c r="F671" s="195">
        <v>763</v>
      </c>
      <c r="G671" s="197">
        <f>Tabla110[[#This Row],[Importe]]-Tabla110[[#This Row],[Pagado]]</f>
        <v>0</v>
      </c>
      <c r="H671" s="194" t="s">
        <v>10</v>
      </c>
    </row>
    <row r="672" spans="1:8" x14ac:dyDescent="0.25">
      <c r="A672" s="127">
        <v>44810</v>
      </c>
      <c r="B672" s="128" t="s">
        <v>28704</v>
      </c>
      <c r="C672" s="194" t="s">
        <v>282</v>
      </c>
      <c r="D672" s="195">
        <v>686</v>
      </c>
      <c r="E672" s="196">
        <v>44811</v>
      </c>
      <c r="F672" s="195">
        <v>686</v>
      </c>
      <c r="G672" s="197">
        <f>Tabla110[[#This Row],[Importe]]-Tabla110[[#This Row],[Pagado]]</f>
        <v>0</v>
      </c>
      <c r="H672" s="194" t="s">
        <v>10</v>
      </c>
    </row>
    <row r="673" spans="1:8" x14ac:dyDescent="0.25">
      <c r="A673" s="127">
        <v>44810</v>
      </c>
      <c r="B673" s="128" t="s">
        <v>28705</v>
      </c>
      <c r="C673" s="194" t="s">
        <v>280</v>
      </c>
      <c r="D673" s="195">
        <v>1057</v>
      </c>
      <c r="E673" s="196">
        <v>44811</v>
      </c>
      <c r="F673" s="195">
        <v>1057</v>
      </c>
      <c r="G673" s="197">
        <f>Tabla110[[#This Row],[Importe]]-Tabla110[[#This Row],[Pagado]]</f>
        <v>0</v>
      </c>
      <c r="H673" s="194" t="s">
        <v>10</v>
      </c>
    </row>
    <row r="674" spans="1:8" x14ac:dyDescent="0.25">
      <c r="A674" s="127">
        <v>44810</v>
      </c>
      <c r="B674" s="128" t="s">
        <v>28706</v>
      </c>
      <c r="C674" s="194" t="s">
        <v>10819</v>
      </c>
      <c r="D674" s="195">
        <v>686</v>
      </c>
      <c r="E674" s="196">
        <v>44811</v>
      </c>
      <c r="F674" s="195">
        <v>686</v>
      </c>
      <c r="G674" s="197">
        <f>Tabla110[[#This Row],[Importe]]-Tabla110[[#This Row],[Pagado]]</f>
        <v>0</v>
      </c>
      <c r="H674" s="194" t="s">
        <v>10</v>
      </c>
    </row>
    <row r="675" spans="1:8" x14ac:dyDescent="0.25">
      <c r="A675" s="127">
        <v>44810</v>
      </c>
      <c r="B675" s="128" t="s">
        <v>28707</v>
      </c>
      <c r="C675" s="194" t="s">
        <v>284</v>
      </c>
      <c r="D675" s="195">
        <v>7189</v>
      </c>
      <c r="E675" s="196">
        <v>44811</v>
      </c>
      <c r="F675" s="195">
        <v>7189</v>
      </c>
      <c r="G675" s="197">
        <f>Tabla110[[#This Row],[Importe]]-Tabla110[[#This Row],[Pagado]]</f>
        <v>0</v>
      </c>
      <c r="H675" s="194" t="s">
        <v>10</v>
      </c>
    </row>
    <row r="676" spans="1:8" ht="31.5" x14ac:dyDescent="0.25">
      <c r="A676" s="127">
        <v>44810</v>
      </c>
      <c r="B676" s="128" t="s">
        <v>28708</v>
      </c>
      <c r="C676" s="120" t="s">
        <v>196</v>
      </c>
      <c r="D676" s="195">
        <v>100681.72</v>
      </c>
      <c r="E676" s="196">
        <v>44819</v>
      </c>
      <c r="F676" s="195">
        <v>100681.72</v>
      </c>
      <c r="G676" s="197">
        <f>Tabla110[[#This Row],[Importe]]-Tabla110[[#This Row],[Pagado]]</f>
        <v>0</v>
      </c>
      <c r="H676" s="194" t="s">
        <v>10</v>
      </c>
    </row>
    <row r="677" spans="1:8" ht="31.5" x14ac:dyDescent="0.25">
      <c r="A677" s="127">
        <v>44810</v>
      </c>
      <c r="B677" s="128" t="s">
        <v>28709</v>
      </c>
      <c r="C677" s="120" t="s">
        <v>4301</v>
      </c>
      <c r="D677" s="195">
        <v>0</v>
      </c>
      <c r="E677" s="199" t="s">
        <v>189</v>
      </c>
      <c r="F677" s="195">
        <v>0</v>
      </c>
      <c r="G677" s="197">
        <f>Tabla110[[#This Row],[Importe]]-Tabla110[[#This Row],[Pagado]]</f>
        <v>0</v>
      </c>
      <c r="H677" s="200" t="s">
        <v>28710</v>
      </c>
    </row>
    <row r="678" spans="1:8" x14ac:dyDescent="0.25">
      <c r="A678" s="127">
        <v>44810</v>
      </c>
      <c r="B678" s="128" t="s">
        <v>28711</v>
      </c>
      <c r="C678" s="194" t="s">
        <v>296</v>
      </c>
      <c r="D678" s="195">
        <v>2239.1999999999998</v>
      </c>
      <c r="E678" s="196">
        <v>44810</v>
      </c>
      <c r="F678" s="195">
        <v>2239.1999999999998</v>
      </c>
      <c r="G678" s="197">
        <f>Tabla110[[#This Row],[Importe]]-Tabla110[[#This Row],[Pagado]]</f>
        <v>0</v>
      </c>
      <c r="H678" s="194" t="s">
        <v>10</v>
      </c>
    </row>
    <row r="679" spans="1:8" x14ac:dyDescent="0.25">
      <c r="A679" s="127">
        <v>44810</v>
      </c>
      <c r="B679" s="128" t="s">
        <v>28712</v>
      </c>
      <c r="C679" s="194" t="s">
        <v>196</v>
      </c>
      <c r="D679" s="195">
        <v>4737.7</v>
      </c>
      <c r="E679" s="196">
        <v>44819</v>
      </c>
      <c r="F679" s="195">
        <v>4737.7</v>
      </c>
      <c r="G679" s="197">
        <f>Tabla110[[#This Row],[Importe]]-Tabla110[[#This Row],[Pagado]]</f>
        <v>0</v>
      </c>
      <c r="H679" s="194" t="s">
        <v>10</v>
      </c>
    </row>
    <row r="680" spans="1:8" x14ac:dyDescent="0.25">
      <c r="A680" s="127">
        <v>44810</v>
      </c>
      <c r="B680" s="128" t="s">
        <v>28713</v>
      </c>
      <c r="C680" s="194" t="s">
        <v>10190</v>
      </c>
      <c r="D680" s="195">
        <v>20288.400000000001</v>
      </c>
      <c r="E680" s="196">
        <v>44811</v>
      </c>
      <c r="F680" s="195">
        <v>20288.400000000001</v>
      </c>
      <c r="G680" s="197">
        <f>Tabla110[[#This Row],[Importe]]-Tabla110[[#This Row],[Pagado]]</f>
        <v>0</v>
      </c>
      <c r="H680" s="194" t="s">
        <v>10</v>
      </c>
    </row>
    <row r="681" spans="1:8" x14ac:dyDescent="0.25">
      <c r="A681" s="127">
        <v>44811</v>
      </c>
      <c r="B681" s="128" t="s">
        <v>28714</v>
      </c>
      <c r="C681" s="194" t="s">
        <v>887</v>
      </c>
      <c r="D681" s="195">
        <v>16913</v>
      </c>
      <c r="E681" s="196">
        <v>44811</v>
      </c>
      <c r="F681" s="195">
        <v>16913</v>
      </c>
      <c r="G681" s="197">
        <f>Tabla110[[#This Row],[Importe]]-Tabla110[[#This Row],[Pagado]]</f>
        <v>0</v>
      </c>
      <c r="H681" s="194" t="s">
        <v>10</v>
      </c>
    </row>
    <row r="682" spans="1:8" x14ac:dyDescent="0.25">
      <c r="A682" s="127">
        <v>44811</v>
      </c>
      <c r="B682" s="128" t="s">
        <v>28715</v>
      </c>
      <c r="C682" s="194" t="s">
        <v>475</v>
      </c>
      <c r="D682" s="195">
        <v>66179.5</v>
      </c>
      <c r="E682" s="196">
        <v>44812</v>
      </c>
      <c r="F682" s="195">
        <v>66179.5</v>
      </c>
      <c r="G682" s="197">
        <f>Tabla110[[#This Row],[Importe]]-Tabla110[[#This Row],[Pagado]]</f>
        <v>0</v>
      </c>
      <c r="H682" s="194" t="s">
        <v>10</v>
      </c>
    </row>
    <row r="683" spans="1:8" x14ac:dyDescent="0.25">
      <c r="A683" s="127">
        <v>44811</v>
      </c>
      <c r="B683" s="128" t="s">
        <v>28716</v>
      </c>
      <c r="C683" s="194" t="s">
        <v>12</v>
      </c>
      <c r="D683" s="195">
        <v>8611</v>
      </c>
      <c r="E683" s="196">
        <v>44811</v>
      </c>
      <c r="F683" s="195">
        <v>8611</v>
      </c>
      <c r="G683" s="197">
        <f>Tabla110[[#This Row],[Importe]]-Tabla110[[#This Row],[Pagado]]</f>
        <v>0</v>
      </c>
      <c r="H683" s="194" t="s">
        <v>10</v>
      </c>
    </row>
    <row r="684" spans="1:8" x14ac:dyDescent="0.25">
      <c r="A684" s="127">
        <v>44811</v>
      </c>
      <c r="B684" s="128" t="s">
        <v>28717</v>
      </c>
      <c r="C684" s="194" t="s">
        <v>1187</v>
      </c>
      <c r="D684" s="195">
        <v>2232</v>
      </c>
      <c r="E684" s="196">
        <v>44811</v>
      </c>
      <c r="F684" s="195">
        <v>2232</v>
      </c>
      <c r="G684" s="197">
        <f>Tabla110[[#This Row],[Importe]]-Tabla110[[#This Row],[Pagado]]</f>
        <v>0</v>
      </c>
      <c r="H684" s="194" t="s">
        <v>10</v>
      </c>
    </row>
    <row r="685" spans="1:8" x14ac:dyDescent="0.25">
      <c r="A685" s="127">
        <v>44811</v>
      </c>
      <c r="B685" s="128" t="s">
        <v>28718</v>
      </c>
      <c r="C685" s="194" t="s">
        <v>99</v>
      </c>
      <c r="D685" s="195">
        <v>2111.4</v>
      </c>
      <c r="E685" s="196">
        <v>44813</v>
      </c>
      <c r="F685" s="195">
        <v>2111.4</v>
      </c>
      <c r="G685" s="197">
        <f>Tabla110[[#This Row],[Importe]]-Tabla110[[#This Row],[Pagado]]</f>
        <v>0</v>
      </c>
      <c r="H685" s="194" t="s">
        <v>10</v>
      </c>
    </row>
    <row r="686" spans="1:8" x14ac:dyDescent="0.25">
      <c r="A686" s="127">
        <v>44811</v>
      </c>
      <c r="B686" s="128" t="s">
        <v>28719</v>
      </c>
      <c r="C686" s="194" t="s">
        <v>348</v>
      </c>
      <c r="D686" s="195">
        <v>7074</v>
      </c>
      <c r="E686" s="196">
        <v>44811</v>
      </c>
      <c r="F686" s="195">
        <v>7074</v>
      </c>
      <c r="G686" s="197">
        <f>Tabla110[[#This Row],[Importe]]-Tabla110[[#This Row],[Pagado]]</f>
        <v>0</v>
      </c>
      <c r="H686" s="194" t="s">
        <v>10</v>
      </c>
    </row>
    <row r="687" spans="1:8" x14ac:dyDescent="0.25">
      <c r="A687" s="127">
        <v>44811</v>
      </c>
      <c r="B687" s="128" t="s">
        <v>28720</v>
      </c>
      <c r="C687" s="194" t="s">
        <v>89</v>
      </c>
      <c r="D687" s="195">
        <v>4732.6000000000004</v>
      </c>
      <c r="E687" s="196">
        <v>44812</v>
      </c>
      <c r="F687" s="195">
        <v>4732.6000000000004</v>
      </c>
      <c r="G687" s="197">
        <f>Tabla110[[#This Row],[Importe]]-Tabla110[[#This Row],[Pagado]]</f>
        <v>0</v>
      </c>
      <c r="H687" s="194" t="s">
        <v>10</v>
      </c>
    </row>
    <row r="688" spans="1:8" x14ac:dyDescent="0.25">
      <c r="A688" s="127">
        <v>44811</v>
      </c>
      <c r="B688" s="128" t="s">
        <v>28721</v>
      </c>
      <c r="C688" s="194" t="s">
        <v>109</v>
      </c>
      <c r="D688" s="195">
        <v>5014.8</v>
      </c>
      <c r="E688" s="196">
        <v>44812</v>
      </c>
      <c r="F688" s="195">
        <v>5014.8</v>
      </c>
      <c r="G688" s="197">
        <f>Tabla110[[#This Row],[Importe]]-Tabla110[[#This Row],[Pagado]]</f>
        <v>0</v>
      </c>
      <c r="H688" s="194" t="s">
        <v>10</v>
      </c>
    </row>
    <row r="689" spans="1:8" x14ac:dyDescent="0.25">
      <c r="A689" s="127">
        <v>44811</v>
      </c>
      <c r="B689" s="128" t="s">
        <v>28722</v>
      </c>
      <c r="C689" s="194" t="s">
        <v>326</v>
      </c>
      <c r="D689" s="195">
        <v>5455.8</v>
      </c>
      <c r="E689" s="196">
        <v>44812</v>
      </c>
      <c r="F689" s="195">
        <v>5455.8</v>
      </c>
      <c r="G689" s="197">
        <f>Tabla110[[#This Row],[Importe]]-Tabla110[[#This Row],[Pagado]]</f>
        <v>0</v>
      </c>
      <c r="H689" s="194" t="s">
        <v>10</v>
      </c>
    </row>
    <row r="690" spans="1:8" x14ac:dyDescent="0.25">
      <c r="A690" s="127">
        <v>44811</v>
      </c>
      <c r="B690" s="128" t="s">
        <v>28723</v>
      </c>
      <c r="C690" s="194" t="s">
        <v>97</v>
      </c>
      <c r="D690" s="195">
        <v>5590</v>
      </c>
      <c r="E690" s="196">
        <v>44812</v>
      </c>
      <c r="F690" s="195">
        <v>5590</v>
      </c>
      <c r="G690" s="197">
        <f>Tabla110[[#This Row],[Importe]]-Tabla110[[#This Row],[Pagado]]</f>
        <v>0</v>
      </c>
      <c r="H690" s="194" t="s">
        <v>10</v>
      </c>
    </row>
    <row r="691" spans="1:8" x14ac:dyDescent="0.25">
      <c r="A691" s="127">
        <v>44811</v>
      </c>
      <c r="B691" s="128" t="s">
        <v>28724</v>
      </c>
      <c r="C691" s="194" t="s">
        <v>64</v>
      </c>
      <c r="D691" s="195">
        <v>4452.5</v>
      </c>
      <c r="E691" s="196">
        <v>44813</v>
      </c>
      <c r="F691" s="195">
        <v>4452.5</v>
      </c>
      <c r="G691" s="197">
        <f>Tabla110[[#This Row],[Importe]]-Tabla110[[#This Row],[Pagado]]</f>
        <v>0</v>
      </c>
      <c r="H691" s="194" t="s">
        <v>10</v>
      </c>
    </row>
    <row r="692" spans="1:8" x14ac:dyDescent="0.25">
      <c r="A692" s="127">
        <v>44811</v>
      </c>
      <c r="B692" s="128" t="s">
        <v>28725</v>
      </c>
      <c r="C692" s="194" t="s">
        <v>20</v>
      </c>
      <c r="D692" s="195">
        <v>2820</v>
      </c>
      <c r="E692" s="196">
        <v>44811</v>
      </c>
      <c r="F692" s="195">
        <v>2820</v>
      </c>
      <c r="G692" s="197">
        <f>Tabla110[[#This Row],[Importe]]-Tabla110[[#This Row],[Pagado]]</f>
        <v>0</v>
      </c>
      <c r="H692" s="194" t="s">
        <v>10</v>
      </c>
    </row>
    <row r="693" spans="1:8" x14ac:dyDescent="0.25">
      <c r="A693" s="127">
        <v>44811</v>
      </c>
      <c r="B693" s="128" t="s">
        <v>28726</v>
      </c>
      <c r="C693" s="194" t="s">
        <v>24768</v>
      </c>
      <c r="D693" s="195">
        <v>5702.4</v>
      </c>
      <c r="E693" s="196">
        <v>44811</v>
      </c>
      <c r="F693" s="195">
        <v>5702.4</v>
      </c>
      <c r="G693" s="197">
        <f>Tabla110[[#This Row],[Importe]]-Tabla110[[#This Row],[Pagado]]</f>
        <v>0</v>
      </c>
      <c r="H693" s="194" t="s">
        <v>10</v>
      </c>
    </row>
    <row r="694" spans="1:8" x14ac:dyDescent="0.25">
      <c r="A694" s="127">
        <v>44811</v>
      </c>
      <c r="B694" s="128" t="s">
        <v>28727</v>
      </c>
      <c r="C694" s="194" t="s">
        <v>114</v>
      </c>
      <c r="D694" s="195">
        <v>9786.7000000000007</v>
      </c>
      <c r="E694" s="196">
        <v>44812</v>
      </c>
      <c r="F694" s="195">
        <v>9786.7000000000007</v>
      </c>
      <c r="G694" s="197">
        <f>Tabla110[[#This Row],[Importe]]-Tabla110[[#This Row],[Pagado]]</f>
        <v>0</v>
      </c>
      <c r="H694" s="194" t="s">
        <v>10</v>
      </c>
    </row>
    <row r="695" spans="1:8" x14ac:dyDescent="0.25">
      <c r="A695" s="127">
        <v>44811</v>
      </c>
      <c r="B695" s="128" t="s">
        <v>28728</v>
      </c>
      <c r="C695" s="194" t="s">
        <v>20</v>
      </c>
      <c r="D695" s="195">
        <v>340</v>
      </c>
      <c r="E695" s="196">
        <v>44811</v>
      </c>
      <c r="F695" s="195">
        <v>340</v>
      </c>
      <c r="G695" s="197">
        <f>Tabla110[[#This Row],[Importe]]-Tabla110[[#This Row],[Pagado]]</f>
        <v>0</v>
      </c>
      <c r="H695" s="194" t="s">
        <v>10</v>
      </c>
    </row>
    <row r="696" spans="1:8" x14ac:dyDescent="0.25">
      <c r="A696" s="127">
        <v>44811</v>
      </c>
      <c r="B696" s="128" t="s">
        <v>28729</v>
      </c>
      <c r="C696" s="194" t="s">
        <v>105</v>
      </c>
      <c r="D696" s="195">
        <v>13990.3</v>
      </c>
      <c r="E696" s="196">
        <v>44812</v>
      </c>
      <c r="F696" s="195">
        <v>13990.3</v>
      </c>
      <c r="G696" s="197">
        <f>Tabla110[[#This Row],[Importe]]-Tabla110[[#This Row],[Pagado]]</f>
        <v>0</v>
      </c>
      <c r="H696" s="194" t="s">
        <v>10</v>
      </c>
    </row>
    <row r="697" spans="1:8" x14ac:dyDescent="0.25">
      <c r="A697" s="127">
        <v>44811</v>
      </c>
      <c r="B697" s="128" t="s">
        <v>28730</v>
      </c>
      <c r="C697" s="194" t="s">
        <v>22</v>
      </c>
      <c r="D697" s="195">
        <v>65444.800000000003</v>
      </c>
      <c r="E697" s="196">
        <v>44813</v>
      </c>
      <c r="F697" s="195">
        <v>65444.800000000003</v>
      </c>
      <c r="G697" s="197">
        <f>Tabla110[[#This Row],[Importe]]-Tabla110[[#This Row],[Pagado]]</f>
        <v>0</v>
      </c>
      <c r="H697" s="194" t="s">
        <v>10</v>
      </c>
    </row>
    <row r="698" spans="1:8" x14ac:dyDescent="0.25">
      <c r="A698" s="127">
        <v>44811</v>
      </c>
      <c r="B698" s="128" t="s">
        <v>28731</v>
      </c>
      <c r="C698" s="194" t="s">
        <v>93</v>
      </c>
      <c r="D698" s="195">
        <v>6356</v>
      </c>
      <c r="E698" s="196">
        <v>44813</v>
      </c>
      <c r="F698" s="195">
        <v>6356</v>
      </c>
      <c r="G698" s="197">
        <f>Tabla110[[#This Row],[Importe]]-Tabla110[[#This Row],[Pagado]]</f>
        <v>0</v>
      </c>
      <c r="H698" s="194" t="s">
        <v>10</v>
      </c>
    </row>
    <row r="699" spans="1:8" x14ac:dyDescent="0.25">
      <c r="A699" s="127">
        <v>44811</v>
      </c>
      <c r="B699" s="128" t="s">
        <v>28732</v>
      </c>
      <c r="C699" s="194" t="s">
        <v>2151</v>
      </c>
      <c r="D699" s="195">
        <v>9469</v>
      </c>
      <c r="E699" s="196">
        <v>44811</v>
      </c>
      <c r="F699" s="195">
        <v>9469</v>
      </c>
      <c r="G699" s="197">
        <f>Tabla110[[#This Row],[Importe]]-Tabla110[[#This Row],[Pagado]]</f>
        <v>0</v>
      </c>
      <c r="H699" s="194" t="s">
        <v>10</v>
      </c>
    </row>
    <row r="700" spans="1:8" x14ac:dyDescent="0.25">
      <c r="A700" s="127">
        <v>44811</v>
      </c>
      <c r="B700" s="128" t="s">
        <v>28733</v>
      </c>
      <c r="C700" s="194" t="s">
        <v>345</v>
      </c>
      <c r="D700" s="195">
        <v>1042</v>
      </c>
      <c r="E700" s="196">
        <v>44811</v>
      </c>
      <c r="F700" s="195">
        <v>1042</v>
      </c>
      <c r="G700" s="197">
        <f>Tabla110[[#This Row],[Importe]]-Tabla110[[#This Row],[Pagado]]</f>
        <v>0</v>
      </c>
      <c r="H700" s="194" t="s">
        <v>10</v>
      </c>
    </row>
    <row r="701" spans="1:8" x14ac:dyDescent="0.25">
      <c r="A701" s="127">
        <v>44811</v>
      </c>
      <c r="B701" s="128" t="s">
        <v>28734</v>
      </c>
      <c r="C701" s="194" t="s">
        <v>16</v>
      </c>
      <c r="D701" s="195">
        <v>5179.1000000000004</v>
      </c>
      <c r="E701" s="196">
        <v>44811</v>
      </c>
      <c r="F701" s="195">
        <v>5179.1000000000004</v>
      </c>
      <c r="G701" s="197">
        <f>Tabla110[[#This Row],[Importe]]-Tabla110[[#This Row],[Pagado]]</f>
        <v>0</v>
      </c>
      <c r="H701" s="194" t="s">
        <v>10</v>
      </c>
    </row>
    <row r="702" spans="1:8" x14ac:dyDescent="0.25">
      <c r="A702" s="127">
        <v>44811</v>
      </c>
      <c r="B702" s="128" t="s">
        <v>28735</v>
      </c>
      <c r="C702" s="194" t="s">
        <v>9</v>
      </c>
      <c r="D702" s="195">
        <v>8133.5</v>
      </c>
      <c r="E702" s="196">
        <v>44811</v>
      </c>
      <c r="F702" s="195">
        <v>8133.5</v>
      </c>
      <c r="G702" s="197">
        <f>Tabla110[[#This Row],[Importe]]-Tabla110[[#This Row],[Pagado]]</f>
        <v>0</v>
      </c>
      <c r="H702" s="194" t="s">
        <v>10</v>
      </c>
    </row>
    <row r="703" spans="1:8" x14ac:dyDescent="0.25">
      <c r="A703" s="127">
        <v>44811</v>
      </c>
      <c r="B703" s="128" t="s">
        <v>28736</v>
      </c>
      <c r="C703" s="194" t="s">
        <v>924</v>
      </c>
      <c r="D703" s="195">
        <v>14402</v>
      </c>
      <c r="E703" s="196">
        <v>44811</v>
      </c>
      <c r="F703" s="195">
        <v>14402</v>
      </c>
      <c r="G703" s="197">
        <f>Tabla110[[#This Row],[Importe]]-Tabla110[[#This Row],[Pagado]]</f>
        <v>0</v>
      </c>
      <c r="H703" s="194" t="s">
        <v>10</v>
      </c>
    </row>
    <row r="704" spans="1:8" x14ac:dyDescent="0.25">
      <c r="A704" s="127">
        <v>44811</v>
      </c>
      <c r="B704" s="128" t="s">
        <v>28737</v>
      </c>
      <c r="C704" s="194" t="s">
        <v>924</v>
      </c>
      <c r="D704" s="195">
        <v>529.20000000000005</v>
      </c>
      <c r="E704" s="196">
        <v>44811</v>
      </c>
      <c r="F704" s="195">
        <v>529.20000000000005</v>
      </c>
      <c r="G704" s="197">
        <f>Tabla110[[#This Row],[Importe]]-Tabla110[[#This Row],[Pagado]]</f>
        <v>0</v>
      </c>
      <c r="H704" s="194" t="s">
        <v>10</v>
      </c>
    </row>
    <row r="705" spans="1:8" x14ac:dyDescent="0.25">
      <c r="A705" s="127">
        <v>44811</v>
      </c>
      <c r="B705" s="128" t="s">
        <v>28738</v>
      </c>
      <c r="C705" s="194" t="s">
        <v>206</v>
      </c>
      <c r="D705" s="195">
        <v>17987.2</v>
      </c>
      <c r="E705" s="196">
        <v>44814</v>
      </c>
      <c r="F705" s="195">
        <v>17987.2</v>
      </c>
      <c r="G705" s="197">
        <f>Tabla110[[#This Row],[Importe]]-Tabla110[[#This Row],[Pagado]]</f>
        <v>0</v>
      </c>
      <c r="H705" s="194" t="s">
        <v>10</v>
      </c>
    </row>
    <row r="706" spans="1:8" x14ac:dyDescent="0.25">
      <c r="A706" s="127">
        <v>44811</v>
      </c>
      <c r="B706" s="128" t="s">
        <v>28739</v>
      </c>
      <c r="C706" s="194" t="s">
        <v>218</v>
      </c>
      <c r="D706" s="195">
        <v>7836.6</v>
      </c>
      <c r="E706" s="196">
        <v>44814</v>
      </c>
      <c r="F706" s="195">
        <v>7836.6</v>
      </c>
      <c r="G706" s="197">
        <f>Tabla110[[#This Row],[Importe]]-Tabla110[[#This Row],[Pagado]]</f>
        <v>0</v>
      </c>
      <c r="H706" s="194" t="s">
        <v>10</v>
      </c>
    </row>
    <row r="707" spans="1:8" x14ac:dyDescent="0.25">
      <c r="A707" s="127">
        <v>44811</v>
      </c>
      <c r="B707" s="128" t="s">
        <v>28740</v>
      </c>
      <c r="C707" s="194" t="s">
        <v>133</v>
      </c>
      <c r="D707" s="195">
        <v>26241.599999999999</v>
      </c>
      <c r="E707" s="196">
        <v>44832</v>
      </c>
      <c r="F707" s="195">
        <v>26241.599999999999</v>
      </c>
      <c r="G707" s="197">
        <f>Tabla110[[#This Row],[Importe]]-Tabla110[[#This Row],[Pagado]]</f>
        <v>0</v>
      </c>
      <c r="H707" s="194" t="s">
        <v>10</v>
      </c>
    </row>
    <row r="708" spans="1:8" x14ac:dyDescent="0.25">
      <c r="A708" s="127">
        <v>44811</v>
      </c>
      <c r="B708" s="128" t="s">
        <v>28741</v>
      </c>
      <c r="C708" s="194" t="s">
        <v>452</v>
      </c>
      <c r="D708" s="195">
        <v>2833.1</v>
      </c>
      <c r="E708" s="196">
        <v>44811</v>
      </c>
      <c r="F708" s="195">
        <v>2833.1</v>
      </c>
      <c r="G708" s="197">
        <f>Tabla110[[#This Row],[Importe]]-Tabla110[[#This Row],[Pagado]]</f>
        <v>0</v>
      </c>
      <c r="H708" s="194" t="s">
        <v>10</v>
      </c>
    </row>
    <row r="709" spans="1:8" x14ac:dyDescent="0.25">
      <c r="A709" s="127">
        <v>44811</v>
      </c>
      <c r="B709" s="128" t="s">
        <v>28742</v>
      </c>
      <c r="C709" s="194" t="s">
        <v>1644</v>
      </c>
      <c r="D709" s="195">
        <v>14028</v>
      </c>
      <c r="E709" s="196">
        <v>44812</v>
      </c>
      <c r="F709" s="195">
        <v>14028</v>
      </c>
      <c r="G709" s="197">
        <f>Tabla110[[#This Row],[Importe]]-Tabla110[[#This Row],[Pagado]]</f>
        <v>0</v>
      </c>
      <c r="H709" s="194" t="s">
        <v>10</v>
      </c>
    </row>
    <row r="710" spans="1:8" x14ac:dyDescent="0.25">
      <c r="A710" s="127">
        <v>44811</v>
      </c>
      <c r="B710" s="128" t="s">
        <v>28743</v>
      </c>
      <c r="C710" s="194" t="s">
        <v>481</v>
      </c>
      <c r="D710" s="195">
        <v>3172.1</v>
      </c>
      <c r="E710" s="196">
        <v>44811</v>
      </c>
      <c r="F710" s="195">
        <v>3172.1</v>
      </c>
      <c r="G710" s="197">
        <f>Tabla110[[#This Row],[Importe]]-Tabla110[[#This Row],[Pagado]]</f>
        <v>0</v>
      </c>
      <c r="H710" s="194" t="s">
        <v>10</v>
      </c>
    </row>
    <row r="711" spans="1:8" x14ac:dyDescent="0.25">
      <c r="A711" s="127">
        <v>44811</v>
      </c>
      <c r="B711" s="128" t="s">
        <v>28744</v>
      </c>
      <c r="C711" s="194" t="s">
        <v>154</v>
      </c>
      <c r="D711" s="195">
        <v>39587.9</v>
      </c>
      <c r="E711" s="196">
        <v>44814</v>
      </c>
      <c r="F711" s="195">
        <v>39587.9</v>
      </c>
      <c r="G711" s="197">
        <f>Tabla110[[#This Row],[Importe]]-Tabla110[[#This Row],[Pagado]]</f>
        <v>0</v>
      </c>
      <c r="H711" s="194" t="s">
        <v>10</v>
      </c>
    </row>
    <row r="712" spans="1:8" x14ac:dyDescent="0.25">
      <c r="A712" s="127">
        <v>44811</v>
      </c>
      <c r="B712" s="128" t="s">
        <v>28745</v>
      </c>
      <c r="C712" s="194" t="s">
        <v>161</v>
      </c>
      <c r="D712" s="195">
        <v>4219.3999999999996</v>
      </c>
      <c r="E712" s="196">
        <v>44811</v>
      </c>
      <c r="F712" s="195">
        <v>4219.3999999999996</v>
      </c>
      <c r="G712" s="197">
        <f>Tabla110[[#This Row],[Importe]]-Tabla110[[#This Row],[Pagado]]</f>
        <v>0</v>
      </c>
      <c r="H712" s="194" t="s">
        <v>10</v>
      </c>
    </row>
    <row r="713" spans="1:8" x14ac:dyDescent="0.25">
      <c r="A713" s="127">
        <v>44811</v>
      </c>
      <c r="B713" s="128" t="s">
        <v>28746</v>
      </c>
      <c r="C713" s="194" t="s">
        <v>173</v>
      </c>
      <c r="D713" s="195">
        <v>21103.4</v>
      </c>
      <c r="E713" s="196">
        <v>44812</v>
      </c>
      <c r="F713" s="195">
        <v>21103.4</v>
      </c>
      <c r="G713" s="197">
        <f>Tabla110[[#This Row],[Importe]]-Tabla110[[#This Row],[Pagado]]</f>
        <v>0</v>
      </c>
      <c r="H713" s="194" t="s">
        <v>10</v>
      </c>
    </row>
    <row r="714" spans="1:8" x14ac:dyDescent="0.25">
      <c r="A714" s="127">
        <v>44811</v>
      </c>
      <c r="B714" s="128" t="s">
        <v>28747</v>
      </c>
      <c r="C714" s="194" t="s">
        <v>216</v>
      </c>
      <c r="D714" s="195">
        <v>1890</v>
      </c>
      <c r="E714" s="196">
        <v>44811</v>
      </c>
      <c r="F714" s="195">
        <v>1890</v>
      </c>
      <c r="G714" s="197">
        <f>Tabla110[[#This Row],[Importe]]-Tabla110[[#This Row],[Pagado]]</f>
        <v>0</v>
      </c>
      <c r="H714" s="194" t="s">
        <v>10</v>
      </c>
    </row>
    <row r="715" spans="1:8" x14ac:dyDescent="0.25">
      <c r="A715" s="127">
        <v>44811</v>
      </c>
      <c r="B715" s="128" t="s">
        <v>28748</v>
      </c>
      <c r="C715" s="194" t="s">
        <v>966</v>
      </c>
      <c r="D715" s="195">
        <v>3605</v>
      </c>
      <c r="E715" s="196">
        <v>44811</v>
      </c>
      <c r="F715" s="195">
        <v>3605</v>
      </c>
      <c r="G715" s="197">
        <f>Tabla110[[#This Row],[Importe]]-Tabla110[[#This Row],[Pagado]]</f>
        <v>0</v>
      </c>
      <c r="H715" s="194" t="s">
        <v>10</v>
      </c>
    </row>
    <row r="716" spans="1:8" x14ac:dyDescent="0.25">
      <c r="A716" s="127">
        <v>44811</v>
      </c>
      <c r="B716" s="128" t="s">
        <v>28749</v>
      </c>
      <c r="C716" s="194" t="s">
        <v>875</v>
      </c>
      <c r="D716" s="195">
        <v>48822.8</v>
      </c>
      <c r="E716" s="196">
        <v>44811</v>
      </c>
      <c r="F716" s="195">
        <v>48822.8</v>
      </c>
      <c r="G716" s="197">
        <f>Tabla110[[#This Row],[Importe]]-Tabla110[[#This Row],[Pagado]]</f>
        <v>0</v>
      </c>
      <c r="H716" s="194" t="s">
        <v>10</v>
      </c>
    </row>
    <row r="717" spans="1:8" x14ac:dyDescent="0.25">
      <c r="A717" s="127">
        <v>44811</v>
      </c>
      <c r="B717" s="128" t="s">
        <v>28750</v>
      </c>
      <c r="C717" s="194" t="s">
        <v>45</v>
      </c>
      <c r="D717" s="195">
        <v>12910.6</v>
      </c>
      <c r="E717" s="196">
        <v>44811</v>
      </c>
      <c r="F717" s="195">
        <v>12910.6</v>
      </c>
      <c r="G717" s="197">
        <f>Tabla110[[#This Row],[Importe]]-Tabla110[[#This Row],[Pagado]]</f>
        <v>0</v>
      </c>
      <c r="H717" s="194" t="s">
        <v>10</v>
      </c>
    </row>
    <row r="718" spans="1:8" x14ac:dyDescent="0.25">
      <c r="A718" s="127">
        <v>44811</v>
      </c>
      <c r="B718" s="128" t="s">
        <v>28751</v>
      </c>
      <c r="C718" s="194" t="s">
        <v>31</v>
      </c>
      <c r="D718" s="195">
        <v>432.6</v>
      </c>
      <c r="E718" s="196">
        <v>44811</v>
      </c>
      <c r="F718" s="195">
        <v>432.6</v>
      </c>
      <c r="G718" s="197">
        <f>Tabla110[[#This Row],[Importe]]-Tabla110[[#This Row],[Pagado]]</f>
        <v>0</v>
      </c>
      <c r="H718" s="194" t="s">
        <v>10</v>
      </c>
    </row>
    <row r="719" spans="1:8" x14ac:dyDescent="0.25">
      <c r="A719" s="127">
        <v>44811</v>
      </c>
      <c r="B719" s="128" t="s">
        <v>28752</v>
      </c>
      <c r="C719" s="194" t="s">
        <v>31</v>
      </c>
      <c r="D719" s="195">
        <v>2527.8000000000002</v>
      </c>
      <c r="E719" s="196">
        <v>44811</v>
      </c>
      <c r="F719" s="195">
        <v>2527.8000000000002</v>
      </c>
      <c r="G719" s="197">
        <f>Tabla110[[#This Row],[Importe]]-Tabla110[[#This Row],[Pagado]]</f>
        <v>0</v>
      </c>
      <c r="H719" s="194" t="s">
        <v>10</v>
      </c>
    </row>
    <row r="720" spans="1:8" x14ac:dyDescent="0.25">
      <c r="A720" s="127">
        <v>44811</v>
      </c>
      <c r="B720" s="128" t="s">
        <v>28753</v>
      </c>
      <c r="C720" s="194" t="s">
        <v>53</v>
      </c>
      <c r="D720" s="195">
        <v>2491.1999999999998</v>
      </c>
      <c r="E720" s="196">
        <v>44811</v>
      </c>
      <c r="F720" s="195">
        <v>2491.1999999999998</v>
      </c>
      <c r="G720" s="197">
        <f>Tabla110[[#This Row],[Importe]]-Tabla110[[#This Row],[Pagado]]</f>
        <v>0</v>
      </c>
      <c r="H720" s="194" t="s">
        <v>10</v>
      </c>
    </row>
    <row r="721" spans="1:8" x14ac:dyDescent="0.25">
      <c r="A721" s="127">
        <v>44811</v>
      </c>
      <c r="B721" s="128" t="s">
        <v>28754</v>
      </c>
      <c r="C721" s="194" t="s">
        <v>149</v>
      </c>
      <c r="D721" s="195">
        <v>1215</v>
      </c>
      <c r="E721" s="196">
        <v>44811</v>
      </c>
      <c r="F721" s="195">
        <v>1215</v>
      </c>
      <c r="G721" s="197">
        <f>Tabla110[[#This Row],[Importe]]-Tabla110[[#This Row],[Pagado]]</f>
        <v>0</v>
      </c>
      <c r="H721" s="194" t="s">
        <v>10</v>
      </c>
    </row>
    <row r="722" spans="1:8" x14ac:dyDescent="0.25">
      <c r="A722" s="127">
        <v>44811</v>
      </c>
      <c r="B722" s="128" t="s">
        <v>28755</v>
      </c>
      <c r="C722" s="194" t="s">
        <v>698</v>
      </c>
      <c r="D722" s="195">
        <v>7575</v>
      </c>
      <c r="E722" s="196">
        <v>44811</v>
      </c>
      <c r="F722" s="195">
        <v>7575</v>
      </c>
      <c r="G722" s="197">
        <f>Tabla110[[#This Row],[Importe]]-Tabla110[[#This Row],[Pagado]]</f>
        <v>0</v>
      </c>
      <c r="H722" s="194" t="s">
        <v>10</v>
      </c>
    </row>
    <row r="723" spans="1:8" x14ac:dyDescent="0.25">
      <c r="A723" s="127">
        <v>44811</v>
      </c>
      <c r="B723" s="128" t="s">
        <v>28756</v>
      </c>
      <c r="C723" s="194" t="s">
        <v>49</v>
      </c>
      <c r="D723" s="195">
        <v>5325.3</v>
      </c>
      <c r="E723" s="196">
        <v>44811</v>
      </c>
      <c r="F723" s="195">
        <v>5325.3</v>
      </c>
      <c r="G723" s="197">
        <f>Tabla110[[#This Row],[Importe]]-Tabla110[[#This Row],[Pagado]]</f>
        <v>0</v>
      </c>
      <c r="H723" s="194" t="s">
        <v>10</v>
      </c>
    </row>
    <row r="724" spans="1:8" x14ac:dyDescent="0.25">
      <c r="A724" s="127">
        <v>44811</v>
      </c>
      <c r="B724" s="128" t="s">
        <v>28757</v>
      </c>
      <c r="C724" s="194" t="s">
        <v>664</v>
      </c>
      <c r="D724" s="195">
        <v>4360.2</v>
      </c>
      <c r="E724" s="196">
        <v>44811</v>
      </c>
      <c r="F724" s="195">
        <v>4360.2</v>
      </c>
      <c r="G724" s="197">
        <f>Tabla110[[#This Row],[Importe]]-Tabla110[[#This Row],[Pagado]]</f>
        <v>0</v>
      </c>
      <c r="H724" s="194" t="s">
        <v>10</v>
      </c>
    </row>
    <row r="725" spans="1:8" x14ac:dyDescent="0.25">
      <c r="A725" s="127">
        <v>44811</v>
      </c>
      <c r="B725" s="128" t="s">
        <v>28758</v>
      </c>
      <c r="C725" s="194" t="s">
        <v>83</v>
      </c>
      <c r="D725" s="195">
        <v>5296</v>
      </c>
      <c r="E725" s="196">
        <v>44811</v>
      </c>
      <c r="F725" s="195">
        <v>5296</v>
      </c>
      <c r="G725" s="197">
        <f>Tabla110[[#This Row],[Importe]]-Tabla110[[#This Row],[Pagado]]</f>
        <v>0</v>
      </c>
      <c r="H725" s="194" t="s">
        <v>10</v>
      </c>
    </row>
    <row r="726" spans="1:8" x14ac:dyDescent="0.25">
      <c r="A726" s="127">
        <v>44811</v>
      </c>
      <c r="B726" s="128" t="s">
        <v>28759</v>
      </c>
      <c r="C726" s="194" t="s">
        <v>212</v>
      </c>
      <c r="D726" s="195">
        <v>49087.199999999997</v>
      </c>
      <c r="E726" s="196">
        <v>44816</v>
      </c>
      <c r="F726" s="195">
        <v>49087.199999999997</v>
      </c>
      <c r="G726" s="197">
        <f>Tabla110[[#This Row],[Importe]]-Tabla110[[#This Row],[Pagado]]</f>
        <v>0</v>
      </c>
      <c r="H726" s="194" t="s">
        <v>10</v>
      </c>
    </row>
    <row r="727" spans="1:8" x14ac:dyDescent="0.25">
      <c r="A727" s="127">
        <v>44811</v>
      </c>
      <c r="B727" s="128" t="s">
        <v>28760</v>
      </c>
      <c r="C727" s="194" t="s">
        <v>31</v>
      </c>
      <c r="D727" s="195">
        <v>490</v>
      </c>
      <c r="E727" s="196">
        <v>44811</v>
      </c>
      <c r="F727" s="195">
        <v>490</v>
      </c>
      <c r="G727" s="197">
        <f>Tabla110[[#This Row],[Importe]]-Tabla110[[#This Row],[Pagado]]</f>
        <v>0</v>
      </c>
      <c r="H727" s="194" t="s">
        <v>10</v>
      </c>
    </row>
    <row r="728" spans="1:8" x14ac:dyDescent="0.25">
      <c r="A728" s="127">
        <v>44811</v>
      </c>
      <c r="B728" s="128" t="s">
        <v>28761</v>
      </c>
      <c r="C728" s="194" t="s">
        <v>146</v>
      </c>
      <c r="D728" s="195">
        <v>5265</v>
      </c>
      <c r="E728" s="196">
        <v>44811</v>
      </c>
      <c r="F728" s="195">
        <v>5265</v>
      </c>
      <c r="G728" s="197">
        <f>Tabla110[[#This Row],[Importe]]-Tabla110[[#This Row],[Pagado]]</f>
        <v>0</v>
      </c>
      <c r="H728" s="194" t="s">
        <v>10</v>
      </c>
    </row>
    <row r="729" spans="1:8" x14ac:dyDescent="0.25">
      <c r="A729" s="127">
        <v>44811</v>
      </c>
      <c r="B729" s="128" t="s">
        <v>28762</v>
      </c>
      <c r="C729" s="194" t="s">
        <v>87</v>
      </c>
      <c r="D729" s="195">
        <v>2095</v>
      </c>
      <c r="E729" s="196">
        <v>44811</v>
      </c>
      <c r="F729" s="195">
        <v>2095</v>
      </c>
      <c r="G729" s="197">
        <f>Tabla110[[#This Row],[Importe]]-Tabla110[[#This Row],[Pagado]]</f>
        <v>0</v>
      </c>
      <c r="H729" s="194" t="s">
        <v>10</v>
      </c>
    </row>
    <row r="730" spans="1:8" x14ac:dyDescent="0.25">
      <c r="A730" s="127">
        <v>44811</v>
      </c>
      <c r="B730" s="128" t="s">
        <v>28763</v>
      </c>
      <c r="C730" s="194" t="s">
        <v>24</v>
      </c>
      <c r="D730" s="195">
        <v>5046.6000000000004</v>
      </c>
      <c r="E730" s="196">
        <v>44811</v>
      </c>
      <c r="F730" s="195">
        <v>5046.6000000000004</v>
      </c>
      <c r="G730" s="197">
        <f>Tabla110[[#This Row],[Importe]]-Tabla110[[#This Row],[Pagado]]</f>
        <v>0</v>
      </c>
      <c r="H730" s="194" t="s">
        <v>10</v>
      </c>
    </row>
    <row r="731" spans="1:8" x14ac:dyDescent="0.25">
      <c r="A731" s="127">
        <v>44811</v>
      </c>
      <c r="B731" s="128" t="s">
        <v>28764</v>
      </c>
      <c r="C731" s="194" t="s">
        <v>24690</v>
      </c>
      <c r="D731" s="195">
        <v>0</v>
      </c>
      <c r="E731" s="199" t="s">
        <v>189</v>
      </c>
      <c r="F731" s="195">
        <v>0</v>
      </c>
      <c r="G731" s="197">
        <f>Tabla110[[#This Row],[Importe]]-Tabla110[[#This Row],[Pagado]]</f>
        <v>0</v>
      </c>
      <c r="H731" s="200" t="s">
        <v>28765</v>
      </c>
    </row>
    <row r="732" spans="1:8" x14ac:dyDescent="0.25">
      <c r="A732" s="127">
        <v>44811</v>
      </c>
      <c r="B732" s="128" t="s">
        <v>28766</v>
      </c>
      <c r="C732" s="194" t="s">
        <v>58</v>
      </c>
      <c r="D732" s="195">
        <v>5555.7</v>
      </c>
      <c r="E732" s="196">
        <v>44811</v>
      </c>
      <c r="F732" s="195">
        <v>5555.7</v>
      </c>
      <c r="G732" s="197">
        <f>Tabla110[[#This Row],[Importe]]-Tabla110[[#This Row],[Pagado]]</f>
        <v>0</v>
      </c>
      <c r="H732" s="194" t="s">
        <v>10</v>
      </c>
    </row>
    <row r="733" spans="1:8" x14ac:dyDescent="0.25">
      <c r="A733" s="127">
        <v>44811</v>
      </c>
      <c r="B733" s="128" t="s">
        <v>28767</v>
      </c>
      <c r="C733" s="194" t="s">
        <v>140</v>
      </c>
      <c r="D733" s="195">
        <v>850.4</v>
      </c>
      <c r="E733" s="196">
        <v>44811</v>
      </c>
      <c r="F733" s="195">
        <v>850.4</v>
      </c>
      <c r="G733" s="197">
        <f>Tabla110[[#This Row],[Importe]]-Tabla110[[#This Row],[Pagado]]</f>
        <v>0</v>
      </c>
      <c r="H733" s="194" t="s">
        <v>10</v>
      </c>
    </row>
    <row r="734" spans="1:8" x14ac:dyDescent="0.25">
      <c r="A734" s="127">
        <v>44811</v>
      </c>
      <c r="B734" s="128" t="s">
        <v>28768</v>
      </c>
      <c r="C734" s="194" t="s">
        <v>191</v>
      </c>
      <c r="D734" s="195">
        <v>1987.5</v>
      </c>
      <c r="E734" s="196">
        <v>44811</v>
      </c>
      <c r="F734" s="195">
        <v>1987.5</v>
      </c>
      <c r="G734" s="197">
        <f>Tabla110[[#This Row],[Importe]]-Tabla110[[#This Row],[Pagado]]</f>
        <v>0</v>
      </c>
      <c r="H734" s="194" t="s">
        <v>10</v>
      </c>
    </row>
    <row r="735" spans="1:8" x14ac:dyDescent="0.25">
      <c r="A735" s="127">
        <v>44811</v>
      </c>
      <c r="B735" s="128" t="s">
        <v>28769</v>
      </c>
      <c r="C735" s="194" t="s">
        <v>357</v>
      </c>
      <c r="D735" s="195">
        <v>393.9</v>
      </c>
      <c r="E735" s="196">
        <v>44811</v>
      </c>
      <c r="F735" s="195">
        <v>393.9</v>
      </c>
      <c r="G735" s="197">
        <f>Tabla110[[#This Row],[Importe]]-Tabla110[[#This Row],[Pagado]]</f>
        <v>0</v>
      </c>
      <c r="H735" s="194" t="s">
        <v>10</v>
      </c>
    </row>
    <row r="736" spans="1:8" x14ac:dyDescent="0.25">
      <c r="A736" s="127">
        <v>44811</v>
      </c>
      <c r="B736" s="128" t="s">
        <v>28770</v>
      </c>
      <c r="C736" s="194" t="s">
        <v>1676</v>
      </c>
      <c r="D736" s="195">
        <v>10948</v>
      </c>
      <c r="E736" s="196">
        <v>44811</v>
      </c>
      <c r="F736" s="195">
        <v>10948</v>
      </c>
      <c r="G736" s="197">
        <f>Tabla110[[#This Row],[Importe]]-Tabla110[[#This Row],[Pagado]]</f>
        <v>0</v>
      </c>
      <c r="H736" s="194" t="s">
        <v>10</v>
      </c>
    </row>
    <row r="737" spans="1:8" x14ac:dyDescent="0.25">
      <c r="A737" s="127">
        <v>44811</v>
      </c>
      <c r="B737" s="128" t="s">
        <v>28771</v>
      </c>
      <c r="C737" s="194" t="s">
        <v>107</v>
      </c>
      <c r="D737" s="195">
        <v>15847</v>
      </c>
      <c r="E737" s="196">
        <v>44811</v>
      </c>
      <c r="F737" s="195">
        <v>15847</v>
      </c>
      <c r="G737" s="197">
        <f>Tabla110[[#This Row],[Importe]]-Tabla110[[#This Row],[Pagado]]</f>
        <v>0</v>
      </c>
      <c r="H737" s="194" t="s">
        <v>10</v>
      </c>
    </row>
    <row r="738" spans="1:8" x14ac:dyDescent="0.25">
      <c r="A738" s="127">
        <v>44811</v>
      </c>
      <c r="B738" s="128" t="s">
        <v>28772</v>
      </c>
      <c r="C738" s="194" t="s">
        <v>127</v>
      </c>
      <c r="D738" s="195">
        <v>4991</v>
      </c>
      <c r="E738" s="196">
        <v>44811</v>
      </c>
      <c r="F738" s="195">
        <v>4991</v>
      </c>
      <c r="G738" s="197">
        <f>Tabla110[[#This Row],[Importe]]-Tabla110[[#This Row],[Pagado]]</f>
        <v>0</v>
      </c>
      <c r="H738" s="194" t="s">
        <v>10</v>
      </c>
    </row>
    <row r="739" spans="1:8" x14ac:dyDescent="0.25">
      <c r="A739" s="127">
        <v>44811</v>
      </c>
      <c r="B739" s="128" t="s">
        <v>28773</v>
      </c>
      <c r="C739" s="194" t="s">
        <v>15868</v>
      </c>
      <c r="D739" s="195">
        <v>26265.599999999999</v>
      </c>
      <c r="E739" s="196">
        <v>44812</v>
      </c>
      <c r="F739" s="195">
        <v>26265.599999999999</v>
      </c>
      <c r="G739" s="197">
        <f>Tabla110[[#This Row],[Importe]]-Tabla110[[#This Row],[Pagado]]</f>
        <v>0</v>
      </c>
      <c r="H739" s="194" t="s">
        <v>10</v>
      </c>
    </row>
    <row r="740" spans="1:8" x14ac:dyDescent="0.25">
      <c r="A740" s="127">
        <v>44811</v>
      </c>
      <c r="B740" s="128" t="s">
        <v>28774</v>
      </c>
      <c r="C740" s="194" t="s">
        <v>62</v>
      </c>
      <c r="D740" s="195">
        <v>6904.4</v>
      </c>
      <c r="E740" s="196">
        <v>44811</v>
      </c>
      <c r="F740" s="195">
        <v>6904.4</v>
      </c>
      <c r="G740" s="197">
        <f>Tabla110[[#This Row],[Importe]]-Tabla110[[#This Row],[Pagado]]</f>
        <v>0</v>
      </c>
      <c r="H740" s="194" t="s">
        <v>10</v>
      </c>
    </row>
    <row r="741" spans="1:8" x14ac:dyDescent="0.25">
      <c r="A741" s="127">
        <v>44811</v>
      </c>
      <c r="B741" s="128" t="s">
        <v>28775</v>
      </c>
      <c r="C741" s="194" t="s">
        <v>142</v>
      </c>
      <c r="D741" s="195">
        <v>156034.5</v>
      </c>
      <c r="E741" s="196">
        <v>44847</v>
      </c>
      <c r="F741" s="195">
        <v>156034.5</v>
      </c>
      <c r="G741" s="197">
        <f>Tabla110[[#This Row],[Importe]]-Tabla110[[#This Row],[Pagado]]</f>
        <v>0</v>
      </c>
      <c r="H741" s="194" t="s">
        <v>10</v>
      </c>
    </row>
    <row r="742" spans="1:8" x14ac:dyDescent="0.25">
      <c r="A742" s="127">
        <v>44811</v>
      </c>
      <c r="B742" s="128" t="s">
        <v>28776</v>
      </c>
      <c r="C742" s="194" t="s">
        <v>359</v>
      </c>
      <c r="D742" s="195">
        <v>1122</v>
      </c>
      <c r="E742" s="196">
        <v>44811</v>
      </c>
      <c r="F742" s="195">
        <v>1122</v>
      </c>
      <c r="G742" s="197">
        <f>Tabla110[[#This Row],[Importe]]-Tabla110[[#This Row],[Pagado]]</f>
        <v>0</v>
      </c>
      <c r="H742" s="194" t="s">
        <v>10</v>
      </c>
    </row>
    <row r="743" spans="1:8" x14ac:dyDescent="0.25">
      <c r="A743" s="127">
        <v>44811</v>
      </c>
      <c r="B743" s="128" t="s">
        <v>28777</v>
      </c>
      <c r="C743" s="194" t="s">
        <v>200</v>
      </c>
      <c r="D743" s="195">
        <v>959</v>
      </c>
      <c r="E743" s="196">
        <v>44811</v>
      </c>
      <c r="F743" s="195">
        <v>959</v>
      </c>
      <c r="G743" s="197">
        <f>Tabla110[[#This Row],[Importe]]-Tabla110[[#This Row],[Pagado]]</f>
        <v>0</v>
      </c>
      <c r="H743" s="194" t="s">
        <v>10</v>
      </c>
    </row>
    <row r="744" spans="1:8" x14ac:dyDescent="0.25">
      <c r="A744" s="127">
        <v>44811</v>
      </c>
      <c r="B744" s="128" t="s">
        <v>28778</v>
      </c>
      <c r="C744" s="194" t="s">
        <v>181</v>
      </c>
      <c r="D744" s="195">
        <v>13281.6</v>
      </c>
      <c r="E744" s="196">
        <v>44811</v>
      </c>
      <c r="F744" s="195">
        <v>13281.6</v>
      </c>
      <c r="G744" s="197">
        <f>Tabla110[[#This Row],[Importe]]-Tabla110[[#This Row],[Pagado]]</f>
        <v>0</v>
      </c>
      <c r="H744" s="194" t="s">
        <v>10</v>
      </c>
    </row>
    <row r="745" spans="1:8" x14ac:dyDescent="0.25">
      <c r="A745" s="127">
        <v>44811</v>
      </c>
      <c r="B745" s="128" t="s">
        <v>28779</v>
      </c>
      <c r="C745" s="194" t="s">
        <v>1378</v>
      </c>
      <c r="D745" s="195">
        <v>86144.2</v>
      </c>
      <c r="E745" s="196">
        <v>44812</v>
      </c>
      <c r="F745" s="195">
        <v>86144.2</v>
      </c>
      <c r="G745" s="197">
        <f>Tabla110[[#This Row],[Importe]]-Tabla110[[#This Row],[Pagado]]</f>
        <v>0</v>
      </c>
      <c r="H745" s="194" t="s">
        <v>10</v>
      </c>
    </row>
    <row r="746" spans="1:8" x14ac:dyDescent="0.25">
      <c r="A746" s="127">
        <v>44811</v>
      </c>
      <c r="B746" s="128" t="s">
        <v>28780</v>
      </c>
      <c r="C746" s="194" t="s">
        <v>19271</v>
      </c>
      <c r="D746" s="195">
        <v>47788</v>
      </c>
      <c r="E746" s="196">
        <v>44811</v>
      </c>
      <c r="F746" s="195">
        <v>47788</v>
      </c>
      <c r="G746" s="197">
        <f>Tabla110[[#This Row],[Importe]]-Tabla110[[#This Row],[Pagado]]</f>
        <v>0</v>
      </c>
      <c r="H746" s="194" t="s">
        <v>10</v>
      </c>
    </row>
    <row r="747" spans="1:8" x14ac:dyDescent="0.25">
      <c r="A747" s="127">
        <v>44811</v>
      </c>
      <c r="B747" s="128" t="s">
        <v>28781</v>
      </c>
      <c r="C747" s="194" t="s">
        <v>79</v>
      </c>
      <c r="D747" s="195">
        <v>8206.7999999999993</v>
      </c>
      <c r="E747" s="196">
        <v>44811</v>
      </c>
      <c r="F747" s="195">
        <v>8206.7999999999993</v>
      </c>
      <c r="G747" s="197">
        <f>Tabla110[[#This Row],[Importe]]-Tabla110[[#This Row],[Pagado]]</f>
        <v>0</v>
      </c>
      <c r="H747" s="194" t="s">
        <v>10</v>
      </c>
    </row>
    <row r="748" spans="1:8" x14ac:dyDescent="0.25">
      <c r="A748" s="127">
        <v>44811</v>
      </c>
      <c r="B748" s="128" t="s">
        <v>28782</v>
      </c>
      <c r="C748" s="194" t="s">
        <v>6528</v>
      </c>
      <c r="D748" s="195">
        <v>47069.3</v>
      </c>
      <c r="E748" s="196">
        <v>44811</v>
      </c>
      <c r="F748" s="195">
        <v>47069.3</v>
      </c>
      <c r="G748" s="197">
        <f>Tabla110[[#This Row],[Importe]]-Tabla110[[#This Row],[Pagado]]</f>
        <v>0</v>
      </c>
      <c r="H748" s="194" t="s">
        <v>10</v>
      </c>
    </row>
    <row r="749" spans="1:8" x14ac:dyDescent="0.25">
      <c r="A749" s="127">
        <v>44811</v>
      </c>
      <c r="B749" s="128" t="s">
        <v>28783</v>
      </c>
      <c r="C749" s="194" t="s">
        <v>296</v>
      </c>
      <c r="D749" s="195">
        <v>9130.6</v>
      </c>
      <c r="E749" s="196">
        <v>44811</v>
      </c>
      <c r="F749" s="195">
        <v>9130.6</v>
      </c>
      <c r="G749" s="197">
        <f>Tabla110[[#This Row],[Importe]]-Tabla110[[#This Row],[Pagado]]</f>
        <v>0</v>
      </c>
      <c r="H749" s="194" t="s">
        <v>10</v>
      </c>
    </row>
    <row r="750" spans="1:8" x14ac:dyDescent="0.25">
      <c r="A750" s="127">
        <v>44811</v>
      </c>
      <c r="B750" s="128" t="s">
        <v>28784</v>
      </c>
      <c r="C750" s="194" t="s">
        <v>555</v>
      </c>
      <c r="D750" s="195">
        <v>26579.200000000001</v>
      </c>
      <c r="E750" s="196">
        <v>44811</v>
      </c>
      <c r="F750" s="195">
        <v>26579.200000000001</v>
      </c>
      <c r="G750" s="197">
        <f>Tabla110[[#This Row],[Importe]]-Tabla110[[#This Row],[Pagado]]</f>
        <v>0</v>
      </c>
      <c r="H750" s="194" t="s">
        <v>10</v>
      </c>
    </row>
    <row r="751" spans="1:8" x14ac:dyDescent="0.25">
      <c r="A751" s="127">
        <v>44811</v>
      </c>
      <c r="B751" s="128" t="s">
        <v>28785</v>
      </c>
      <c r="C751" s="194" t="s">
        <v>587</v>
      </c>
      <c r="D751" s="195">
        <v>5822.4</v>
      </c>
      <c r="E751" s="196">
        <v>44811</v>
      </c>
      <c r="F751" s="195">
        <v>5822.4</v>
      </c>
      <c r="G751" s="197">
        <f>Tabla110[[#This Row],[Importe]]-Tabla110[[#This Row],[Pagado]]</f>
        <v>0</v>
      </c>
      <c r="H751" s="194" t="s">
        <v>10</v>
      </c>
    </row>
    <row r="752" spans="1:8" x14ac:dyDescent="0.25">
      <c r="A752" s="127">
        <v>44811</v>
      </c>
      <c r="B752" s="128" t="s">
        <v>28786</v>
      </c>
      <c r="C752" s="194" t="s">
        <v>10840</v>
      </c>
      <c r="D752" s="195">
        <v>24488</v>
      </c>
      <c r="E752" s="196">
        <v>44816</v>
      </c>
      <c r="F752" s="195">
        <v>24488</v>
      </c>
      <c r="G752" s="197">
        <f>Tabla110[[#This Row],[Importe]]-Tabla110[[#This Row],[Pagado]]</f>
        <v>0</v>
      </c>
      <c r="H752" s="194" t="s">
        <v>10</v>
      </c>
    </row>
    <row r="753" spans="1:8" x14ac:dyDescent="0.25">
      <c r="A753" s="127">
        <v>44811</v>
      </c>
      <c r="B753" s="128" t="s">
        <v>28787</v>
      </c>
      <c r="C753" s="194" t="s">
        <v>419</v>
      </c>
      <c r="D753" s="195">
        <v>7213.8</v>
      </c>
      <c r="E753" s="196">
        <v>44811</v>
      </c>
      <c r="F753" s="195">
        <v>7213.8</v>
      </c>
      <c r="G753" s="197">
        <f>Tabla110[[#This Row],[Importe]]-Tabla110[[#This Row],[Pagado]]</f>
        <v>0</v>
      </c>
      <c r="H753" s="194" t="s">
        <v>10</v>
      </c>
    </row>
    <row r="754" spans="1:8" x14ac:dyDescent="0.25">
      <c r="A754" s="127">
        <v>44811</v>
      </c>
      <c r="B754" s="128" t="s">
        <v>28788</v>
      </c>
      <c r="C754" s="194" t="s">
        <v>31</v>
      </c>
      <c r="D754" s="195">
        <v>1684.8</v>
      </c>
      <c r="E754" s="196">
        <v>44811</v>
      </c>
      <c r="F754" s="195">
        <v>1684.8</v>
      </c>
      <c r="G754" s="197">
        <f>Tabla110[[#This Row],[Importe]]-Tabla110[[#This Row],[Pagado]]</f>
        <v>0</v>
      </c>
      <c r="H754" s="194" t="s">
        <v>10</v>
      </c>
    </row>
    <row r="755" spans="1:8" x14ac:dyDescent="0.25">
      <c r="A755" s="127">
        <v>44811</v>
      </c>
      <c r="B755" s="128" t="s">
        <v>28789</v>
      </c>
      <c r="C755" s="194" t="s">
        <v>226</v>
      </c>
      <c r="D755" s="195">
        <v>7740.4</v>
      </c>
      <c r="E755" s="196">
        <v>44811</v>
      </c>
      <c r="F755" s="195">
        <v>7740.4</v>
      </c>
      <c r="G755" s="197">
        <f>Tabla110[[#This Row],[Importe]]-Tabla110[[#This Row],[Pagado]]</f>
        <v>0</v>
      </c>
      <c r="H755" s="194" t="s">
        <v>10</v>
      </c>
    </row>
    <row r="756" spans="1:8" x14ac:dyDescent="0.25">
      <c r="A756" s="127">
        <v>44811</v>
      </c>
      <c r="B756" s="128" t="s">
        <v>28790</v>
      </c>
      <c r="C756" s="194" t="s">
        <v>226</v>
      </c>
      <c r="D756" s="195">
        <v>2003.9</v>
      </c>
      <c r="E756" s="196">
        <v>44811</v>
      </c>
      <c r="F756" s="195">
        <v>2003.9</v>
      </c>
      <c r="G756" s="197">
        <f>Tabla110[[#This Row],[Importe]]-Tabla110[[#This Row],[Pagado]]</f>
        <v>0</v>
      </c>
      <c r="H756" s="194" t="s">
        <v>10</v>
      </c>
    </row>
    <row r="757" spans="1:8" x14ac:dyDescent="0.25">
      <c r="A757" s="127">
        <v>44811</v>
      </c>
      <c r="B757" s="128" t="s">
        <v>28791</v>
      </c>
      <c r="C757" s="194" t="s">
        <v>28792</v>
      </c>
      <c r="D757" s="195">
        <v>4230</v>
      </c>
      <c r="E757" s="196">
        <v>44811</v>
      </c>
      <c r="F757" s="195">
        <v>4230</v>
      </c>
      <c r="G757" s="197">
        <f>Tabla110[[#This Row],[Importe]]-Tabla110[[#This Row],[Pagado]]</f>
        <v>0</v>
      </c>
      <c r="H757" s="194" t="s">
        <v>10</v>
      </c>
    </row>
    <row r="758" spans="1:8" x14ac:dyDescent="0.25">
      <c r="A758" s="127">
        <v>44811</v>
      </c>
      <c r="B758" s="128" t="s">
        <v>28793</v>
      </c>
      <c r="C758" s="194" t="s">
        <v>450</v>
      </c>
      <c r="D758" s="195">
        <v>6592.8</v>
      </c>
      <c r="E758" s="196">
        <v>44811</v>
      </c>
      <c r="F758" s="195">
        <v>6592.8</v>
      </c>
      <c r="G758" s="197">
        <f>Tabla110[[#This Row],[Importe]]-Tabla110[[#This Row],[Pagado]]</f>
        <v>0</v>
      </c>
      <c r="H758" s="194" t="s">
        <v>10</v>
      </c>
    </row>
    <row r="759" spans="1:8" x14ac:dyDescent="0.25">
      <c r="A759" s="127">
        <v>44811</v>
      </c>
      <c r="B759" s="128" t="s">
        <v>28794</v>
      </c>
      <c r="C759" s="194" t="s">
        <v>9827</v>
      </c>
      <c r="D759" s="195">
        <v>3458</v>
      </c>
      <c r="E759" s="196">
        <v>44811</v>
      </c>
      <c r="F759" s="195">
        <v>3458</v>
      </c>
      <c r="G759" s="197">
        <f>Tabla110[[#This Row],[Importe]]-Tabla110[[#This Row],[Pagado]]</f>
        <v>0</v>
      </c>
      <c r="H759" s="194" t="s">
        <v>10</v>
      </c>
    </row>
    <row r="760" spans="1:8" x14ac:dyDescent="0.25">
      <c r="A760" s="127">
        <v>44811</v>
      </c>
      <c r="B760" s="128" t="s">
        <v>28795</v>
      </c>
      <c r="C760" s="194" t="s">
        <v>24</v>
      </c>
      <c r="D760" s="195">
        <v>144</v>
      </c>
      <c r="E760" s="196">
        <v>44811</v>
      </c>
      <c r="F760" s="195">
        <v>144</v>
      </c>
      <c r="G760" s="197">
        <f>Tabla110[[#This Row],[Importe]]-Tabla110[[#This Row],[Pagado]]</f>
        <v>0</v>
      </c>
      <c r="H760" s="194" t="s">
        <v>10</v>
      </c>
    </row>
    <row r="761" spans="1:8" x14ac:dyDescent="0.25">
      <c r="A761" s="127">
        <v>44811</v>
      </c>
      <c r="B761" s="128" t="s">
        <v>28796</v>
      </c>
      <c r="C761" s="194" t="s">
        <v>28797</v>
      </c>
      <c r="D761" s="195">
        <v>45639</v>
      </c>
      <c r="E761" s="196">
        <v>44811</v>
      </c>
      <c r="F761" s="195">
        <v>45639</v>
      </c>
      <c r="G761" s="197">
        <f>Tabla110[[#This Row],[Importe]]-Tabla110[[#This Row],[Pagado]]</f>
        <v>0</v>
      </c>
      <c r="H761" s="194" t="s">
        <v>10</v>
      </c>
    </row>
    <row r="762" spans="1:8" x14ac:dyDescent="0.25">
      <c r="A762" s="127">
        <v>44811</v>
      </c>
      <c r="B762" s="128" t="s">
        <v>28798</v>
      </c>
      <c r="C762" s="194" t="s">
        <v>31</v>
      </c>
      <c r="D762" s="195">
        <v>5854.8</v>
      </c>
      <c r="E762" s="196">
        <v>44811</v>
      </c>
      <c r="F762" s="195">
        <v>5854.8</v>
      </c>
      <c r="G762" s="197">
        <f>Tabla110[[#This Row],[Importe]]-Tabla110[[#This Row],[Pagado]]</f>
        <v>0</v>
      </c>
      <c r="H762" s="194" t="s">
        <v>10</v>
      </c>
    </row>
    <row r="763" spans="1:8" x14ac:dyDescent="0.25">
      <c r="A763" s="127">
        <v>44811</v>
      </c>
      <c r="B763" s="128" t="s">
        <v>28799</v>
      </c>
      <c r="C763" s="194" t="s">
        <v>450</v>
      </c>
      <c r="D763" s="195">
        <v>2024</v>
      </c>
      <c r="E763" s="196">
        <v>44811</v>
      </c>
      <c r="F763" s="195">
        <v>2024</v>
      </c>
      <c r="G763" s="197">
        <f>Tabla110[[#This Row],[Importe]]-Tabla110[[#This Row],[Pagado]]</f>
        <v>0</v>
      </c>
      <c r="H763" s="194" t="s">
        <v>10</v>
      </c>
    </row>
    <row r="764" spans="1:8" x14ac:dyDescent="0.25">
      <c r="A764" s="127">
        <v>44811</v>
      </c>
      <c r="B764" s="128" t="s">
        <v>28800</v>
      </c>
      <c r="C764" s="194" t="s">
        <v>31</v>
      </c>
      <c r="D764" s="195">
        <v>14</v>
      </c>
      <c r="E764" s="196">
        <v>44811</v>
      </c>
      <c r="F764" s="195">
        <v>14</v>
      </c>
      <c r="G764" s="197">
        <f>Tabla110[[#This Row],[Importe]]-Tabla110[[#This Row],[Pagado]]</f>
        <v>0</v>
      </c>
      <c r="H764" s="194" t="s">
        <v>10</v>
      </c>
    </row>
    <row r="765" spans="1:8" x14ac:dyDescent="0.25">
      <c r="A765" s="127">
        <v>44811</v>
      </c>
      <c r="B765" s="128" t="s">
        <v>28801</v>
      </c>
      <c r="C765" s="194" t="s">
        <v>2383</v>
      </c>
      <c r="D765" s="195">
        <v>2740</v>
      </c>
      <c r="E765" s="196">
        <v>44811</v>
      </c>
      <c r="F765" s="195">
        <v>2740</v>
      </c>
      <c r="G765" s="197">
        <f>Tabla110[[#This Row],[Importe]]-Tabla110[[#This Row],[Pagado]]</f>
        <v>0</v>
      </c>
      <c r="H765" s="194" t="s">
        <v>10</v>
      </c>
    </row>
    <row r="766" spans="1:8" x14ac:dyDescent="0.25">
      <c r="A766" s="127">
        <v>44811</v>
      </c>
      <c r="B766" s="128" t="s">
        <v>28802</v>
      </c>
      <c r="C766" s="194" t="s">
        <v>27773</v>
      </c>
      <c r="D766" s="195">
        <v>8643.6</v>
      </c>
      <c r="E766" s="196">
        <v>44811</v>
      </c>
      <c r="F766" s="195">
        <v>8643.6</v>
      </c>
      <c r="G766" s="197">
        <f>Tabla110[[#This Row],[Importe]]-Tabla110[[#This Row],[Pagado]]</f>
        <v>0</v>
      </c>
      <c r="H766" s="194" t="s">
        <v>10</v>
      </c>
    </row>
    <row r="767" spans="1:8" x14ac:dyDescent="0.25">
      <c r="A767" s="127">
        <v>44811</v>
      </c>
      <c r="B767" s="128" t="s">
        <v>28803</v>
      </c>
      <c r="C767" s="194" t="s">
        <v>712</v>
      </c>
      <c r="D767" s="195">
        <v>1.67</v>
      </c>
      <c r="E767" s="196">
        <v>44817</v>
      </c>
      <c r="F767" s="195">
        <v>1.67</v>
      </c>
      <c r="G767" s="197">
        <f>Tabla110[[#This Row],[Importe]]-Tabla110[[#This Row],[Pagado]]</f>
        <v>0</v>
      </c>
      <c r="H767" s="194" t="s">
        <v>10</v>
      </c>
    </row>
    <row r="768" spans="1:8" x14ac:dyDescent="0.25">
      <c r="A768" s="127">
        <v>44811</v>
      </c>
      <c r="B768" s="128" t="s">
        <v>28804</v>
      </c>
      <c r="C768" s="194" t="s">
        <v>280</v>
      </c>
      <c r="D768" s="195">
        <v>1270.9000000000001</v>
      </c>
      <c r="E768" s="196">
        <v>44811</v>
      </c>
      <c r="F768" s="195">
        <v>1270.9000000000001</v>
      </c>
      <c r="G768" s="197">
        <f>Tabla110[[#This Row],[Importe]]-Tabla110[[#This Row],[Pagado]]</f>
        <v>0</v>
      </c>
      <c r="H768" s="194" t="s">
        <v>10</v>
      </c>
    </row>
    <row r="769" spans="1:8" x14ac:dyDescent="0.25">
      <c r="A769" s="127">
        <v>44811</v>
      </c>
      <c r="B769" s="128" t="s">
        <v>28805</v>
      </c>
      <c r="C769" s="194" t="s">
        <v>10819</v>
      </c>
      <c r="D769" s="195">
        <v>781</v>
      </c>
      <c r="E769" s="196">
        <v>44811</v>
      </c>
      <c r="F769" s="195">
        <v>781</v>
      </c>
      <c r="G769" s="197">
        <f>Tabla110[[#This Row],[Importe]]-Tabla110[[#This Row],[Pagado]]</f>
        <v>0</v>
      </c>
      <c r="H769" s="194" t="s">
        <v>10</v>
      </c>
    </row>
    <row r="770" spans="1:8" x14ac:dyDescent="0.25">
      <c r="A770" s="127">
        <v>44811</v>
      </c>
      <c r="B770" s="128" t="s">
        <v>28806</v>
      </c>
      <c r="C770" s="194" t="s">
        <v>27466</v>
      </c>
      <c r="D770" s="195">
        <v>9013.2000000000007</v>
      </c>
      <c r="E770" s="196">
        <v>44811</v>
      </c>
      <c r="F770" s="195">
        <v>9013.2000000000007</v>
      </c>
      <c r="G770" s="197">
        <f>Tabla110[[#This Row],[Importe]]-Tabla110[[#This Row],[Pagado]]</f>
        <v>0</v>
      </c>
      <c r="H770" s="194" t="s">
        <v>10</v>
      </c>
    </row>
    <row r="771" spans="1:8" x14ac:dyDescent="0.25">
      <c r="A771" s="127">
        <v>44811</v>
      </c>
      <c r="B771" s="128" t="s">
        <v>28807</v>
      </c>
      <c r="C771" s="194" t="s">
        <v>10819</v>
      </c>
      <c r="D771" s="195">
        <v>187.2</v>
      </c>
      <c r="E771" s="196">
        <v>44811</v>
      </c>
      <c r="F771" s="195">
        <v>187.2</v>
      </c>
      <c r="G771" s="197">
        <f>Tabla110[[#This Row],[Importe]]-Tabla110[[#This Row],[Pagado]]</f>
        <v>0</v>
      </c>
      <c r="H771" s="194" t="s">
        <v>10</v>
      </c>
    </row>
    <row r="772" spans="1:8" x14ac:dyDescent="0.25">
      <c r="A772" s="127">
        <v>44811</v>
      </c>
      <c r="B772" s="128" t="s">
        <v>28808</v>
      </c>
      <c r="C772" s="194" t="s">
        <v>284</v>
      </c>
      <c r="D772" s="195">
        <v>8946</v>
      </c>
      <c r="E772" s="196">
        <v>44811</v>
      </c>
      <c r="F772" s="195">
        <v>8946</v>
      </c>
      <c r="G772" s="197">
        <f>Tabla110[[#This Row],[Importe]]-Tabla110[[#This Row],[Pagado]]</f>
        <v>0</v>
      </c>
      <c r="H772" s="194" t="s">
        <v>10</v>
      </c>
    </row>
    <row r="773" spans="1:8" x14ac:dyDescent="0.25">
      <c r="A773" s="127">
        <v>44811</v>
      </c>
      <c r="B773" s="128" t="s">
        <v>28809</v>
      </c>
      <c r="C773" s="194" t="s">
        <v>28810</v>
      </c>
      <c r="D773" s="195">
        <v>14036.9</v>
      </c>
      <c r="E773" s="196">
        <v>44811</v>
      </c>
      <c r="F773" s="195">
        <v>14036.9</v>
      </c>
      <c r="G773" s="197">
        <f>Tabla110[[#This Row],[Importe]]-Tabla110[[#This Row],[Pagado]]</f>
        <v>0</v>
      </c>
      <c r="H773" s="194" t="s">
        <v>10</v>
      </c>
    </row>
    <row r="774" spans="1:8" x14ac:dyDescent="0.25">
      <c r="A774" s="127">
        <v>44811</v>
      </c>
      <c r="B774" s="128" t="s">
        <v>28811</v>
      </c>
      <c r="C774" s="194" t="s">
        <v>31</v>
      </c>
      <c r="D774" s="195">
        <v>4433.6000000000004</v>
      </c>
      <c r="E774" s="196">
        <v>44811</v>
      </c>
      <c r="F774" s="195">
        <v>4433.6000000000004</v>
      </c>
      <c r="G774" s="197">
        <f>Tabla110[[#This Row],[Importe]]-Tabla110[[#This Row],[Pagado]]</f>
        <v>0</v>
      </c>
      <c r="H774" s="194" t="s">
        <v>10</v>
      </c>
    </row>
    <row r="775" spans="1:8" x14ac:dyDescent="0.25">
      <c r="A775" s="127">
        <v>44811</v>
      </c>
      <c r="B775" s="128" t="s">
        <v>28812</v>
      </c>
      <c r="C775" s="194" t="s">
        <v>175</v>
      </c>
      <c r="D775" s="195">
        <v>34161.800000000003</v>
      </c>
      <c r="E775" s="196">
        <v>44812</v>
      </c>
      <c r="F775" s="195">
        <v>34161.800000000003</v>
      </c>
      <c r="G775" s="197">
        <f>Tabla110[[#This Row],[Importe]]-Tabla110[[#This Row],[Pagado]]</f>
        <v>0</v>
      </c>
      <c r="H775" s="194" t="s">
        <v>10</v>
      </c>
    </row>
    <row r="776" spans="1:8" x14ac:dyDescent="0.25">
      <c r="A776" s="127">
        <v>44811</v>
      </c>
      <c r="B776" s="128" t="s">
        <v>28813</v>
      </c>
      <c r="C776" s="194" t="s">
        <v>31</v>
      </c>
      <c r="D776" s="195">
        <v>144</v>
      </c>
      <c r="E776" s="196">
        <v>44811</v>
      </c>
      <c r="F776" s="195">
        <v>144</v>
      </c>
      <c r="G776" s="197">
        <f>Tabla110[[#This Row],[Importe]]-Tabla110[[#This Row],[Pagado]]</f>
        <v>0</v>
      </c>
      <c r="H776" s="194" t="s">
        <v>10</v>
      </c>
    </row>
    <row r="777" spans="1:8" x14ac:dyDescent="0.25">
      <c r="A777" s="127">
        <v>44811</v>
      </c>
      <c r="B777" s="128" t="s">
        <v>28814</v>
      </c>
      <c r="C777" s="194" t="s">
        <v>1421</v>
      </c>
      <c r="D777" s="195">
        <v>30736.2</v>
      </c>
      <c r="E777" s="196">
        <v>44811</v>
      </c>
      <c r="F777" s="195">
        <v>30736.2</v>
      </c>
      <c r="G777" s="197">
        <f>Tabla110[[#This Row],[Importe]]-Tabla110[[#This Row],[Pagado]]</f>
        <v>0</v>
      </c>
      <c r="H777" s="194" t="s">
        <v>10</v>
      </c>
    </row>
    <row r="778" spans="1:8" x14ac:dyDescent="0.25">
      <c r="A778" s="127">
        <v>44811</v>
      </c>
      <c r="B778" s="128" t="s">
        <v>28815</v>
      </c>
      <c r="C778" s="194" t="s">
        <v>56</v>
      </c>
      <c r="D778" s="195">
        <v>8696.6</v>
      </c>
      <c r="E778" s="196">
        <v>44811</v>
      </c>
      <c r="F778" s="195">
        <v>8696.6</v>
      </c>
      <c r="G778" s="197">
        <f>Tabla110[[#This Row],[Importe]]-Tabla110[[#This Row],[Pagado]]</f>
        <v>0</v>
      </c>
      <c r="H778" s="194" t="s">
        <v>10</v>
      </c>
    </row>
    <row r="779" spans="1:8" x14ac:dyDescent="0.25">
      <c r="A779" s="127">
        <v>44811</v>
      </c>
      <c r="B779" s="128" t="s">
        <v>28816</v>
      </c>
      <c r="C779" s="194" t="s">
        <v>296</v>
      </c>
      <c r="D779" s="195">
        <v>2420.1</v>
      </c>
      <c r="E779" s="196">
        <v>44811</v>
      </c>
      <c r="F779" s="195">
        <v>2420.1</v>
      </c>
      <c r="G779" s="197">
        <f>Tabla110[[#This Row],[Importe]]-Tabla110[[#This Row],[Pagado]]</f>
        <v>0</v>
      </c>
      <c r="H779" s="194" t="s">
        <v>10</v>
      </c>
    </row>
    <row r="780" spans="1:8" x14ac:dyDescent="0.25">
      <c r="A780" s="127">
        <v>44811</v>
      </c>
      <c r="B780" s="128" t="s">
        <v>28817</v>
      </c>
      <c r="C780" s="194" t="s">
        <v>67</v>
      </c>
      <c r="D780" s="195">
        <v>1817.6</v>
      </c>
      <c r="E780" s="196">
        <v>44811</v>
      </c>
      <c r="F780" s="195">
        <v>1817.6</v>
      </c>
      <c r="G780" s="197">
        <f>Tabla110[[#This Row],[Importe]]-Tabla110[[#This Row],[Pagado]]</f>
        <v>0</v>
      </c>
      <c r="H780" s="194" t="s">
        <v>10</v>
      </c>
    </row>
    <row r="781" spans="1:8" x14ac:dyDescent="0.25">
      <c r="A781" s="127">
        <v>44811</v>
      </c>
      <c r="B781" s="128" t="s">
        <v>28818</v>
      </c>
      <c r="C781" s="194" t="s">
        <v>610</v>
      </c>
      <c r="D781" s="195">
        <v>32274</v>
      </c>
      <c r="E781" s="196">
        <v>44811</v>
      </c>
      <c r="F781" s="195">
        <v>32274</v>
      </c>
      <c r="G781" s="197">
        <f>Tabla110[[#This Row],[Importe]]-Tabla110[[#This Row],[Pagado]]</f>
        <v>0</v>
      </c>
      <c r="H781" s="194" t="s">
        <v>10</v>
      </c>
    </row>
    <row r="782" spans="1:8" x14ac:dyDescent="0.25">
      <c r="A782" s="127">
        <v>44811</v>
      </c>
      <c r="B782" s="128" t="s">
        <v>28819</v>
      </c>
      <c r="C782" s="194" t="s">
        <v>53</v>
      </c>
      <c r="D782" s="195">
        <v>2124.3000000000002</v>
      </c>
      <c r="E782" s="196">
        <v>44811</v>
      </c>
      <c r="F782" s="195">
        <v>2124.3000000000002</v>
      </c>
      <c r="G782" s="197">
        <f>Tabla110[[#This Row],[Importe]]-Tabla110[[#This Row],[Pagado]]</f>
        <v>0</v>
      </c>
      <c r="H782" s="194" t="s">
        <v>10</v>
      </c>
    </row>
    <row r="783" spans="1:8" x14ac:dyDescent="0.25">
      <c r="A783" s="127">
        <v>44811</v>
      </c>
      <c r="B783" s="128" t="s">
        <v>28820</v>
      </c>
      <c r="C783" s="194" t="s">
        <v>4027</v>
      </c>
      <c r="D783" s="195">
        <v>210</v>
      </c>
      <c r="E783" s="196">
        <v>44811</v>
      </c>
      <c r="F783" s="195">
        <v>210</v>
      </c>
      <c r="G783" s="197">
        <f>Tabla110[[#This Row],[Importe]]-Tabla110[[#This Row],[Pagado]]</f>
        <v>0</v>
      </c>
      <c r="H783" s="194" t="s">
        <v>10</v>
      </c>
    </row>
    <row r="784" spans="1:8" x14ac:dyDescent="0.25">
      <c r="A784" s="127">
        <v>44811</v>
      </c>
      <c r="B784" s="128" t="s">
        <v>28821</v>
      </c>
      <c r="C784" s="194" t="s">
        <v>7313</v>
      </c>
      <c r="D784" s="195">
        <v>1050</v>
      </c>
      <c r="E784" s="196">
        <v>44811</v>
      </c>
      <c r="F784" s="195">
        <v>1050</v>
      </c>
      <c r="G784" s="197">
        <f>Tabla110[[#This Row],[Importe]]-Tabla110[[#This Row],[Pagado]]</f>
        <v>0</v>
      </c>
      <c r="H784" s="194" t="s">
        <v>10</v>
      </c>
    </row>
    <row r="785" spans="1:8" x14ac:dyDescent="0.25">
      <c r="A785" s="127">
        <v>44811</v>
      </c>
      <c r="B785" s="128" t="s">
        <v>28822</v>
      </c>
      <c r="C785" s="194" t="s">
        <v>612</v>
      </c>
      <c r="D785" s="195">
        <v>210</v>
      </c>
      <c r="E785" s="196">
        <v>44812</v>
      </c>
      <c r="F785" s="195">
        <v>210</v>
      </c>
      <c r="G785" s="197">
        <f>Tabla110[[#This Row],[Importe]]-Tabla110[[#This Row],[Pagado]]</f>
        <v>0</v>
      </c>
      <c r="H785" s="194" t="s">
        <v>10</v>
      </c>
    </row>
    <row r="786" spans="1:8" x14ac:dyDescent="0.25">
      <c r="A786" s="127">
        <v>44812</v>
      </c>
      <c r="B786" s="128" t="s">
        <v>28823</v>
      </c>
      <c r="C786" s="194" t="s">
        <v>887</v>
      </c>
      <c r="D786" s="195">
        <v>15111.5</v>
      </c>
      <c r="E786" s="196">
        <v>44812</v>
      </c>
      <c r="F786" s="195">
        <v>15111.5</v>
      </c>
      <c r="G786" s="197">
        <f>Tabla110[[#This Row],[Importe]]-Tabla110[[#This Row],[Pagado]]</f>
        <v>0</v>
      </c>
      <c r="H786" s="194" t="s">
        <v>10</v>
      </c>
    </row>
    <row r="787" spans="1:8" x14ac:dyDescent="0.25">
      <c r="A787" s="127">
        <v>44812</v>
      </c>
      <c r="B787" s="128" t="s">
        <v>28824</v>
      </c>
      <c r="C787" s="194" t="s">
        <v>12</v>
      </c>
      <c r="D787" s="195">
        <v>13250.7</v>
      </c>
      <c r="E787" s="196">
        <v>44813</v>
      </c>
      <c r="F787" s="195">
        <v>13250.7</v>
      </c>
      <c r="G787" s="197">
        <f>Tabla110[[#This Row],[Importe]]-Tabla110[[#This Row],[Pagado]]</f>
        <v>0</v>
      </c>
      <c r="H787" s="194" t="s">
        <v>10</v>
      </c>
    </row>
    <row r="788" spans="1:8" x14ac:dyDescent="0.25">
      <c r="A788" s="127">
        <v>44812</v>
      </c>
      <c r="B788" s="128" t="s">
        <v>28825</v>
      </c>
      <c r="C788" s="194" t="s">
        <v>475</v>
      </c>
      <c r="D788" s="195">
        <v>76414</v>
      </c>
      <c r="E788" s="196">
        <v>44813</v>
      </c>
      <c r="F788" s="195">
        <v>76414</v>
      </c>
      <c r="G788" s="197">
        <f>Tabla110[[#This Row],[Importe]]-Tabla110[[#This Row],[Pagado]]</f>
        <v>0</v>
      </c>
      <c r="H788" s="194" t="s">
        <v>10</v>
      </c>
    </row>
    <row r="789" spans="1:8" x14ac:dyDescent="0.25">
      <c r="A789" s="127">
        <v>44812</v>
      </c>
      <c r="B789" s="128" t="s">
        <v>28826</v>
      </c>
      <c r="C789" s="194" t="s">
        <v>99</v>
      </c>
      <c r="D789" s="195">
        <v>3029.4</v>
      </c>
      <c r="E789" s="196">
        <v>44814</v>
      </c>
      <c r="F789" s="195">
        <v>3029.4</v>
      </c>
      <c r="G789" s="197">
        <f>Tabla110[[#This Row],[Importe]]-Tabla110[[#This Row],[Pagado]]</f>
        <v>0</v>
      </c>
      <c r="H789" s="194" t="s">
        <v>10</v>
      </c>
    </row>
    <row r="790" spans="1:8" x14ac:dyDescent="0.25">
      <c r="A790" s="127">
        <v>44812</v>
      </c>
      <c r="B790" s="128" t="s">
        <v>28827</v>
      </c>
      <c r="C790" s="194" t="s">
        <v>28828</v>
      </c>
      <c r="D790" s="195">
        <v>0</v>
      </c>
      <c r="E790" s="199" t="s">
        <v>189</v>
      </c>
      <c r="F790" s="195">
        <v>0</v>
      </c>
      <c r="G790" s="197">
        <f>Tabla110[[#This Row],[Importe]]-Tabla110[[#This Row],[Pagado]]</f>
        <v>0</v>
      </c>
      <c r="H790" s="200" t="s">
        <v>28829</v>
      </c>
    </row>
    <row r="791" spans="1:8" x14ac:dyDescent="0.25">
      <c r="A791" s="127">
        <v>44812</v>
      </c>
      <c r="B791" s="128" t="s">
        <v>28830</v>
      </c>
      <c r="C791" s="194" t="s">
        <v>89</v>
      </c>
      <c r="D791" s="195">
        <v>8124</v>
      </c>
      <c r="E791" s="196">
        <v>44813</v>
      </c>
      <c r="F791" s="195">
        <v>8124</v>
      </c>
      <c r="G791" s="197">
        <f>Tabla110[[#This Row],[Importe]]-Tabla110[[#This Row],[Pagado]]</f>
        <v>0</v>
      </c>
      <c r="H791" s="194" t="s">
        <v>10</v>
      </c>
    </row>
    <row r="792" spans="1:8" x14ac:dyDescent="0.25">
      <c r="A792" s="127">
        <v>44812</v>
      </c>
      <c r="B792" s="128" t="s">
        <v>28831</v>
      </c>
      <c r="C792" s="194" t="s">
        <v>1187</v>
      </c>
      <c r="D792" s="195">
        <v>961.3</v>
      </c>
      <c r="E792" s="196">
        <v>44812</v>
      </c>
      <c r="F792" s="195">
        <v>961.3</v>
      </c>
      <c r="G792" s="197">
        <f>Tabla110[[#This Row],[Importe]]-Tabla110[[#This Row],[Pagado]]</f>
        <v>0</v>
      </c>
      <c r="H792" s="194" t="s">
        <v>10</v>
      </c>
    </row>
    <row r="793" spans="1:8" x14ac:dyDescent="0.25">
      <c r="A793" s="127">
        <v>44812</v>
      </c>
      <c r="B793" s="128" t="s">
        <v>28832</v>
      </c>
      <c r="C793" s="194" t="s">
        <v>93</v>
      </c>
      <c r="D793" s="195">
        <v>10172.5</v>
      </c>
      <c r="E793" s="196">
        <v>44814</v>
      </c>
      <c r="F793" s="195">
        <v>10172.5</v>
      </c>
      <c r="G793" s="197">
        <f>Tabla110[[#This Row],[Importe]]-Tabla110[[#This Row],[Pagado]]</f>
        <v>0</v>
      </c>
      <c r="H793" s="194" t="s">
        <v>10</v>
      </c>
    </row>
    <row r="794" spans="1:8" x14ac:dyDescent="0.25">
      <c r="A794" s="127">
        <v>44812</v>
      </c>
      <c r="B794" s="128" t="s">
        <v>28833</v>
      </c>
      <c r="C794" s="194" t="s">
        <v>326</v>
      </c>
      <c r="D794" s="195">
        <v>2783</v>
      </c>
      <c r="E794" s="196">
        <v>44813</v>
      </c>
      <c r="F794" s="195">
        <v>2783</v>
      </c>
      <c r="G794" s="197">
        <f>Tabla110[[#This Row],[Importe]]-Tabla110[[#This Row],[Pagado]]</f>
        <v>0</v>
      </c>
      <c r="H794" s="194" t="s">
        <v>10</v>
      </c>
    </row>
    <row r="795" spans="1:8" x14ac:dyDescent="0.25">
      <c r="A795" s="127">
        <v>44812</v>
      </c>
      <c r="B795" s="128" t="s">
        <v>28834</v>
      </c>
      <c r="C795" s="194" t="s">
        <v>111</v>
      </c>
      <c r="D795" s="195">
        <v>5972.4</v>
      </c>
      <c r="E795" s="196">
        <v>44813</v>
      </c>
      <c r="F795" s="195">
        <v>5972.4</v>
      </c>
      <c r="G795" s="197">
        <f>Tabla110[[#This Row],[Importe]]-Tabla110[[#This Row],[Pagado]]</f>
        <v>0</v>
      </c>
      <c r="H795" s="194" t="s">
        <v>10</v>
      </c>
    </row>
    <row r="796" spans="1:8" x14ac:dyDescent="0.25">
      <c r="A796" s="127">
        <v>44812</v>
      </c>
      <c r="B796" s="128" t="s">
        <v>28835</v>
      </c>
      <c r="C796" s="194" t="s">
        <v>49</v>
      </c>
      <c r="D796" s="195">
        <v>3300</v>
      </c>
      <c r="E796" s="196">
        <v>44812</v>
      </c>
      <c r="F796" s="195">
        <v>3300</v>
      </c>
      <c r="G796" s="197">
        <f>Tabla110[[#This Row],[Importe]]-Tabla110[[#This Row],[Pagado]]</f>
        <v>0</v>
      </c>
      <c r="H796" s="194" t="s">
        <v>10</v>
      </c>
    </row>
    <row r="797" spans="1:8" ht="31.5" x14ac:dyDescent="0.25">
      <c r="A797" s="127">
        <v>44812</v>
      </c>
      <c r="B797" s="128" t="s">
        <v>28836</v>
      </c>
      <c r="C797" s="194" t="s">
        <v>39</v>
      </c>
      <c r="D797" s="195">
        <v>5245.5</v>
      </c>
      <c r="E797" s="198" t="s">
        <v>28837</v>
      </c>
      <c r="F797" s="195">
        <f>3000+2245.5</f>
        <v>5245.5</v>
      </c>
      <c r="G797" s="197">
        <f>Tabla110[[#This Row],[Importe]]-Tabla110[[#This Row],[Pagado]]</f>
        <v>0</v>
      </c>
      <c r="H797" s="194" t="s">
        <v>10</v>
      </c>
    </row>
    <row r="798" spans="1:8" x14ac:dyDescent="0.25">
      <c r="A798" s="127">
        <v>44812</v>
      </c>
      <c r="B798" s="128" t="s">
        <v>28838</v>
      </c>
      <c r="C798" s="194" t="s">
        <v>64</v>
      </c>
      <c r="D798" s="195">
        <v>5187</v>
      </c>
      <c r="E798" s="196">
        <v>44813</v>
      </c>
      <c r="F798" s="195">
        <v>5187</v>
      </c>
      <c r="G798" s="197">
        <f>Tabla110[[#This Row],[Importe]]-Tabla110[[#This Row],[Pagado]]</f>
        <v>0</v>
      </c>
      <c r="H798" s="194" t="s">
        <v>10</v>
      </c>
    </row>
    <row r="799" spans="1:8" x14ac:dyDescent="0.25">
      <c r="A799" s="127">
        <v>44812</v>
      </c>
      <c r="B799" s="128" t="s">
        <v>28839</v>
      </c>
      <c r="C799" s="194" t="s">
        <v>2151</v>
      </c>
      <c r="D799" s="195">
        <v>5499</v>
      </c>
      <c r="E799" s="196">
        <v>44812</v>
      </c>
      <c r="F799" s="195">
        <v>5499</v>
      </c>
      <c r="G799" s="197">
        <f>Tabla110[[#This Row],[Importe]]-Tabla110[[#This Row],[Pagado]]</f>
        <v>0</v>
      </c>
      <c r="H799" s="194" t="s">
        <v>10</v>
      </c>
    </row>
    <row r="800" spans="1:8" x14ac:dyDescent="0.25">
      <c r="A800" s="127">
        <v>44812</v>
      </c>
      <c r="B800" s="128" t="s">
        <v>28840</v>
      </c>
      <c r="C800" s="194" t="s">
        <v>97</v>
      </c>
      <c r="D800" s="195">
        <v>5018</v>
      </c>
      <c r="E800" s="196">
        <v>44813</v>
      </c>
      <c r="F800" s="195">
        <v>5018</v>
      </c>
      <c r="G800" s="197">
        <f>Tabla110[[#This Row],[Importe]]-Tabla110[[#This Row],[Pagado]]</f>
        <v>0</v>
      </c>
      <c r="H800" s="194" t="s">
        <v>10</v>
      </c>
    </row>
    <row r="801" spans="1:8" x14ac:dyDescent="0.25">
      <c r="A801" s="127">
        <v>44812</v>
      </c>
      <c r="B801" s="128" t="s">
        <v>28841</v>
      </c>
      <c r="C801" s="194" t="s">
        <v>60</v>
      </c>
      <c r="D801" s="195">
        <v>5739.5</v>
      </c>
      <c r="E801" s="196">
        <v>44814</v>
      </c>
      <c r="F801" s="195">
        <v>5739.5</v>
      </c>
      <c r="G801" s="197">
        <f>Tabla110[[#This Row],[Importe]]-Tabla110[[#This Row],[Pagado]]</f>
        <v>0</v>
      </c>
      <c r="H801" s="194" t="s">
        <v>10</v>
      </c>
    </row>
    <row r="802" spans="1:8" x14ac:dyDescent="0.25">
      <c r="A802" s="127">
        <v>44812</v>
      </c>
      <c r="B802" s="128" t="s">
        <v>28842</v>
      </c>
      <c r="C802" s="194" t="s">
        <v>22</v>
      </c>
      <c r="D802" s="195">
        <v>50509.5</v>
      </c>
      <c r="E802" s="196">
        <v>44813</v>
      </c>
      <c r="F802" s="195">
        <v>50509.5</v>
      </c>
      <c r="G802" s="197">
        <f>Tabla110[[#This Row],[Importe]]-Tabla110[[#This Row],[Pagado]]</f>
        <v>0</v>
      </c>
      <c r="H802" s="194" t="s">
        <v>10</v>
      </c>
    </row>
    <row r="803" spans="1:8" x14ac:dyDescent="0.25">
      <c r="A803" s="127">
        <v>44812</v>
      </c>
      <c r="B803" s="128" t="s">
        <v>28843</v>
      </c>
      <c r="C803" s="194" t="s">
        <v>39</v>
      </c>
      <c r="D803" s="195">
        <v>1352</v>
      </c>
      <c r="E803" s="196">
        <v>44812</v>
      </c>
      <c r="F803" s="195">
        <v>1352</v>
      </c>
      <c r="G803" s="197">
        <f>Tabla110[[#This Row],[Importe]]-Tabla110[[#This Row],[Pagado]]</f>
        <v>0</v>
      </c>
      <c r="H803" s="194" t="s">
        <v>10</v>
      </c>
    </row>
    <row r="804" spans="1:8" x14ac:dyDescent="0.25">
      <c r="A804" s="127">
        <v>44812</v>
      </c>
      <c r="B804" s="128" t="s">
        <v>28844</v>
      </c>
      <c r="C804" s="194" t="s">
        <v>450</v>
      </c>
      <c r="D804" s="195">
        <v>4447.5</v>
      </c>
      <c r="E804" s="196">
        <v>44812</v>
      </c>
      <c r="F804" s="195">
        <v>4447.5</v>
      </c>
      <c r="G804" s="197">
        <f>Tabla110[[#This Row],[Importe]]-Tabla110[[#This Row],[Pagado]]</f>
        <v>0</v>
      </c>
      <c r="H804" s="194" t="s">
        <v>10</v>
      </c>
    </row>
    <row r="805" spans="1:8" x14ac:dyDescent="0.25">
      <c r="A805" s="127">
        <v>44812</v>
      </c>
      <c r="B805" s="128" t="s">
        <v>28845</v>
      </c>
      <c r="C805" s="194" t="s">
        <v>9</v>
      </c>
      <c r="D805" s="195">
        <v>3880.8</v>
      </c>
      <c r="E805" s="196">
        <v>44812</v>
      </c>
      <c r="F805" s="195">
        <v>3880.8</v>
      </c>
      <c r="G805" s="197">
        <f>Tabla110[[#This Row],[Importe]]-Tabla110[[#This Row],[Pagado]]</f>
        <v>0</v>
      </c>
      <c r="H805" s="194" t="s">
        <v>10</v>
      </c>
    </row>
    <row r="806" spans="1:8" x14ac:dyDescent="0.25">
      <c r="A806" s="127">
        <v>44812</v>
      </c>
      <c r="B806" s="128" t="s">
        <v>28846</v>
      </c>
      <c r="C806" s="194" t="s">
        <v>131</v>
      </c>
      <c r="D806" s="195">
        <v>4791.5</v>
      </c>
      <c r="E806" s="196">
        <v>44812</v>
      </c>
      <c r="F806" s="195">
        <v>4791.5</v>
      </c>
      <c r="G806" s="197">
        <f>Tabla110[[#This Row],[Importe]]-Tabla110[[#This Row],[Pagado]]</f>
        <v>0</v>
      </c>
      <c r="H806" s="194" t="s">
        <v>10</v>
      </c>
    </row>
    <row r="807" spans="1:8" x14ac:dyDescent="0.25">
      <c r="A807" s="127">
        <v>44812</v>
      </c>
      <c r="B807" s="128" t="s">
        <v>28847</v>
      </c>
      <c r="C807" s="194" t="s">
        <v>135</v>
      </c>
      <c r="D807" s="195">
        <v>1421.2</v>
      </c>
      <c r="E807" s="196">
        <v>44812</v>
      </c>
      <c r="F807" s="195">
        <v>1421.2</v>
      </c>
      <c r="G807" s="197">
        <f>Tabla110[[#This Row],[Importe]]-Tabla110[[#This Row],[Pagado]]</f>
        <v>0</v>
      </c>
      <c r="H807" s="194" t="s">
        <v>10</v>
      </c>
    </row>
    <row r="808" spans="1:8" x14ac:dyDescent="0.25">
      <c r="A808" s="127">
        <v>44812</v>
      </c>
      <c r="B808" s="128" t="s">
        <v>28848</v>
      </c>
      <c r="C808" s="194" t="s">
        <v>31</v>
      </c>
      <c r="D808" s="195">
        <v>962.8</v>
      </c>
      <c r="E808" s="196">
        <v>44812</v>
      </c>
      <c r="F808" s="195">
        <v>962.8</v>
      </c>
      <c r="G808" s="197">
        <f>Tabla110[[#This Row],[Importe]]-Tabla110[[#This Row],[Pagado]]</f>
        <v>0</v>
      </c>
      <c r="H808" s="194" t="s">
        <v>10</v>
      </c>
    </row>
    <row r="809" spans="1:8" x14ac:dyDescent="0.25">
      <c r="A809" s="127">
        <v>44812</v>
      </c>
      <c r="B809" s="128" t="s">
        <v>28849</v>
      </c>
      <c r="C809" s="194" t="s">
        <v>31</v>
      </c>
      <c r="D809" s="195">
        <v>1341.6</v>
      </c>
      <c r="E809" s="196">
        <v>44812</v>
      </c>
      <c r="F809" s="195">
        <v>1341.6</v>
      </c>
      <c r="G809" s="197">
        <f>Tabla110[[#This Row],[Importe]]-Tabla110[[#This Row],[Pagado]]</f>
        <v>0</v>
      </c>
      <c r="H809" s="194" t="s">
        <v>10</v>
      </c>
    </row>
    <row r="810" spans="1:8" x14ac:dyDescent="0.25">
      <c r="A810" s="127">
        <v>44812</v>
      </c>
      <c r="B810" s="128" t="s">
        <v>28850</v>
      </c>
      <c r="C810" s="194" t="s">
        <v>647</v>
      </c>
      <c r="D810" s="195">
        <v>7533.5</v>
      </c>
      <c r="E810" s="196">
        <v>44812</v>
      </c>
      <c r="F810" s="195">
        <v>7533.5</v>
      </c>
      <c r="G810" s="197">
        <f>Tabla110[[#This Row],[Importe]]-Tabla110[[#This Row],[Pagado]]</f>
        <v>0</v>
      </c>
      <c r="H810" s="194" t="s">
        <v>10</v>
      </c>
    </row>
    <row r="811" spans="1:8" x14ac:dyDescent="0.25">
      <c r="A811" s="127">
        <v>44812</v>
      </c>
      <c r="B811" s="128" t="s">
        <v>28851</v>
      </c>
      <c r="C811" s="194" t="s">
        <v>17556</v>
      </c>
      <c r="D811" s="195">
        <v>5830</v>
      </c>
      <c r="E811" s="196">
        <v>44812</v>
      </c>
      <c r="F811" s="195">
        <v>5830</v>
      </c>
      <c r="G811" s="197">
        <f>Tabla110[[#This Row],[Importe]]-Tabla110[[#This Row],[Pagado]]</f>
        <v>0</v>
      </c>
      <c r="H811" s="194" t="s">
        <v>10</v>
      </c>
    </row>
    <row r="812" spans="1:8" x14ac:dyDescent="0.25">
      <c r="A812" s="127">
        <v>44812</v>
      </c>
      <c r="B812" s="128" t="s">
        <v>28852</v>
      </c>
      <c r="C812" s="194" t="s">
        <v>407</v>
      </c>
      <c r="D812" s="195">
        <v>23184</v>
      </c>
      <c r="E812" s="196">
        <v>44820</v>
      </c>
      <c r="F812" s="195">
        <v>23184</v>
      </c>
      <c r="G812" s="197">
        <f>Tabla110[[#This Row],[Importe]]-Tabla110[[#This Row],[Pagado]]</f>
        <v>0</v>
      </c>
      <c r="H812" s="194" t="s">
        <v>10</v>
      </c>
    </row>
    <row r="813" spans="1:8" x14ac:dyDescent="0.25">
      <c r="A813" s="127">
        <v>44812</v>
      </c>
      <c r="B813" s="128" t="s">
        <v>28853</v>
      </c>
      <c r="C813" s="194" t="s">
        <v>875</v>
      </c>
      <c r="D813" s="195">
        <v>54532.3</v>
      </c>
      <c r="E813" s="196">
        <v>44812</v>
      </c>
      <c r="F813" s="195">
        <v>54532.3</v>
      </c>
      <c r="G813" s="197">
        <f>Tabla110[[#This Row],[Importe]]-Tabla110[[#This Row],[Pagado]]</f>
        <v>0</v>
      </c>
      <c r="H813" s="194" t="s">
        <v>10</v>
      </c>
    </row>
    <row r="814" spans="1:8" x14ac:dyDescent="0.25">
      <c r="A814" s="127">
        <v>44812</v>
      </c>
      <c r="B814" s="128" t="s">
        <v>28854</v>
      </c>
      <c r="C814" s="194" t="s">
        <v>618</v>
      </c>
      <c r="D814" s="195">
        <v>10502.1</v>
      </c>
      <c r="E814" s="196">
        <v>44812</v>
      </c>
      <c r="F814" s="195">
        <v>10502.1</v>
      </c>
      <c r="G814" s="197">
        <f>Tabla110[[#This Row],[Importe]]-Tabla110[[#This Row],[Pagado]]</f>
        <v>0</v>
      </c>
      <c r="H814" s="194" t="s">
        <v>10</v>
      </c>
    </row>
    <row r="815" spans="1:8" x14ac:dyDescent="0.25">
      <c r="A815" s="127">
        <v>44812</v>
      </c>
      <c r="B815" s="128" t="s">
        <v>28855</v>
      </c>
      <c r="C815" s="194" t="s">
        <v>27</v>
      </c>
      <c r="D815" s="195">
        <v>1633.2</v>
      </c>
      <c r="E815" s="196">
        <v>44812</v>
      </c>
      <c r="F815" s="195">
        <v>1633.2</v>
      </c>
      <c r="G815" s="197">
        <f>Tabla110[[#This Row],[Importe]]-Tabla110[[#This Row],[Pagado]]</f>
        <v>0</v>
      </c>
      <c r="H815" s="194" t="s">
        <v>10</v>
      </c>
    </row>
    <row r="816" spans="1:8" x14ac:dyDescent="0.25">
      <c r="A816" s="127">
        <v>44812</v>
      </c>
      <c r="B816" s="128" t="s">
        <v>28856</v>
      </c>
      <c r="C816" s="194" t="s">
        <v>518</v>
      </c>
      <c r="D816" s="195">
        <v>5291.7</v>
      </c>
      <c r="E816" s="196">
        <v>44812</v>
      </c>
      <c r="F816" s="195">
        <v>5291.7</v>
      </c>
      <c r="G816" s="197">
        <f>Tabla110[[#This Row],[Importe]]-Tabla110[[#This Row],[Pagado]]</f>
        <v>0</v>
      </c>
      <c r="H816" s="194" t="s">
        <v>10</v>
      </c>
    </row>
    <row r="817" spans="1:8" x14ac:dyDescent="0.25">
      <c r="A817" s="127">
        <v>44812</v>
      </c>
      <c r="B817" s="128" t="s">
        <v>28857</v>
      </c>
      <c r="C817" s="194" t="s">
        <v>31</v>
      </c>
      <c r="D817" s="195">
        <v>446.4</v>
      </c>
      <c r="E817" s="196">
        <v>44812</v>
      </c>
      <c r="F817" s="195">
        <v>446.4</v>
      </c>
      <c r="G817" s="197">
        <f>Tabla110[[#This Row],[Importe]]-Tabla110[[#This Row],[Pagado]]</f>
        <v>0</v>
      </c>
      <c r="H817" s="194" t="s">
        <v>10</v>
      </c>
    </row>
    <row r="818" spans="1:8" x14ac:dyDescent="0.25">
      <c r="A818" s="127">
        <v>44812</v>
      </c>
      <c r="B818" s="128" t="s">
        <v>28858</v>
      </c>
      <c r="C818" s="194" t="s">
        <v>87</v>
      </c>
      <c r="D818" s="195">
        <v>2379.1999999999998</v>
      </c>
      <c r="E818" s="196">
        <v>44812</v>
      </c>
      <c r="F818" s="195">
        <v>2379.1999999999998</v>
      </c>
      <c r="G818" s="197">
        <f>Tabla110[[#This Row],[Importe]]-Tabla110[[#This Row],[Pagado]]</f>
        <v>0</v>
      </c>
      <c r="H818" s="194" t="s">
        <v>10</v>
      </c>
    </row>
    <row r="819" spans="1:8" x14ac:dyDescent="0.25">
      <c r="A819" s="127">
        <v>44812</v>
      </c>
      <c r="B819" s="128" t="s">
        <v>28859</v>
      </c>
      <c r="C819" s="194" t="s">
        <v>83</v>
      </c>
      <c r="D819" s="195">
        <v>9784</v>
      </c>
      <c r="E819" s="196">
        <v>44812</v>
      </c>
      <c r="F819" s="195">
        <v>9784</v>
      </c>
      <c r="G819" s="197">
        <f>Tabla110[[#This Row],[Importe]]-Tabla110[[#This Row],[Pagado]]</f>
        <v>0</v>
      </c>
      <c r="H819" s="194" t="s">
        <v>10</v>
      </c>
    </row>
    <row r="820" spans="1:8" x14ac:dyDescent="0.25">
      <c r="A820" s="127">
        <v>44812</v>
      </c>
      <c r="B820" s="128" t="s">
        <v>28860</v>
      </c>
      <c r="C820" s="194" t="s">
        <v>226</v>
      </c>
      <c r="D820" s="195">
        <v>4372</v>
      </c>
      <c r="E820" s="196">
        <v>44812</v>
      </c>
      <c r="F820" s="195">
        <v>4372</v>
      </c>
      <c r="G820" s="197">
        <f>Tabla110[[#This Row],[Importe]]-Tabla110[[#This Row],[Pagado]]</f>
        <v>0</v>
      </c>
      <c r="H820" s="194" t="s">
        <v>10</v>
      </c>
    </row>
    <row r="821" spans="1:8" x14ac:dyDescent="0.25">
      <c r="A821" s="127">
        <v>44812</v>
      </c>
      <c r="B821" s="128" t="s">
        <v>28861</v>
      </c>
      <c r="C821" s="194" t="s">
        <v>28087</v>
      </c>
      <c r="D821" s="195">
        <v>186934.91</v>
      </c>
      <c r="E821" s="196">
        <v>44893</v>
      </c>
      <c r="F821" s="195">
        <v>186934.91</v>
      </c>
      <c r="G821" s="197">
        <f>Tabla110[[#This Row],[Importe]]-Tabla110[[#This Row],[Pagado]]</f>
        <v>0</v>
      </c>
      <c r="H821" s="78" t="s">
        <v>17776</v>
      </c>
    </row>
    <row r="822" spans="1:8" x14ac:dyDescent="0.25">
      <c r="A822" s="127">
        <v>44812</v>
      </c>
      <c r="B822" s="128" t="s">
        <v>28862</v>
      </c>
      <c r="C822" s="194" t="s">
        <v>5126</v>
      </c>
      <c r="D822" s="195">
        <v>93417.8</v>
      </c>
      <c r="E822" s="196">
        <v>44812</v>
      </c>
      <c r="F822" s="195">
        <v>93417.8</v>
      </c>
      <c r="G822" s="197">
        <f>Tabla110[[#This Row],[Importe]]-Tabla110[[#This Row],[Pagado]]</f>
        <v>0</v>
      </c>
      <c r="H822" s="194" t="s">
        <v>10</v>
      </c>
    </row>
    <row r="823" spans="1:8" x14ac:dyDescent="0.25">
      <c r="A823" s="127">
        <v>44812</v>
      </c>
      <c r="B823" s="128" t="s">
        <v>28863</v>
      </c>
      <c r="C823" s="194" t="s">
        <v>151</v>
      </c>
      <c r="D823" s="195">
        <v>13266</v>
      </c>
      <c r="E823" s="196">
        <v>44812</v>
      </c>
      <c r="F823" s="195">
        <v>13266</v>
      </c>
      <c r="G823" s="197">
        <f>Tabla110[[#This Row],[Importe]]-Tabla110[[#This Row],[Pagado]]</f>
        <v>0</v>
      </c>
      <c r="H823" s="194" t="s">
        <v>10</v>
      </c>
    </row>
    <row r="824" spans="1:8" x14ac:dyDescent="0.25">
      <c r="A824" s="127">
        <v>44812</v>
      </c>
      <c r="B824" s="128" t="s">
        <v>28864</v>
      </c>
      <c r="C824" s="194" t="s">
        <v>226</v>
      </c>
      <c r="D824" s="195">
        <v>16655.2</v>
      </c>
      <c r="E824" s="196">
        <v>44812</v>
      </c>
      <c r="F824" s="195">
        <v>16655.2</v>
      </c>
      <c r="G824" s="197">
        <f>Tabla110[[#This Row],[Importe]]-Tabla110[[#This Row],[Pagado]]</f>
        <v>0</v>
      </c>
      <c r="H824" s="194" t="s">
        <v>10</v>
      </c>
    </row>
    <row r="825" spans="1:8" x14ac:dyDescent="0.25">
      <c r="A825" s="127">
        <v>44812</v>
      </c>
      <c r="B825" s="128" t="s">
        <v>28865</v>
      </c>
      <c r="C825" s="194" t="s">
        <v>53</v>
      </c>
      <c r="D825" s="195">
        <v>3315.2</v>
      </c>
      <c r="E825" s="196">
        <v>44812</v>
      </c>
      <c r="F825" s="195">
        <v>3315.2</v>
      </c>
      <c r="G825" s="197">
        <f>Tabla110[[#This Row],[Importe]]-Tabla110[[#This Row],[Pagado]]</f>
        <v>0</v>
      </c>
      <c r="H825" s="194" t="s">
        <v>10</v>
      </c>
    </row>
    <row r="826" spans="1:8" x14ac:dyDescent="0.25">
      <c r="A826" s="127">
        <v>44812</v>
      </c>
      <c r="B826" s="128" t="s">
        <v>28866</v>
      </c>
      <c r="C826" s="194" t="s">
        <v>151</v>
      </c>
      <c r="D826" s="195">
        <v>1316.7</v>
      </c>
      <c r="E826" s="196">
        <v>44812</v>
      </c>
      <c r="F826" s="195">
        <v>1316.7</v>
      </c>
      <c r="G826" s="197">
        <f>Tabla110[[#This Row],[Importe]]-Tabla110[[#This Row],[Pagado]]</f>
        <v>0</v>
      </c>
      <c r="H826" s="194" t="s">
        <v>10</v>
      </c>
    </row>
    <row r="827" spans="1:8" x14ac:dyDescent="0.25">
      <c r="A827" s="127">
        <v>44812</v>
      </c>
      <c r="B827" s="128" t="s">
        <v>28867</v>
      </c>
      <c r="C827" s="194" t="s">
        <v>333</v>
      </c>
      <c r="D827" s="195">
        <v>1248</v>
      </c>
      <c r="E827" s="196">
        <v>44812</v>
      </c>
      <c r="F827" s="195">
        <v>1248</v>
      </c>
      <c r="G827" s="197">
        <f>Tabla110[[#This Row],[Importe]]-Tabla110[[#This Row],[Pagado]]</f>
        <v>0</v>
      </c>
      <c r="H827" s="194" t="s">
        <v>10</v>
      </c>
    </row>
    <row r="828" spans="1:8" x14ac:dyDescent="0.25">
      <c r="A828" s="127">
        <v>44812</v>
      </c>
      <c r="B828" s="128" t="s">
        <v>28868</v>
      </c>
      <c r="C828" s="194" t="s">
        <v>45</v>
      </c>
      <c r="D828" s="195">
        <v>15025.4</v>
      </c>
      <c r="E828" s="196">
        <v>44812</v>
      </c>
      <c r="F828" s="195">
        <v>15025.4</v>
      </c>
      <c r="G828" s="197">
        <f>Tabla110[[#This Row],[Importe]]-Tabla110[[#This Row],[Pagado]]</f>
        <v>0</v>
      </c>
      <c r="H828" s="194" t="s">
        <v>10</v>
      </c>
    </row>
    <row r="829" spans="1:8" x14ac:dyDescent="0.25">
      <c r="A829" s="127">
        <v>44812</v>
      </c>
      <c r="B829" s="128" t="s">
        <v>28869</v>
      </c>
      <c r="C829" s="194" t="s">
        <v>357</v>
      </c>
      <c r="D829" s="195">
        <v>1310.4000000000001</v>
      </c>
      <c r="E829" s="196">
        <v>44812</v>
      </c>
      <c r="F829" s="195">
        <v>1310.4000000000001</v>
      </c>
      <c r="G829" s="197">
        <f>Tabla110[[#This Row],[Importe]]-Tabla110[[#This Row],[Pagado]]</f>
        <v>0</v>
      </c>
      <c r="H829" s="194" t="s">
        <v>10</v>
      </c>
    </row>
    <row r="830" spans="1:8" x14ac:dyDescent="0.25">
      <c r="A830" s="127">
        <v>44812</v>
      </c>
      <c r="B830" s="128" t="s">
        <v>28870</v>
      </c>
      <c r="C830" s="194" t="s">
        <v>222</v>
      </c>
      <c r="D830" s="195">
        <v>10045.700000000001</v>
      </c>
      <c r="E830" s="196">
        <v>44812</v>
      </c>
      <c r="F830" s="195">
        <v>10045.700000000001</v>
      </c>
      <c r="G830" s="197">
        <f>Tabla110[[#This Row],[Importe]]-Tabla110[[#This Row],[Pagado]]</f>
        <v>0</v>
      </c>
      <c r="H830" s="194" t="s">
        <v>10</v>
      </c>
    </row>
    <row r="831" spans="1:8" x14ac:dyDescent="0.25">
      <c r="A831" s="127">
        <v>44812</v>
      </c>
      <c r="B831" s="128" t="s">
        <v>28871</v>
      </c>
      <c r="C831" s="194" t="s">
        <v>140</v>
      </c>
      <c r="D831" s="195">
        <v>4652.8</v>
      </c>
      <c r="E831" s="196">
        <v>44812</v>
      </c>
      <c r="F831" s="195">
        <v>4652.8</v>
      </c>
      <c r="G831" s="197">
        <f>Tabla110[[#This Row],[Importe]]-Tabla110[[#This Row],[Pagado]]</f>
        <v>0</v>
      </c>
      <c r="H831" s="194" t="s">
        <v>10</v>
      </c>
    </row>
    <row r="832" spans="1:8" x14ac:dyDescent="0.25">
      <c r="A832" s="127">
        <v>44812</v>
      </c>
      <c r="B832" s="128" t="s">
        <v>28872</v>
      </c>
      <c r="C832" s="194" t="s">
        <v>339</v>
      </c>
      <c r="D832" s="195">
        <v>756.6</v>
      </c>
      <c r="E832" s="196">
        <v>44812</v>
      </c>
      <c r="F832" s="195">
        <v>756.6</v>
      </c>
      <c r="G832" s="197">
        <f>Tabla110[[#This Row],[Importe]]-Tabla110[[#This Row],[Pagado]]</f>
        <v>0</v>
      </c>
      <c r="H832" s="194" t="s">
        <v>10</v>
      </c>
    </row>
    <row r="833" spans="1:8" x14ac:dyDescent="0.25">
      <c r="A833" s="127">
        <v>44812</v>
      </c>
      <c r="B833" s="128" t="s">
        <v>28873</v>
      </c>
      <c r="C833" s="194" t="s">
        <v>129</v>
      </c>
      <c r="D833" s="195">
        <v>2098.1999999999998</v>
      </c>
      <c r="E833" s="196">
        <v>44812</v>
      </c>
      <c r="F833" s="195">
        <v>2098.1999999999998</v>
      </c>
      <c r="G833" s="197">
        <f>Tabla110[[#This Row],[Importe]]-Tabla110[[#This Row],[Pagado]]</f>
        <v>0</v>
      </c>
      <c r="H833" s="194" t="s">
        <v>10</v>
      </c>
    </row>
    <row r="834" spans="1:8" x14ac:dyDescent="0.25">
      <c r="A834" s="127">
        <v>44812</v>
      </c>
      <c r="B834" s="128" t="s">
        <v>28874</v>
      </c>
      <c r="C834" s="194" t="s">
        <v>127</v>
      </c>
      <c r="D834" s="195">
        <v>2238.6</v>
      </c>
      <c r="E834" s="196">
        <v>44812</v>
      </c>
      <c r="F834" s="195">
        <v>2238.6</v>
      </c>
      <c r="G834" s="197">
        <f>Tabla110[[#This Row],[Importe]]-Tabla110[[#This Row],[Pagado]]</f>
        <v>0</v>
      </c>
      <c r="H834" s="194" t="s">
        <v>10</v>
      </c>
    </row>
    <row r="835" spans="1:8" x14ac:dyDescent="0.25">
      <c r="A835" s="127">
        <v>44812</v>
      </c>
      <c r="B835" s="128" t="s">
        <v>28875</v>
      </c>
      <c r="C835" s="194" t="s">
        <v>37</v>
      </c>
      <c r="D835" s="195">
        <v>3876.8</v>
      </c>
      <c r="E835" s="196">
        <v>44812</v>
      </c>
      <c r="F835" s="195">
        <v>3876.8</v>
      </c>
      <c r="G835" s="197">
        <f>Tabla110[[#This Row],[Importe]]-Tabla110[[#This Row],[Pagado]]</f>
        <v>0</v>
      </c>
      <c r="H835" s="194" t="s">
        <v>10</v>
      </c>
    </row>
    <row r="836" spans="1:8" x14ac:dyDescent="0.25">
      <c r="A836" s="127">
        <v>44812</v>
      </c>
      <c r="B836" s="128" t="s">
        <v>28876</v>
      </c>
      <c r="C836" s="194" t="s">
        <v>222</v>
      </c>
      <c r="D836" s="195">
        <v>325</v>
      </c>
      <c r="E836" s="196">
        <v>44812</v>
      </c>
      <c r="F836" s="195">
        <v>325</v>
      </c>
      <c r="G836" s="197">
        <f>Tabla110[[#This Row],[Importe]]-Tabla110[[#This Row],[Pagado]]</f>
        <v>0</v>
      </c>
      <c r="H836" s="194" t="s">
        <v>10</v>
      </c>
    </row>
    <row r="837" spans="1:8" x14ac:dyDescent="0.25">
      <c r="A837" s="127">
        <v>44812</v>
      </c>
      <c r="B837" s="128" t="s">
        <v>28877</v>
      </c>
      <c r="C837" s="194" t="s">
        <v>698</v>
      </c>
      <c r="D837" s="195">
        <v>8647</v>
      </c>
      <c r="E837" s="196">
        <v>44812</v>
      </c>
      <c r="F837" s="195">
        <v>8647</v>
      </c>
      <c r="G837" s="197">
        <f>Tabla110[[#This Row],[Importe]]-Tabla110[[#This Row],[Pagado]]</f>
        <v>0</v>
      </c>
      <c r="H837" s="194" t="s">
        <v>10</v>
      </c>
    </row>
    <row r="838" spans="1:8" x14ac:dyDescent="0.25">
      <c r="A838" s="127">
        <v>44812</v>
      </c>
      <c r="B838" s="128" t="s">
        <v>28878</v>
      </c>
      <c r="C838" s="194" t="s">
        <v>1362</v>
      </c>
      <c r="D838" s="195">
        <v>8075.4</v>
      </c>
      <c r="E838" s="196">
        <v>44812</v>
      </c>
      <c r="F838" s="195">
        <v>8075.4</v>
      </c>
      <c r="G838" s="197">
        <f>Tabla110[[#This Row],[Importe]]-Tabla110[[#This Row],[Pagado]]</f>
        <v>0</v>
      </c>
      <c r="H838" s="194" t="s">
        <v>10</v>
      </c>
    </row>
    <row r="839" spans="1:8" x14ac:dyDescent="0.25">
      <c r="A839" s="127">
        <v>44812</v>
      </c>
      <c r="B839" s="128" t="s">
        <v>28879</v>
      </c>
      <c r="C839" s="194" t="s">
        <v>146</v>
      </c>
      <c r="D839" s="195">
        <v>5350.8</v>
      </c>
      <c r="E839" s="196">
        <v>44812</v>
      </c>
      <c r="F839" s="195">
        <v>5350.8</v>
      </c>
      <c r="G839" s="197">
        <f>Tabla110[[#This Row],[Importe]]-Tabla110[[#This Row],[Pagado]]</f>
        <v>0</v>
      </c>
      <c r="H839" s="194" t="s">
        <v>10</v>
      </c>
    </row>
    <row r="840" spans="1:8" x14ac:dyDescent="0.25">
      <c r="A840" s="127">
        <v>44812</v>
      </c>
      <c r="B840" s="128" t="s">
        <v>28880</v>
      </c>
      <c r="C840" s="194" t="s">
        <v>31</v>
      </c>
      <c r="D840" s="195">
        <v>1281.5</v>
      </c>
      <c r="E840" s="196">
        <v>44812</v>
      </c>
      <c r="F840" s="195">
        <v>1281.5</v>
      </c>
      <c r="G840" s="197">
        <f>Tabla110[[#This Row],[Importe]]-Tabla110[[#This Row],[Pagado]]</f>
        <v>0</v>
      </c>
      <c r="H840" s="194" t="s">
        <v>10</v>
      </c>
    </row>
    <row r="841" spans="1:8" x14ac:dyDescent="0.25">
      <c r="A841" s="127">
        <v>44812</v>
      </c>
      <c r="B841" s="128" t="s">
        <v>28881</v>
      </c>
      <c r="C841" s="194" t="s">
        <v>191</v>
      </c>
      <c r="D841" s="195">
        <v>2160</v>
      </c>
      <c r="E841" s="196">
        <v>44812</v>
      </c>
      <c r="F841" s="195">
        <v>2160</v>
      </c>
      <c r="G841" s="197">
        <f>Tabla110[[#This Row],[Importe]]-Tabla110[[#This Row],[Pagado]]</f>
        <v>0</v>
      </c>
      <c r="H841" s="194" t="s">
        <v>10</v>
      </c>
    </row>
    <row r="842" spans="1:8" x14ac:dyDescent="0.25">
      <c r="A842" s="127">
        <v>44812</v>
      </c>
      <c r="B842" s="128" t="s">
        <v>28882</v>
      </c>
      <c r="C842" s="194" t="s">
        <v>994</v>
      </c>
      <c r="D842" s="195">
        <v>5517.2</v>
      </c>
      <c r="E842" s="196">
        <v>44812</v>
      </c>
      <c r="F842" s="195">
        <v>5517.2</v>
      </c>
      <c r="G842" s="197">
        <f>Tabla110[[#This Row],[Importe]]-Tabla110[[#This Row],[Pagado]]</f>
        <v>0</v>
      </c>
      <c r="H842" s="194" t="s">
        <v>10</v>
      </c>
    </row>
    <row r="843" spans="1:8" x14ac:dyDescent="0.25">
      <c r="A843" s="127">
        <v>44812</v>
      </c>
      <c r="B843" s="128" t="s">
        <v>28883</v>
      </c>
      <c r="C843" s="194" t="s">
        <v>58</v>
      </c>
      <c r="D843" s="195">
        <v>2678.5</v>
      </c>
      <c r="E843" s="196">
        <v>44812</v>
      </c>
      <c r="F843" s="195">
        <v>2678.5</v>
      </c>
      <c r="G843" s="197">
        <f>Tabla110[[#This Row],[Importe]]-Tabla110[[#This Row],[Pagado]]</f>
        <v>0</v>
      </c>
      <c r="H843" s="194" t="s">
        <v>10</v>
      </c>
    </row>
    <row r="844" spans="1:8" x14ac:dyDescent="0.25">
      <c r="A844" s="127">
        <v>44812</v>
      </c>
      <c r="B844" s="128" t="s">
        <v>28884</v>
      </c>
      <c r="C844" s="194" t="s">
        <v>56</v>
      </c>
      <c r="D844" s="195">
        <v>2737.8</v>
      </c>
      <c r="E844" s="196">
        <v>44812</v>
      </c>
      <c r="F844" s="195">
        <v>2737.8</v>
      </c>
      <c r="G844" s="197">
        <f>Tabla110[[#This Row],[Importe]]-Tabla110[[#This Row],[Pagado]]</f>
        <v>0</v>
      </c>
      <c r="H844" s="194" t="s">
        <v>10</v>
      </c>
    </row>
    <row r="845" spans="1:8" x14ac:dyDescent="0.25">
      <c r="A845" s="127">
        <v>44812</v>
      </c>
      <c r="B845" s="128" t="s">
        <v>28885</v>
      </c>
      <c r="C845" s="194" t="s">
        <v>214</v>
      </c>
      <c r="D845" s="195">
        <v>7333.4</v>
      </c>
      <c r="E845" s="196">
        <v>44812</v>
      </c>
      <c r="F845" s="195">
        <v>7333.4</v>
      </c>
      <c r="G845" s="197">
        <f>Tabla110[[#This Row],[Importe]]-Tabla110[[#This Row],[Pagado]]</f>
        <v>0</v>
      </c>
      <c r="H845" s="194" t="s">
        <v>10</v>
      </c>
    </row>
    <row r="846" spans="1:8" x14ac:dyDescent="0.25">
      <c r="A846" s="127">
        <v>44812</v>
      </c>
      <c r="B846" s="128" t="s">
        <v>28886</v>
      </c>
      <c r="C846" s="194" t="s">
        <v>107</v>
      </c>
      <c r="D846" s="195">
        <v>5720</v>
      </c>
      <c r="E846" s="196">
        <v>44812</v>
      </c>
      <c r="F846" s="195">
        <v>5720</v>
      </c>
      <c r="G846" s="197">
        <f>Tabla110[[#This Row],[Importe]]-Tabla110[[#This Row],[Pagado]]</f>
        <v>0</v>
      </c>
      <c r="H846" s="194" t="s">
        <v>10</v>
      </c>
    </row>
    <row r="847" spans="1:8" x14ac:dyDescent="0.25">
      <c r="A847" s="127">
        <v>44812</v>
      </c>
      <c r="B847" s="128" t="s">
        <v>28887</v>
      </c>
      <c r="C847" s="194" t="s">
        <v>196</v>
      </c>
      <c r="D847" s="195">
        <v>126371.9</v>
      </c>
      <c r="E847" s="196">
        <v>44819</v>
      </c>
      <c r="F847" s="195">
        <v>126371.9</v>
      </c>
      <c r="G847" s="197">
        <f>Tabla110[[#This Row],[Importe]]-Tabla110[[#This Row],[Pagado]]</f>
        <v>0</v>
      </c>
      <c r="H847" s="194" t="s">
        <v>10</v>
      </c>
    </row>
    <row r="848" spans="1:8" x14ac:dyDescent="0.25">
      <c r="A848" s="127">
        <v>44812</v>
      </c>
      <c r="B848" s="128" t="s">
        <v>28888</v>
      </c>
      <c r="C848" s="194" t="s">
        <v>24</v>
      </c>
      <c r="D848" s="195">
        <v>2575.1</v>
      </c>
      <c r="E848" s="196">
        <v>44812</v>
      </c>
      <c r="F848" s="195">
        <v>2575.1</v>
      </c>
      <c r="G848" s="197">
        <f>Tabla110[[#This Row],[Importe]]-Tabla110[[#This Row],[Pagado]]</f>
        <v>0</v>
      </c>
      <c r="H848" s="194" t="s">
        <v>10</v>
      </c>
    </row>
    <row r="849" spans="1:8" x14ac:dyDescent="0.25">
      <c r="A849" s="127">
        <v>44812</v>
      </c>
      <c r="B849" s="128" t="s">
        <v>28889</v>
      </c>
      <c r="C849" s="194" t="s">
        <v>228</v>
      </c>
      <c r="D849" s="195">
        <v>8948.2999999999993</v>
      </c>
      <c r="E849" s="196">
        <v>44812</v>
      </c>
      <c r="F849" s="195">
        <v>8948.2999999999993</v>
      </c>
      <c r="G849" s="197">
        <f>Tabla110[[#This Row],[Importe]]-Tabla110[[#This Row],[Pagado]]</f>
        <v>0</v>
      </c>
      <c r="H849" s="194" t="s">
        <v>10</v>
      </c>
    </row>
    <row r="850" spans="1:8" x14ac:dyDescent="0.25">
      <c r="A850" s="127">
        <v>44812</v>
      </c>
      <c r="B850" s="128" t="s">
        <v>28890</v>
      </c>
      <c r="C850" s="194" t="s">
        <v>24</v>
      </c>
      <c r="D850" s="195">
        <v>452</v>
      </c>
      <c r="E850" s="196">
        <v>44812</v>
      </c>
      <c r="F850" s="195">
        <v>452</v>
      </c>
      <c r="G850" s="197">
        <f>Tabla110[[#This Row],[Importe]]-Tabla110[[#This Row],[Pagado]]</f>
        <v>0</v>
      </c>
      <c r="H850" s="194" t="s">
        <v>10</v>
      </c>
    </row>
    <row r="851" spans="1:8" x14ac:dyDescent="0.25">
      <c r="A851" s="127">
        <v>44812</v>
      </c>
      <c r="B851" s="128" t="s">
        <v>28891</v>
      </c>
      <c r="C851" s="194" t="s">
        <v>29</v>
      </c>
      <c r="D851" s="195">
        <v>3600</v>
      </c>
      <c r="E851" s="196">
        <v>44812</v>
      </c>
      <c r="F851" s="195">
        <v>3600</v>
      </c>
      <c r="G851" s="197">
        <f>Tabla110[[#This Row],[Importe]]-Tabla110[[#This Row],[Pagado]]</f>
        <v>0</v>
      </c>
      <c r="H851" s="194" t="s">
        <v>10</v>
      </c>
    </row>
    <row r="852" spans="1:8" x14ac:dyDescent="0.25">
      <c r="A852" s="127">
        <v>44812</v>
      </c>
      <c r="B852" s="128" t="s">
        <v>28892</v>
      </c>
      <c r="C852" s="194" t="s">
        <v>216</v>
      </c>
      <c r="D852" s="195">
        <v>1368</v>
      </c>
      <c r="E852" s="196">
        <v>44812</v>
      </c>
      <c r="F852" s="195">
        <v>1368</v>
      </c>
      <c r="G852" s="197">
        <f>Tabla110[[#This Row],[Importe]]-Tabla110[[#This Row],[Pagado]]</f>
        <v>0</v>
      </c>
      <c r="H852" s="194" t="s">
        <v>10</v>
      </c>
    </row>
    <row r="853" spans="1:8" x14ac:dyDescent="0.25">
      <c r="A853" s="127">
        <v>44812</v>
      </c>
      <c r="B853" s="128" t="s">
        <v>28893</v>
      </c>
      <c r="C853" s="194" t="s">
        <v>79</v>
      </c>
      <c r="D853" s="195">
        <v>3916.8</v>
      </c>
      <c r="E853" s="196">
        <v>44813</v>
      </c>
      <c r="F853" s="195">
        <v>3916.8</v>
      </c>
      <c r="G853" s="197">
        <f>Tabla110[[#This Row],[Importe]]-Tabla110[[#This Row],[Pagado]]</f>
        <v>0</v>
      </c>
      <c r="H853" s="194" t="s">
        <v>10</v>
      </c>
    </row>
    <row r="854" spans="1:8" x14ac:dyDescent="0.25">
      <c r="A854" s="127">
        <v>44812</v>
      </c>
      <c r="B854" s="128" t="s">
        <v>28894</v>
      </c>
      <c r="C854" s="194" t="s">
        <v>16</v>
      </c>
      <c r="D854" s="195">
        <v>3157.4</v>
      </c>
      <c r="E854" s="196">
        <v>44812</v>
      </c>
      <c r="F854" s="195">
        <v>3157.4</v>
      </c>
      <c r="G854" s="197">
        <f>Tabla110[[#This Row],[Importe]]-Tabla110[[#This Row],[Pagado]]</f>
        <v>0</v>
      </c>
      <c r="H854" s="194" t="s">
        <v>10</v>
      </c>
    </row>
    <row r="855" spans="1:8" x14ac:dyDescent="0.25">
      <c r="A855" s="127">
        <v>44812</v>
      </c>
      <c r="B855" s="128" t="s">
        <v>28895</v>
      </c>
      <c r="C855" s="194" t="s">
        <v>365</v>
      </c>
      <c r="D855" s="195">
        <v>1285.2</v>
      </c>
      <c r="E855" s="196">
        <v>44812</v>
      </c>
      <c r="F855" s="195">
        <v>1285.2</v>
      </c>
      <c r="G855" s="197">
        <f>Tabla110[[#This Row],[Importe]]-Tabla110[[#This Row],[Pagado]]</f>
        <v>0</v>
      </c>
      <c r="H855" s="194" t="s">
        <v>10</v>
      </c>
    </row>
    <row r="856" spans="1:8" x14ac:dyDescent="0.25">
      <c r="A856" s="127">
        <v>44812</v>
      </c>
      <c r="B856" s="128" t="s">
        <v>28896</v>
      </c>
      <c r="C856" s="194" t="s">
        <v>5694</v>
      </c>
      <c r="D856" s="195">
        <v>3967.2</v>
      </c>
      <c r="E856" s="196">
        <v>44812</v>
      </c>
      <c r="F856" s="195">
        <v>3967.2</v>
      </c>
      <c r="G856" s="197">
        <f>Tabla110[[#This Row],[Importe]]-Tabla110[[#This Row],[Pagado]]</f>
        <v>0</v>
      </c>
      <c r="H856" s="194" t="s">
        <v>10</v>
      </c>
    </row>
    <row r="857" spans="1:8" x14ac:dyDescent="0.25">
      <c r="A857" s="127">
        <v>44812</v>
      </c>
      <c r="B857" s="128" t="s">
        <v>28897</v>
      </c>
      <c r="C857" s="194" t="s">
        <v>319</v>
      </c>
      <c r="D857" s="195">
        <v>14049.1</v>
      </c>
      <c r="E857" s="196">
        <v>44813</v>
      </c>
      <c r="F857" s="195">
        <v>14049.1</v>
      </c>
      <c r="G857" s="197">
        <f>Tabla110[[#This Row],[Importe]]-Tabla110[[#This Row],[Pagado]]</f>
        <v>0</v>
      </c>
      <c r="H857" s="194" t="s">
        <v>10</v>
      </c>
    </row>
    <row r="858" spans="1:8" x14ac:dyDescent="0.25">
      <c r="A858" s="127">
        <v>44812</v>
      </c>
      <c r="B858" s="128" t="s">
        <v>28898</v>
      </c>
      <c r="C858" s="194" t="s">
        <v>9827</v>
      </c>
      <c r="D858" s="195">
        <v>3571.2</v>
      </c>
      <c r="E858" s="196">
        <v>44812</v>
      </c>
      <c r="F858" s="195">
        <v>3571.2</v>
      </c>
      <c r="G858" s="197">
        <f>Tabla110[[#This Row],[Importe]]-Tabla110[[#This Row],[Pagado]]</f>
        <v>0</v>
      </c>
      <c r="H858" s="194" t="s">
        <v>10</v>
      </c>
    </row>
    <row r="859" spans="1:8" x14ac:dyDescent="0.25">
      <c r="A859" s="127">
        <v>44812</v>
      </c>
      <c r="B859" s="128" t="s">
        <v>28899</v>
      </c>
      <c r="C859" s="194" t="s">
        <v>214</v>
      </c>
      <c r="D859" s="195">
        <v>1634.4</v>
      </c>
      <c r="E859" s="196">
        <v>44812</v>
      </c>
      <c r="F859" s="195">
        <v>1634.4</v>
      </c>
      <c r="G859" s="197">
        <f>Tabla110[[#This Row],[Importe]]-Tabla110[[#This Row],[Pagado]]</f>
        <v>0</v>
      </c>
      <c r="H859" s="194" t="s">
        <v>10</v>
      </c>
    </row>
    <row r="860" spans="1:8" x14ac:dyDescent="0.25">
      <c r="A860" s="127">
        <v>44812</v>
      </c>
      <c r="B860" s="128" t="s">
        <v>28900</v>
      </c>
      <c r="C860" s="194" t="s">
        <v>518</v>
      </c>
      <c r="D860" s="195">
        <v>226.8</v>
      </c>
      <c r="E860" s="196">
        <v>44813</v>
      </c>
      <c r="F860" s="195">
        <v>226.8</v>
      </c>
      <c r="G860" s="197">
        <f>Tabla110[[#This Row],[Importe]]-Tabla110[[#This Row],[Pagado]]</f>
        <v>0</v>
      </c>
      <c r="H860" s="194" t="s">
        <v>10</v>
      </c>
    </row>
    <row r="861" spans="1:8" x14ac:dyDescent="0.25">
      <c r="A861" s="127">
        <v>44812</v>
      </c>
      <c r="B861" s="128" t="s">
        <v>28901</v>
      </c>
      <c r="C861" s="194" t="s">
        <v>934</v>
      </c>
      <c r="D861" s="195">
        <v>1050</v>
      </c>
      <c r="E861" s="196">
        <v>44813</v>
      </c>
      <c r="F861" s="195">
        <v>1050</v>
      </c>
      <c r="G861" s="197">
        <f>Tabla110[[#This Row],[Importe]]-Tabla110[[#This Row],[Pagado]]</f>
        <v>0</v>
      </c>
      <c r="H861" s="194" t="s">
        <v>10</v>
      </c>
    </row>
    <row r="862" spans="1:8" x14ac:dyDescent="0.25">
      <c r="A862" s="127">
        <v>44812</v>
      </c>
      <c r="B862" s="128" t="s">
        <v>28902</v>
      </c>
      <c r="C862" s="194" t="s">
        <v>518</v>
      </c>
      <c r="D862" s="195">
        <v>966</v>
      </c>
      <c r="E862" s="196">
        <v>44813</v>
      </c>
      <c r="F862" s="195">
        <v>966</v>
      </c>
      <c r="G862" s="197">
        <f>Tabla110[[#This Row],[Importe]]-Tabla110[[#This Row],[Pagado]]</f>
        <v>0</v>
      </c>
      <c r="H862" s="194" t="s">
        <v>10</v>
      </c>
    </row>
    <row r="863" spans="1:8" x14ac:dyDescent="0.25">
      <c r="A863" s="127">
        <v>44812</v>
      </c>
      <c r="B863" s="128" t="s">
        <v>28903</v>
      </c>
      <c r="C863" s="194" t="s">
        <v>31</v>
      </c>
      <c r="D863" s="195">
        <v>511.2</v>
      </c>
      <c r="E863" s="196">
        <v>44812</v>
      </c>
      <c r="F863" s="195">
        <v>511.2</v>
      </c>
      <c r="G863" s="197">
        <f>Tabla110[[#This Row],[Importe]]-Tabla110[[#This Row],[Pagado]]</f>
        <v>0</v>
      </c>
      <c r="H863" s="194" t="s">
        <v>10</v>
      </c>
    </row>
    <row r="864" spans="1:8" x14ac:dyDescent="0.25">
      <c r="A864" s="127">
        <v>44812</v>
      </c>
      <c r="B864" s="128" t="s">
        <v>28904</v>
      </c>
      <c r="C864" s="194" t="s">
        <v>966</v>
      </c>
      <c r="D864" s="195">
        <v>3190</v>
      </c>
      <c r="E864" s="196">
        <v>44813</v>
      </c>
      <c r="F864" s="195">
        <v>3190</v>
      </c>
      <c r="G864" s="197">
        <f>Tabla110[[#This Row],[Importe]]-Tabla110[[#This Row],[Pagado]]</f>
        <v>0</v>
      </c>
      <c r="H864" s="194" t="s">
        <v>10</v>
      </c>
    </row>
    <row r="865" spans="1:8" x14ac:dyDescent="0.25">
      <c r="A865" s="127">
        <v>44812</v>
      </c>
      <c r="B865" s="128" t="s">
        <v>28905</v>
      </c>
      <c r="C865" s="194" t="s">
        <v>520</v>
      </c>
      <c r="D865" s="195">
        <v>7902.8</v>
      </c>
      <c r="E865" s="196">
        <v>44813</v>
      </c>
      <c r="F865" s="195">
        <v>7902.8</v>
      </c>
      <c r="G865" s="197">
        <f>Tabla110[[#This Row],[Importe]]-Tabla110[[#This Row],[Pagado]]</f>
        <v>0</v>
      </c>
      <c r="H865" s="194" t="s">
        <v>10</v>
      </c>
    </row>
    <row r="866" spans="1:8" x14ac:dyDescent="0.25">
      <c r="A866" s="127">
        <v>44812</v>
      </c>
      <c r="B866" s="128" t="s">
        <v>28906</v>
      </c>
      <c r="C866" s="194" t="s">
        <v>67</v>
      </c>
      <c r="D866" s="195">
        <v>280.5</v>
      </c>
      <c r="E866" s="196">
        <v>44812</v>
      </c>
      <c r="F866" s="195">
        <v>280.5</v>
      </c>
      <c r="G866" s="197">
        <f>Tabla110[[#This Row],[Importe]]-Tabla110[[#This Row],[Pagado]]</f>
        <v>0</v>
      </c>
      <c r="H866" s="194" t="s">
        <v>10</v>
      </c>
    </row>
    <row r="867" spans="1:8" x14ac:dyDescent="0.25">
      <c r="A867" s="127">
        <v>44812</v>
      </c>
      <c r="B867" s="128" t="s">
        <v>28907</v>
      </c>
      <c r="C867" s="194" t="s">
        <v>159</v>
      </c>
      <c r="D867" s="195">
        <v>2703.8</v>
      </c>
      <c r="E867" s="196">
        <v>44813</v>
      </c>
      <c r="F867" s="195">
        <v>2703.8</v>
      </c>
      <c r="G867" s="197">
        <f>Tabla110[[#This Row],[Importe]]-Tabla110[[#This Row],[Pagado]]</f>
        <v>0</v>
      </c>
      <c r="H867" s="194" t="s">
        <v>10</v>
      </c>
    </row>
    <row r="868" spans="1:8" x14ac:dyDescent="0.25">
      <c r="A868" s="127">
        <v>44812</v>
      </c>
      <c r="B868" s="128" t="s">
        <v>28908</v>
      </c>
      <c r="C868" s="194" t="s">
        <v>157</v>
      </c>
      <c r="D868" s="195">
        <v>0</v>
      </c>
      <c r="E868" s="196" t="s">
        <v>4813</v>
      </c>
      <c r="F868" s="195">
        <v>0</v>
      </c>
      <c r="G868" s="197">
        <f>Tabla110[[#This Row],[Importe]]-Tabla110[[#This Row],[Pagado]]</f>
        <v>0</v>
      </c>
      <c r="H868" s="194" t="s">
        <v>189</v>
      </c>
    </row>
    <row r="869" spans="1:8" x14ac:dyDescent="0.25">
      <c r="A869" s="127">
        <v>44812</v>
      </c>
      <c r="B869" s="128" t="s">
        <v>28909</v>
      </c>
      <c r="C869" s="194" t="s">
        <v>31</v>
      </c>
      <c r="D869" s="195">
        <v>72</v>
      </c>
      <c r="E869" s="196">
        <v>44812</v>
      </c>
      <c r="F869" s="195">
        <v>72</v>
      </c>
      <c r="G869" s="197">
        <f>Tabla110[[#This Row],[Importe]]-Tabla110[[#This Row],[Pagado]]</f>
        <v>0</v>
      </c>
      <c r="H869" s="194" t="s">
        <v>10</v>
      </c>
    </row>
    <row r="870" spans="1:8" x14ac:dyDescent="0.25">
      <c r="A870" s="127">
        <v>44812</v>
      </c>
      <c r="B870" s="128" t="s">
        <v>28910</v>
      </c>
      <c r="C870" s="194" t="s">
        <v>10190</v>
      </c>
      <c r="D870" s="195">
        <v>21071.4</v>
      </c>
      <c r="E870" s="196">
        <v>44812</v>
      </c>
      <c r="F870" s="195">
        <v>21071.4</v>
      </c>
      <c r="G870" s="197">
        <f>Tabla110[[#This Row],[Importe]]-Tabla110[[#This Row],[Pagado]]</f>
        <v>0</v>
      </c>
      <c r="H870" s="194" t="s">
        <v>10</v>
      </c>
    </row>
    <row r="871" spans="1:8" x14ac:dyDescent="0.25">
      <c r="A871" s="127">
        <v>44812</v>
      </c>
      <c r="B871" s="128" t="s">
        <v>28911</v>
      </c>
      <c r="C871" s="194" t="s">
        <v>157</v>
      </c>
      <c r="D871" s="195">
        <v>7949.1</v>
      </c>
      <c r="E871" s="196">
        <v>44813</v>
      </c>
      <c r="F871" s="195">
        <v>7949.1</v>
      </c>
      <c r="G871" s="197">
        <f>Tabla110[[#This Row],[Importe]]-Tabla110[[#This Row],[Pagado]]</f>
        <v>0</v>
      </c>
      <c r="H871" s="194" t="s">
        <v>10</v>
      </c>
    </row>
    <row r="872" spans="1:8" x14ac:dyDescent="0.25">
      <c r="A872" s="127">
        <v>44812</v>
      </c>
      <c r="B872" s="128" t="s">
        <v>28912</v>
      </c>
      <c r="C872" s="194" t="s">
        <v>204</v>
      </c>
      <c r="D872" s="195">
        <v>3668.6</v>
      </c>
      <c r="E872" s="196">
        <v>44812</v>
      </c>
      <c r="F872" s="195">
        <v>3668.6</v>
      </c>
      <c r="G872" s="197">
        <f>Tabla110[[#This Row],[Importe]]-Tabla110[[#This Row],[Pagado]]</f>
        <v>0</v>
      </c>
      <c r="H872" s="194" t="s">
        <v>10</v>
      </c>
    </row>
    <row r="873" spans="1:8" x14ac:dyDescent="0.25">
      <c r="A873" s="127">
        <v>44812</v>
      </c>
      <c r="B873" s="128" t="s">
        <v>28913</v>
      </c>
      <c r="C873" s="194" t="s">
        <v>1558</v>
      </c>
      <c r="D873" s="195">
        <v>888</v>
      </c>
      <c r="E873" s="196">
        <v>44812</v>
      </c>
      <c r="F873" s="195">
        <v>888</v>
      </c>
      <c r="G873" s="197">
        <f>Tabla110[[#This Row],[Importe]]-Tabla110[[#This Row],[Pagado]]</f>
        <v>0</v>
      </c>
      <c r="H873" s="194" t="s">
        <v>10</v>
      </c>
    </row>
    <row r="874" spans="1:8" x14ac:dyDescent="0.25">
      <c r="A874" s="127">
        <v>44812</v>
      </c>
      <c r="B874" s="128" t="s">
        <v>28914</v>
      </c>
      <c r="C874" s="194" t="s">
        <v>402</v>
      </c>
      <c r="D874" s="195">
        <v>15642.5</v>
      </c>
      <c r="E874" s="196">
        <v>44820</v>
      </c>
      <c r="F874" s="195">
        <v>15642.5</v>
      </c>
      <c r="G874" s="197">
        <f>Tabla110[[#This Row],[Importe]]-Tabla110[[#This Row],[Pagado]]</f>
        <v>0</v>
      </c>
      <c r="H874" s="194" t="s">
        <v>10</v>
      </c>
    </row>
    <row r="875" spans="1:8" x14ac:dyDescent="0.25">
      <c r="A875" s="127">
        <v>44812</v>
      </c>
      <c r="B875" s="128" t="s">
        <v>28915</v>
      </c>
      <c r="C875" s="194" t="s">
        <v>407</v>
      </c>
      <c r="D875" s="195">
        <v>13760</v>
      </c>
      <c r="E875" s="196">
        <v>44820</v>
      </c>
      <c r="F875" s="195">
        <v>13760</v>
      </c>
      <c r="G875" s="197">
        <f>Tabla110[[#This Row],[Importe]]-Tabla110[[#This Row],[Pagado]]</f>
        <v>0</v>
      </c>
      <c r="H875" s="194" t="s">
        <v>10</v>
      </c>
    </row>
    <row r="876" spans="1:8" x14ac:dyDescent="0.25">
      <c r="A876" s="127">
        <v>44812</v>
      </c>
      <c r="B876" s="128" t="s">
        <v>28916</v>
      </c>
      <c r="C876" s="194" t="s">
        <v>31</v>
      </c>
      <c r="D876" s="195">
        <v>540</v>
      </c>
      <c r="E876" s="196">
        <v>44812</v>
      </c>
      <c r="F876" s="195">
        <v>540</v>
      </c>
      <c r="G876" s="197">
        <f>Tabla110[[#This Row],[Importe]]-Tabla110[[#This Row],[Pagado]]</f>
        <v>0</v>
      </c>
      <c r="H876" s="194" t="s">
        <v>10</v>
      </c>
    </row>
    <row r="877" spans="1:8" x14ac:dyDescent="0.25">
      <c r="A877" s="127">
        <v>44812</v>
      </c>
      <c r="B877" s="128" t="s">
        <v>28917</v>
      </c>
      <c r="C877" s="194" t="s">
        <v>28918</v>
      </c>
      <c r="D877" s="195">
        <v>0</v>
      </c>
      <c r="E877" s="199" t="s">
        <v>189</v>
      </c>
      <c r="F877" s="195">
        <v>0</v>
      </c>
      <c r="G877" s="197">
        <f>Tabla110[[#This Row],[Importe]]-Tabla110[[#This Row],[Pagado]]</f>
        <v>0</v>
      </c>
      <c r="H877" s="200" t="s">
        <v>28829</v>
      </c>
    </row>
    <row r="878" spans="1:8" x14ac:dyDescent="0.25">
      <c r="A878" s="127">
        <v>44812</v>
      </c>
      <c r="B878" s="128" t="s">
        <v>28919</v>
      </c>
      <c r="C878" s="194" t="s">
        <v>28920</v>
      </c>
      <c r="D878" s="195">
        <v>0</v>
      </c>
      <c r="E878" s="199" t="s">
        <v>189</v>
      </c>
      <c r="F878" s="195">
        <v>0</v>
      </c>
      <c r="G878" s="197">
        <f>Tabla110[[#This Row],[Importe]]-Tabla110[[#This Row],[Pagado]]</f>
        <v>0</v>
      </c>
      <c r="H878" s="200" t="s">
        <v>28921</v>
      </c>
    </row>
    <row r="879" spans="1:8" x14ac:dyDescent="0.25">
      <c r="A879" s="127">
        <v>44812</v>
      </c>
      <c r="B879" s="128" t="s">
        <v>28922</v>
      </c>
      <c r="C879" s="194" t="s">
        <v>9993</v>
      </c>
      <c r="D879" s="195">
        <v>55069.2</v>
      </c>
      <c r="E879" s="196">
        <v>44812</v>
      </c>
      <c r="F879" s="195">
        <v>55069.2</v>
      </c>
      <c r="G879" s="197">
        <f>Tabla110[[#This Row],[Importe]]-Tabla110[[#This Row],[Pagado]]</f>
        <v>0</v>
      </c>
      <c r="H879" s="194" t="s">
        <v>10</v>
      </c>
    </row>
    <row r="880" spans="1:8" x14ac:dyDescent="0.25">
      <c r="A880" s="127">
        <v>44812</v>
      </c>
      <c r="B880" s="128" t="s">
        <v>28923</v>
      </c>
      <c r="C880" s="194" t="s">
        <v>69</v>
      </c>
      <c r="D880" s="195">
        <v>1130.4000000000001</v>
      </c>
      <c r="E880" s="196">
        <v>44812</v>
      </c>
      <c r="F880" s="195">
        <v>1130.4000000000001</v>
      </c>
      <c r="G880" s="197">
        <f>Tabla110[[#This Row],[Importe]]-Tabla110[[#This Row],[Pagado]]</f>
        <v>0</v>
      </c>
      <c r="H880" s="194" t="s">
        <v>10</v>
      </c>
    </row>
    <row r="881" spans="1:8" x14ac:dyDescent="0.25">
      <c r="A881" s="127">
        <v>44812</v>
      </c>
      <c r="B881" s="128" t="s">
        <v>28924</v>
      </c>
      <c r="C881" s="194" t="s">
        <v>296</v>
      </c>
      <c r="D881" s="195">
        <v>2205.1999999999998</v>
      </c>
      <c r="E881" s="196">
        <v>44812</v>
      </c>
      <c r="F881" s="195">
        <v>2205.1999999999998</v>
      </c>
      <c r="G881" s="197">
        <f>Tabla110[[#This Row],[Importe]]-Tabla110[[#This Row],[Pagado]]</f>
        <v>0</v>
      </c>
      <c r="H881" s="194" t="s">
        <v>10</v>
      </c>
    </row>
    <row r="882" spans="1:8" x14ac:dyDescent="0.25">
      <c r="A882" s="127">
        <v>44812</v>
      </c>
      <c r="B882" s="128" t="s">
        <v>28925</v>
      </c>
      <c r="C882" s="194" t="s">
        <v>14</v>
      </c>
      <c r="D882" s="195">
        <v>6683</v>
      </c>
      <c r="E882" s="196">
        <v>44812</v>
      </c>
      <c r="F882" s="195">
        <v>6683</v>
      </c>
      <c r="G882" s="197">
        <f>Tabla110[[#This Row],[Importe]]-Tabla110[[#This Row],[Pagado]]</f>
        <v>0</v>
      </c>
      <c r="H882" s="194" t="s">
        <v>10</v>
      </c>
    </row>
    <row r="883" spans="1:8" x14ac:dyDescent="0.25">
      <c r="A883" s="127">
        <v>44812</v>
      </c>
      <c r="B883" s="128" t="s">
        <v>28926</v>
      </c>
      <c r="C883" s="194" t="s">
        <v>9993</v>
      </c>
      <c r="D883" s="195">
        <v>2748.6</v>
      </c>
      <c r="E883" s="196">
        <v>44812</v>
      </c>
      <c r="F883" s="195">
        <v>2748.6</v>
      </c>
      <c r="G883" s="197">
        <f>Tabla110[[#This Row],[Importe]]-Tabla110[[#This Row],[Pagado]]</f>
        <v>0</v>
      </c>
      <c r="H883" s="194" t="s">
        <v>10</v>
      </c>
    </row>
    <row r="884" spans="1:8" x14ac:dyDescent="0.25">
      <c r="A884" s="127">
        <v>44812</v>
      </c>
      <c r="B884" s="128" t="s">
        <v>28927</v>
      </c>
      <c r="C884" s="194" t="s">
        <v>20910</v>
      </c>
      <c r="D884" s="195">
        <v>0</v>
      </c>
      <c r="E884" s="199" t="s">
        <v>189</v>
      </c>
      <c r="F884" s="195">
        <v>0</v>
      </c>
      <c r="G884" s="197">
        <f>Tabla110[[#This Row],[Importe]]-Tabla110[[#This Row],[Pagado]]</f>
        <v>0</v>
      </c>
      <c r="H884" s="194" t="s">
        <v>189</v>
      </c>
    </row>
    <row r="885" spans="1:8" x14ac:dyDescent="0.25">
      <c r="A885" s="127">
        <v>44812</v>
      </c>
      <c r="B885" s="128" t="s">
        <v>28928</v>
      </c>
      <c r="C885" s="194" t="s">
        <v>31</v>
      </c>
      <c r="D885" s="195">
        <v>487.5</v>
      </c>
      <c r="E885" s="196">
        <v>44812</v>
      </c>
      <c r="F885" s="195">
        <v>487.5</v>
      </c>
      <c r="G885" s="197">
        <f>Tabla110[[#This Row],[Importe]]-Tabla110[[#This Row],[Pagado]]</f>
        <v>0</v>
      </c>
      <c r="H885" s="194" t="s">
        <v>10</v>
      </c>
    </row>
    <row r="886" spans="1:8" x14ac:dyDescent="0.25">
      <c r="A886" s="127">
        <v>44812</v>
      </c>
      <c r="B886" s="128" t="s">
        <v>28929</v>
      </c>
      <c r="C886" s="194" t="s">
        <v>75</v>
      </c>
      <c r="D886" s="195">
        <v>7992</v>
      </c>
      <c r="E886" s="196">
        <v>44813</v>
      </c>
      <c r="F886" s="195">
        <v>7992</v>
      </c>
      <c r="G886" s="197">
        <f>Tabla110[[#This Row],[Importe]]-Tabla110[[#This Row],[Pagado]]</f>
        <v>0</v>
      </c>
      <c r="H886" s="194" t="s">
        <v>10</v>
      </c>
    </row>
    <row r="887" spans="1:8" x14ac:dyDescent="0.25">
      <c r="A887" s="127">
        <v>44812</v>
      </c>
      <c r="B887" s="128" t="s">
        <v>28930</v>
      </c>
      <c r="C887" s="194" t="s">
        <v>200</v>
      </c>
      <c r="D887" s="195">
        <v>720</v>
      </c>
      <c r="E887" s="196">
        <v>44813</v>
      </c>
      <c r="F887" s="195">
        <v>720</v>
      </c>
      <c r="G887" s="197">
        <f>Tabla110[[#This Row],[Importe]]-Tabla110[[#This Row],[Pagado]]</f>
        <v>0</v>
      </c>
      <c r="H887" s="194" t="s">
        <v>10</v>
      </c>
    </row>
    <row r="888" spans="1:8" x14ac:dyDescent="0.25">
      <c r="A888" s="127">
        <v>44812</v>
      </c>
      <c r="B888" s="128" t="s">
        <v>28931</v>
      </c>
      <c r="C888" s="194" t="s">
        <v>31</v>
      </c>
      <c r="D888" s="195">
        <v>3591.8</v>
      </c>
      <c r="E888" s="196">
        <v>44812</v>
      </c>
      <c r="F888" s="195">
        <v>3591.8</v>
      </c>
      <c r="G888" s="197">
        <f>Tabla110[[#This Row],[Importe]]-Tabla110[[#This Row],[Pagado]]</f>
        <v>0</v>
      </c>
      <c r="H888" s="194" t="s">
        <v>10</v>
      </c>
    </row>
    <row r="889" spans="1:8" x14ac:dyDescent="0.25">
      <c r="A889" s="127">
        <v>44812</v>
      </c>
      <c r="B889" s="128" t="s">
        <v>28932</v>
      </c>
      <c r="C889" s="194" t="s">
        <v>175</v>
      </c>
      <c r="D889" s="195">
        <v>9563</v>
      </c>
      <c r="E889" s="196">
        <v>44813</v>
      </c>
      <c r="F889" s="195">
        <v>9563</v>
      </c>
      <c r="G889" s="197">
        <f>Tabla110[[#This Row],[Importe]]-Tabla110[[#This Row],[Pagado]]</f>
        <v>0</v>
      </c>
      <c r="H889" s="194" t="s">
        <v>10</v>
      </c>
    </row>
    <row r="890" spans="1:8" x14ac:dyDescent="0.25">
      <c r="A890" s="127">
        <v>44812</v>
      </c>
      <c r="B890" s="128" t="s">
        <v>28933</v>
      </c>
      <c r="C890" s="194" t="s">
        <v>359</v>
      </c>
      <c r="D890" s="195">
        <v>2030.1</v>
      </c>
      <c r="E890" s="196">
        <v>44813</v>
      </c>
      <c r="F890" s="195">
        <v>2030.1</v>
      </c>
      <c r="G890" s="197">
        <f>Tabla110[[#This Row],[Importe]]-Tabla110[[#This Row],[Pagado]]</f>
        <v>0</v>
      </c>
      <c r="H890" s="194" t="s">
        <v>10</v>
      </c>
    </row>
    <row r="891" spans="1:8" x14ac:dyDescent="0.25">
      <c r="A891" s="127">
        <v>44812</v>
      </c>
      <c r="B891" s="128" t="s">
        <v>28934</v>
      </c>
      <c r="C891" s="194" t="s">
        <v>5043</v>
      </c>
      <c r="D891" s="195">
        <v>450.5</v>
      </c>
      <c r="E891" s="196">
        <v>44813</v>
      </c>
      <c r="F891" s="195">
        <v>450.5</v>
      </c>
      <c r="G891" s="197">
        <f>Tabla110[[#This Row],[Importe]]-Tabla110[[#This Row],[Pagado]]</f>
        <v>0</v>
      </c>
      <c r="H891" s="194" t="s">
        <v>10</v>
      </c>
    </row>
    <row r="892" spans="1:8" x14ac:dyDescent="0.25">
      <c r="A892" s="127">
        <v>44812</v>
      </c>
      <c r="B892" s="128" t="s">
        <v>28935</v>
      </c>
      <c r="C892" s="194" t="s">
        <v>426</v>
      </c>
      <c r="D892" s="195">
        <v>8517.4</v>
      </c>
      <c r="E892" s="196">
        <v>44813</v>
      </c>
      <c r="F892" s="195">
        <v>8517.4</v>
      </c>
      <c r="G892" s="197">
        <f>Tabla110[[#This Row],[Importe]]-Tabla110[[#This Row],[Pagado]]</f>
        <v>0</v>
      </c>
      <c r="H892" s="194" t="s">
        <v>10</v>
      </c>
    </row>
    <row r="893" spans="1:8" x14ac:dyDescent="0.25">
      <c r="A893" s="127">
        <v>44812</v>
      </c>
      <c r="B893" s="128" t="s">
        <v>28936</v>
      </c>
      <c r="C893" s="194" t="s">
        <v>414</v>
      </c>
      <c r="D893" s="195">
        <v>2160</v>
      </c>
      <c r="E893" s="196">
        <v>44812</v>
      </c>
      <c r="F893" s="195">
        <v>2160</v>
      </c>
      <c r="G893" s="197">
        <f>Tabla110[[#This Row],[Importe]]-Tabla110[[#This Row],[Pagado]]</f>
        <v>0</v>
      </c>
      <c r="H893" s="194" t="s">
        <v>10</v>
      </c>
    </row>
    <row r="894" spans="1:8" x14ac:dyDescent="0.25">
      <c r="A894" s="127">
        <v>44812</v>
      </c>
      <c r="B894" s="128" t="s">
        <v>28937</v>
      </c>
      <c r="C894" s="194" t="s">
        <v>142</v>
      </c>
      <c r="D894" s="195">
        <v>39036</v>
      </c>
      <c r="E894" s="196">
        <v>44847</v>
      </c>
      <c r="F894" s="195">
        <v>39036</v>
      </c>
      <c r="G894" s="197">
        <f>Tabla110[[#This Row],[Importe]]-Tabla110[[#This Row],[Pagado]]</f>
        <v>0</v>
      </c>
      <c r="H894" s="194" t="s">
        <v>10</v>
      </c>
    </row>
    <row r="895" spans="1:8" x14ac:dyDescent="0.25">
      <c r="A895" s="127">
        <v>44812</v>
      </c>
      <c r="B895" s="128" t="s">
        <v>28938</v>
      </c>
      <c r="C895" s="194" t="s">
        <v>450</v>
      </c>
      <c r="D895" s="195">
        <v>2804.4</v>
      </c>
      <c r="E895" s="196">
        <v>44812</v>
      </c>
      <c r="F895" s="195">
        <v>2804.4</v>
      </c>
      <c r="G895" s="197">
        <f>Tabla110[[#This Row],[Importe]]-Tabla110[[#This Row],[Pagado]]</f>
        <v>0</v>
      </c>
      <c r="H895" s="194" t="s">
        <v>10</v>
      </c>
    </row>
    <row r="896" spans="1:8" x14ac:dyDescent="0.25">
      <c r="A896" s="127">
        <v>44812</v>
      </c>
      <c r="B896" s="128" t="s">
        <v>28939</v>
      </c>
      <c r="C896" s="194" t="s">
        <v>1421</v>
      </c>
      <c r="D896" s="195">
        <v>36069</v>
      </c>
      <c r="E896" s="196">
        <v>44812</v>
      </c>
      <c r="F896" s="195">
        <v>36069</v>
      </c>
      <c r="G896" s="197">
        <f>Tabla110[[#This Row],[Importe]]-Tabla110[[#This Row],[Pagado]]</f>
        <v>0</v>
      </c>
      <c r="H896" s="194" t="s">
        <v>10</v>
      </c>
    </row>
    <row r="897" spans="1:8" x14ac:dyDescent="0.25">
      <c r="A897" s="127">
        <v>44812</v>
      </c>
      <c r="B897" s="128" t="s">
        <v>28940</v>
      </c>
      <c r="C897" s="194" t="s">
        <v>3177</v>
      </c>
      <c r="D897" s="195">
        <v>2500</v>
      </c>
      <c r="E897" s="196">
        <v>44812</v>
      </c>
      <c r="F897" s="195">
        <v>2500</v>
      </c>
      <c r="G897" s="197">
        <f>Tabla110[[#This Row],[Importe]]-Tabla110[[#This Row],[Pagado]]</f>
        <v>0</v>
      </c>
      <c r="H897" s="194" t="s">
        <v>10</v>
      </c>
    </row>
    <row r="898" spans="1:8" x14ac:dyDescent="0.25">
      <c r="A898" s="127">
        <v>44812</v>
      </c>
      <c r="B898" s="128" t="s">
        <v>28941</v>
      </c>
      <c r="C898" s="194" t="s">
        <v>31</v>
      </c>
      <c r="D898" s="195">
        <v>3546.9</v>
      </c>
      <c r="E898" s="196">
        <v>44812</v>
      </c>
      <c r="F898" s="195">
        <v>3546.9</v>
      </c>
      <c r="G898" s="197">
        <f>Tabla110[[#This Row],[Importe]]-Tabla110[[#This Row],[Pagado]]</f>
        <v>0</v>
      </c>
      <c r="H898" s="194" t="s">
        <v>10</v>
      </c>
    </row>
    <row r="899" spans="1:8" x14ac:dyDescent="0.25">
      <c r="A899" s="127">
        <v>44812</v>
      </c>
      <c r="B899" s="128" t="s">
        <v>28942</v>
      </c>
      <c r="C899" s="194" t="s">
        <v>53</v>
      </c>
      <c r="D899" s="195">
        <v>1931.4</v>
      </c>
      <c r="E899" s="196">
        <v>44812</v>
      </c>
      <c r="F899" s="195">
        <v>1931.4</v>
      </c>
      <c r="G899" s="197">
        <f>Tabla110[[#This Row],[Importe]]-Tabla110[[#This Row],[Pagado]]</f>
        <v>0</v>
      </c>
      <c r="H899" s="194" t="s">
        <v>10</v>
      </c>
    </row>
    <row r="900" spans="1:8" x14ac:dyDescent="0.25">
      <c r="A900" s="127">
        <v>44812</v>
      </c>
      <c r="B900" s="128" t="s">
        <v>28943</v>
      </c>
      <c r="C900" s="194" t="s">
        <v>296</v>
      </c>
      <c r="D900" s="195">
        <v>3380.2</v>
      </c>
      <c r="E900" s="196">
        <v>44812</v>
      </c>
      <c r="F900" s="195">
        <v>3380.2</v>
      </c>
      <c r="G900" s="197">
        <f>Tabla110[[#This Row],[Importe]]-Tabla110[[#This Row],[Pagado]]</f>
        <v>0</v>
      </c>
      <c r="H900" s="194" t="s">
        <v>10</v>
      </c>
    </row>
    <row r="901" spans="1:8" x14ac:dyDescent="0.25">
      <c r="A901" s="127">
        <v>44812</v>
      </c>
      <c r="B901" s="128" t="s">
        <v>28944</v>
      </c>
      <c r="C901" s="194" t="s">
        <v>10678</v>
      </c>
      <c r="D901" s="195">
        <v>4548.5</v>
      </c>
      <c r="E901" s="196">
        <v>44812</v>
      </c>
      <c r="F901" s="195">
        <v>4548.5</v>
      </c>
      <c r="G901" s="197">
        <f>Tabla110[[#This Row],[Importe]]-Tabla110[[#This Row],[Pagado]]</f>
        <v>0</v>
      </c>
      <c r="H901" s="194" t="s">
        <v>10</v>
      </c>
    </row>
    <row r="902" spans="1:8" x14ac:dyDescent="0.25">
      <c r="A902" s="127">
        <v>44812</v>
      </c>
      <c r="B902" s="128" t="s">
        <v>28945</v>
      </c>
      <c r="C902" s="194" t="s">
        <v>612</v>
      </c>
      <c r="D902" s="195">
        <v>420</v>
      </c>
      <c r="E902" s="196">
        <v>44812</v>
      </c>
      <c r="F902" s="195">
        <v>420</v>
      </c>
      <c r="G902" s="197">
        <f>Tabla110[[#This Row],[Importe]]-Tabla110[[#This Row],[Pagado]]</f>
        <v>0</v>
      </c>
      <c r="H902" s="194" t="s">
        <v>10</v>
      </c>
    </row>
    <row r="903" spans="1:8" x14ac:dyDescent="0.25">
      <c r="A903" s="127">
        <v>44812</v>
      </c>
      <c r="B903" s="128" t="s">
        <v>28946</v>
      </c>
      <c r="C903" s="194" t="s">
        <v>10819</v>
      </c>
      <c r="D903" s="195">
        <v>705.6</v>
      </c>
      <c r="E903" s="196">
        <v>44813</v>
      </c>
      <c r="F903" s="195">
        <v>705.6</v>
      </c>
      <c r="G903" s="197">
        <f>Tabla110[[#This Row],[Importe]]-Tabla110[[#This Row],[Pagado]]</f>
        <v>0</v>
      </c>
      <c r="H903" s="194" t="s">
        <v>10</v>
      </c>
    </row>
    <row r="904" spans="1:8" x14ac:dyDescent="0.25">
      <c r="A904" s="127">
        <v>44812</v>
      </c>
      <c r="B904" s="128" t="s">
        <v>28947</v>
      </c>
      <c r="C904" s="194" t="s">
        <v>5345</v>
      </c>
      <c r="D904" s="195">
        <v>3002.4</v>
      </c>
      <c r="E904" s="196">
        <v>44813</v>
      </c>
      <c r="F904" s="195">
        <v>3002.4</v>
      </c>
      <c r="G904" s="197">
        <f>Tabla110[[#This Row],[Importe]]-Tabla110[[#This Row],[Pagado]]</f>
        <v>0</v>
      </c>
      <c r="H904" s="194" t="s">
        <v>10</v>
      </c>
    </row>
    <row r="905" spans="1:8" x14ac:dyDescent="0.25">
      <c r="A905" s="127">
        <v>44812</v>
      </c>
      <c r="B905" s="128" t="s">
        <v>28948</v>
      </c>
      <c r="C905" s="194" t="s">
        <v>282</v>
      </c>
      <c r="D905" s="195">
        <v>2037.6</v>
      </c>
      <c r="E905" s="196">
        <v>44813</v>
      </c>
      <c r="F905" s="195">
        <v>2037.6</v>
      </c>
      <c r="G905" s="197">
        <f>Tabla110[[#This Row],[Importe]]-Tabla110[[#This Row],[Pagado]]</f>
        <v>0</v>
      </c>
      <c r="H905" s="194" t="s">
        <v>10</v>
      </c>
    </row>
    <row r="906" spans="1:8" x14ac:dyDescent="0.25">
      <c r="A906" s="127">
        <v>44812</v>
      </c>
      <c r="B906" s="128" t="s">
        <v>28949</v>
      </c>
      <c r="C906" s="194" t="s">
        <v>284</v>
      </c>
      <c r="D906" s="195">
        <v>9230.4</v>
      </c>
      <c r="E906" s="196">
        <v>44813</v>
      </c>
      <c r="F906" s="195">
        <v>9230.4</v>
      </c>
      <c r="G906" s="197">
        <f>Tabla110[[#This Row],[Importe]]-Tabla110[[#This Row],[Pagado]]</f>
        <v>0</v>
      </c>
      <c r="H906" s="194" t="s">
        <v>10</v>
      </c>
    </row>
    <row r="907" spans="1:8" x14ac:dyDescent="0.25">
      <c r="A907" s="127">
        <v>44812</v>
      </c>
      <c r="B907" s="128" t="s">
        <v>28950</v>
      </c>
      <c r="C907" s="194" t="s">
        <v>729</v>
      </c>
      <c r="D907" s="195">
        <v>26310.7</v>
      </c>
      <c r="E907" s="196">
        <v>44813</v>
      </c>
      <c r="F907" s="195">
        <v>26310.7</v>
      </c>
      <c r="G907" s="197">
        <f>Tabla110[[#This Row],[Importe]]-Tabla110[[#This Row],[Pagado]]</f>
        <v>0</v>
      </c>
      <c r="H907" s="194" t="s">
        <v>10</v>
      </c>
    </row>
    <row r="908" spans="1:8" x14ac:dyDescent="0.25">
      <c r="A908" s="127">
        <v>44812</v>
      </c>
      <c r="B908" s="128" t="s">
        <v>28951</v>
      </c>
      <c r="C908" s="194" t="s">
        <v>19637</v>
      </c>
      <c r="D908" s="195">
        <v>11332.2</v>
      </c>
      <c r="E908" s="196">
        <v>44820</v>
      </c>
      <c r="F908" s="195">
        <v>11332.2</v>
      </c>
      <c r="G908" s="197">
        <f>Tabla110[[#This Row],[Importe]]-Tabla110[[#This Row],[Pagado]]</f>
        <v>0</v>
      </c>
      <c r="H908" s="194" t="s">
        <v>10</v>
      </c>
    </row>
    <row r="909" spans="1:8" x14ac:dyDescent="0.25">
      <c r="A909" s="127">
        <v>44812</v>
      </c>
      <c r="B909" s="128" t="s">
        <v>28952</v>
      </c>
      <c r="C909" s="194" t="s">
        <v>28953</v>
      </c>
      <c r="D909" s="195">
        <v>0</v>
      </c>
      <c r="E909" s="199" t="s">
        <v>189</v>
      </c>
      <c r="F909" s="195">
        <v>0</v>
      </c>
      <c r="G909" s="197">
        <f>Tabla110[[#This Row],[Importe]]-Tabla110[[#This Row],[Pagado]]</f>
        <v>0</v>
      </c>
      <c r="H909" s="194" t="s">
        <v>189</v>
      </c>
    </row>
    <row r="910" spans="1:8" x14ac:dyDescent="0.25">
      <c r="A910" s="127">
        <v>44812</v>
      </c>
      <c r="B910" s="128" t="s">
        <v>28954</v>
      </c>
      <c r="C910" s="194" t="s">
        <v>9577</v>
      </c>
      <c r="D910" s="195">
        <v>13982.2</v>
      </c>
      <c r="E910" s="196">
        <v>44813</v>
      </c>
      <c r="F910" s="195">
        <v>13982.2</v>
      </c>
      <c r="G910" s="197">
        <f>Tabla110[[#This Row],[Importe]]-Tabla110[[#This Row],[Pagado]]</f>
        <v>0</v>
      </c>
      <c r="H910" s="194" t="s">
        <v>10</v>
      </c>
    </row>
    <row r="911" spans="1:8" x14ac:dyDescent="0.25">
      <c r="A911" s="127">
        <v>44813</v>
      </c>
      <c r="B911" s="128" t="s">
        <v>28955</v>
      </c>
      <c r="C911" s="194" t="s">
        <v>887</v>
      </c>
      <c r="D911" s="195">
        <v>8054</v>
      </c>
      <c r="E911" s="196">
        <v>44813</v>
      </c>
      <c r="F911" s="195">
        <v>8054</v>
      </c>
      <c r="G911" s="197">
        <f>Tabla110[[#This Row],[Importe]]-Tabla110[[#This Row],[Pagado]]</f>
        <v>0</v>
      </c>
      <c r="H911" s="194" t="s">
        <v>10</v>
      </c>
    </row>
    <row r="912" spans="1:8" x14ac:dyDescent="0.25">
      <c r="A912" s="127">
        <v>44813</v>
      </c>
      <c r="B912" s="128" t="s">
        <v>28956</v>
      </c>
      <c r="C912" s="194" t="s">
        <v>475</v>
      </c>
      <c r="D912" s="195">
        <v>62740.5</v>
      </c>
      <c r="E912" s="196">
        <v>44814</v>
      </c>
      <c r="F912" s="195">
        <v>62740.5</v>
      </c>
      <c r="G912" s="197">
        <f>Tabla110[[#This Row],[Importe]]-Tabla110[[#This Row],[Pagado]]</f>
        <v>0</v>
      </c>
      <c r="H912" s="194" t="s">
        <v>10</v>
      </c>
    </row>
    <row r="913" spans="1:8" x14ac:dyDescent="0.25">
      <c r="A913" s="127">
        <v>44813</v>
      </c>
      <c r="B913" s="128" t="s">
        <v>28957</v>
      </c>
      <c r="C913" s="194" t="s">
        <v>114</v>
      </c>
      <c r="D913" s="195">
        <v>10905.3</v>
      </c>
      <c r="E913" s="196">
        <v>44814</v>
      </c>
      <c r="F913" s="195">
        <v>10905.3</v>
      </c>
      <c r="G913" s="197">
        <f>Tabla110[[#This Row],[Importe]]-Tabla110[[#This Row],[Pagado]]</f>
        <v>0</v>
      </c>
      <c r="H913" s="194" t="s">
        <v>10</v>
      </c>
    </row>
    <row r="914" spans="1:8" x14ac:dyDescent="0.25">
      <c r="A914" s="127">
        <v>44813</v>
      </c>
      <c r="B914" s="128" t="s">
        <v>28958</v>
      </c>
      <c r="C914" s="194" t="s">
        <v>64</v>
      </c>
      <c r="D914" s="195">
        <v>10770.5</v>
      </c>
      <c r="E914" s="196">
        <v>44814</v>
      </c>
      <c r="F914" s="195">
        <v>10770.5</v>
      </c>
      <c r="G914" s="197">
        <f>Tabla110[[#This Row],[Importe]]-Tabla110[[#This Row],[Pagado]]</f>
        <v>0</v>
      </c>
      <c r="H914" s="194" t="s">
        <v>10</v>
      </c>
    </row>
    <row r="915" spans="1:8" x14ac:dyDescent="0.25">
      <c r="A915" s="127">
        <v>44813</v>
      </c>
      <c r="B915" s="128" t="s">
        <v>28959</v>
      </c>
      <c r="C915" s="194" t="s">
        <v>111</v>
      </c>
      <c r="D915" s="195">
        <v>5235.3</v>
      </c>
      <c r="E915" s="196">
        <v>44814</v>
      </c>
      <c r="F915" s="195">
        <v>5235.3</v>
      </c>
      <c r="G915" s="197">
        <f>Tabla110[[#This Row],[Importe]]-Tabla110[[#This Row],[Pagado]]</f>
        <v>0</v>
      </c>
      <c r="H915" s="194" t="s">
        <v>10</v>
      </c>
    </row>
    <row r="916" spans="1:8" x14ac:dyDescent="0.25">
      <c r="A916" s="127">
        <v>44813</v>
      </c>
      <c r="B916" s="128" t="s">
        <v>28960</v>
      </c>
      <c r="C916" s="194" t="s">
        <v>348</v>
      </c>
      <c r="D916" s="195">
        <v>4097.5</v>
      </c>
      <c r="E916" s="196">
        <v>44813</v>
      </c>
      <c r="F916" s="195">
        <v>4097.5</v>
      </c>
      <c r="G916" s="197">
        <f>Tabla110[[#This Row],[Importe]]-Tabla110[[#This Row],[Pagado]]</f>
        <v>0</v>
      </c>
      <c r="H916" s="194" t="s">
        <v>10</v>
      </c>
    </row>
    <row r="917" spans="1:8" x14ac:dyDescent="0.25">
      <c r="A917" s="127">
        <v>44813</v>
      </c>
      <c r="B917" s="128" t="s">
        <v>28961</v>
      </c>
      <c r="C917" s="194" t="s">
        <v>105</v>
      </c>
      <c r="D917" s="195">
        <v>7128</v>
      </c>
      <c r="E917" s="196">
        <v>44814</v>
      </c>
      <c r="F917" s="195">
        <v>7128</v>
      </c>
      <c r="G917" s="197">
        <f>Tabla110[[#This Row],[Importe]]-Tabla110[[#This Row],[Pagado]]</f>
        <v>0</v>
      </c>
      <c r="H917" s="194" t="s">
        <v>10</v>
      </c>
    </row>
    <row r="918" spans="1:8" x14ac:dyDescent="0.25">
      <c r="A918" s="127">
        <v>44813</v>
      </c>
      <c r="B918" s="128" t="s">
        <v>28962</v>
      </c>
      <c r="C918" s="194" t="s">
        <v>93</v>
      </c>
      <c r="D918" s="195">
        <v>10632.8</v>
      </c>
      <c r="E918" s="196">
        <v>44816</v>
      </c>
      <c r="F918" s="195">
        <v>10632.8</v>
      </c>
      <c r="G918" s="197">
        <f>Tabla110[[#This Row],[Importe]]-Tabla110[[#This Row],[Pagado]]</f>
        <v>0</v>
      </c>
      <c r="H918" s="194" t="s">
        <v>10</v>
      </c>
    </row>
    <row r="919" spans="1:8" x14ac:dyDescent="0.25">
      <c r="A919" s="127">
        <v>44813</v>
      </c>
      <c r="B919" s="128" t="s">
        <v>28963</v>
      </c>
      <c r="C919" s="194" t="s">
        <v>99</v>
      </c>
      <c r="D919" s="195">
        <v>3809</v>
      </c>
      <c r="E919" s="196">
        <v>44816</v>
      </c>
      <c r="F919" s="195">
        <v>3809</v>
      </c>
      <c r="G919" s="197">
        <f>Tabla110[[#This Row],[Importe]]-Tabla110[[#This Row],[Pagado]]</f>
        <v>0</v>
      </c>
      <c r="H919" s="194" t="s">
        <v>10</v>
      </c>
    </row>
    <row r="920" spans="1:8" ht="31.5" x14ac:dyDescent="0.25">
      <c r="A920" s="127">
        <v>44813</v>
      </c>
      <c r="B920" s="128" t="s">
        <v>28964</v>
      </c>
      <c r="C920" s="194" t="s">
        <v>39</v>
      </c>
      <c r="D920" s="195">
        <v>6223</v>
      </c>
      <c r="E920" s="198" t="s">
        <v>28965</v>
      </c>
      <c r="F920" s="195">
        <f>3000+3223</f>
        <v>6223</v>
      </c>
      <c r="G920" s="197">
        <f>Tabla110[[#This Row],[Importe]]-Tabla110[[#This Row],[Pagado]]</f>
        <v>0</v>
      </c>
      <c r="H920" s="194" t="s">
        <v>10</v>
      </c>
    </row>
    <row r="921" spans="1:8" x14ac:dyDescent="0.25">
      <c r="A921" s="127">
        <v>44813</v>
      </c>
      <c r="B921" s="128" t="s">
        <v>28966</v>
      </c>
      <c r="C921" s="194" t="s">
        <v>89</v>
      </c>
      <c r="D921" s="195">
        <v>12241.5</v>
      </c>
      <c r="E921" s="196">
        <v>44814</v>
      </c>
      <c r="F921" s="195">
        <v>12241.5</v>
      </c>
      <c r="G921" s="197">
        <f>Tabla110[[#This Row],[Importe]]-Tabla110[[#This Row],[Pagado]]</f>
        <v>0</v>
      </c>
      <c r="H921" s="194" t="s">
        <v>10</v>
      </c>
    </row>
    <row r="922" spans="1:8" x14ac:dyDescent="0.25">
      <c r="A922" s="127">
        <v>44813</v>
      </c>
      <c r="B922" s="128" t="s">
        <v>28967</v>
      </c>
      <c r="C922" s="194" t="s">
        <v>5542</v>
      </c>
      <c r="D922" s="195">
        <v>0</v>
      </c>
      <c r="E922" s="199" t="s">
        <v>189</v>
      </c>
      <c r="F922" s="195">
        <v>0</v>
      </c>
      <c r="G922" s="197">
        <f>Tabla110[[#This Row],[Importe]]-Tabla110[[#This Row],[Pagado]]</f>
        <v>0</v>
      </c>
      <c r="H922" s="200" t="s">
        <v>28968</v>
      </c>
    </row>
    <row r="923" spans="1:8" x14ac:dyDescent="0.25">
      <c r="A923" s="127">
        <v>44813</v>
      </c>
      <c r="B923" s="128" t="s">
        <v>28969</v>
      </c>
      <c r="C923" s="194" t="s">
        <v>2151</v>
      </c>
      <c r="D923" s="195">
        <v>20582.400000000001</v>
      </c>
      <c r="E923" s="196">
        <v>44813</v>
      </c>
      <c r="F923" s="195">
        <v>20582.400000000001</v>
      </c>
      <c r="G923" s="197">
        <f>Tabla110[[#This Row],[Importe]]-Tabla110[[#This Row],[Pagado]]</f>
        <v>0</v>
      </c>
      <c r="H923" s="194" t="s">
        <v>10</v>
      </c>
    </row>
    <row r="924" spans="1:8" x14ac:dyDescent="0.25">
      <c r="A924" s="127">
        <v>44813</v>
      </c>
      <c r="B924" s="128" t="s">
        <v>28970</v>
      </c>
      <c r="C924" s="194" t="s">
        <v>1187</v>
      </c>
      <c r="D924" s="195">
        <v>1765.5</v>
      </c>
      <c r="E924" s="196">
        <v>44813</v>
      </c>
      <c r="F924" s="195">
        <v>1765.5</v>
      </c>
      <c r="G924" s="197">
        <f>Tabla110[[#This Row],[Importe]]-Tabla110[[#This Row],[Pagado]]</f>
        <v>0</v>
      </c>
      <c r="H924" s="194" t="s">
        <v>10</v>
      </c>
    </row>
    <row r="925" spans="1:8" x14ac:dyDescent="0.25">
      <c r="A925" s="127">
        <v>44813</v>
      </c>
      <c r="B925" s="128" t="s">
        <v>28971</v>
      </c>
      <c r="C925" s="194" t="s">
        <v>345</v>
      </c>
      <c r="D925" s="195">
        <v>1932.8</v>
      </c>
      <c r="E925" s="196">
        <v>44813</v>
      </c>
      <c r="F925" s="195">
        <v>1932.8</v>
      </c>
      <c r="G925" s="197">
        <f>Tabla110[[#This Row],[Importe]]-Tabla110[[#This Row],[Pagado]]</f>
        <v>0</v>
      </c>
      <c r="H925" s="194" t="s">
        <v>10</v>
      </c>
    </row>
    <row r="926" spans="1:8" x14ac:dyDescent="0.25">
      <c r="A926" s="127">
        <v>44813</v>
      </c>
      <c r="B926" s="128" t="s">
        <v>28972</v>
      </c>
      <c r="C926" s="194" t="s">
        <v>18</v>
      </c>
      <c r="D926" s="195">
        <v>2040</v>
      </c>
      <c r="E926" s="196">
        <v>44813</v>
      </c>
      <c r="F926" s="195">
        <v>2040</v>
      </c>
      <c r="G926" s="197">
        <f>Tabla110[[#This Row],[Importe]]-Tabla110[[#This Row],[Pagado]]</f>
        <v>0</v>
      </c>
      <c r="H926" s="194" t="s">
        <v>10</v>
      </c>
    </row>
    <row r="927" spans="1:8" x14ac:dyDescent="0.25">
      <c r="A927" s="127">
        <v>44813</v>
      </c>
      <c r="B927" s="128" t="s">
        <v>28973</v>
      </c>
      <c r="C927" s="194" t="s">
        <v>9</v>
      </c>
      <c r="D927" s="195">
        <v>9769.1</v>
      </c>
      <c r="E927" s="196">
        <v>44813</v>
      </c>
      <c r="F927" s="195">
        <v>9769.1</v>
      </c>
      <c r="G927" s="197">
        <f>Tabla110[[#This Row],[Importe]]-Tabla110[[#This Row],[Pagado]]</f>
        <v>0</v>
      </c>
      <c r="H927" s="194" t="s">
        <v>10</v>
      </c>
    </row>
    <row r="928" spans="1:8" x14ac:dyDescent="0.25">
      <c r="A928" s="127">
        <v>44813</v>
      </c>
      <c r="B928" s="128" t="s">
        <v>28974</v>
      </c>
      <c r="C928" s="194" t="s">
        <v>24768</v>
      </c>
      <c r="D928" s="195">
        <v>5398.8</v>
      </c>
      <c r="E928" s="196">
        <v>44813</v>
      </c>
      <c r="F928" s="195">
        <v>5398.8</v>
      </c>
      <c r="G928" s="197">
        <f>Tabla110[[#This Row],[Importe]]-Tabla110[[#This Row],[Pagado]]</f>
        <v>0</v>
      </c>
      <c r="H928" s="194" t="s">
        <v>10</v>
      </c>
    </row>
    <row r="929" spans="1:8" x14ac:dyDescent="0.25">
      <c r="A929" s="127">
        <v>44813</v>
      </c>
      <c r="B929" s="128" t="s">
        <v>28975</v>
      </c>
      <c r="C929" s="194" t="s">
        <v>95</v>
      </c>
      <c r="D929" s="195">
        <v>29114.2</v>
      </c>
      <c r="E929" s="196">
        <v>44813</v>
      </c>
      <c r="F929" s="195">
        <v>29114.2</v>
      </c>
      <c r="G929" s="197">
        <f>Tabla110[[#This Row],[Importe]]-Tabla110[[#This Row],[Pagado]]</f>
        <v>0</v>
      </c>
      <c r="H929" s="194" t="s">
        <v>10</v>
      </c>
    </row>
    <row r="930" spans="1:8" x14ac:dyDescent="0.25">
      <c r="A930" s="127">
        <v>44813</v>
      </c>
      <c r="B930" s="128" t="s">
        <v>28976</v>
      </c>
      <c r="C930" s="194" t="s">
        <v>107</v>
      </c>
      <c r="D930" s="195">
        <v>15352.7</v>
      </c>
      <c r="E930" s="196">
        <v>44813</v>
      </c>
      <c r="F930" s="195">
        <v>15352.7</v>
      </c>
      <c r="G930" s="197">
        <f>Tabla110[[#This Row],[Importe]]-Tabla110[[#This Row],[Pagado]]</f>
        <v>0</v>
      </c>
      <c r="H930" s="194" t="s">
        <v>10</v>
      </c>
    </row>
    <row r="931" spans="1:8" x14ac:dyDescent="0.25">
      <c r="A931" s="127">
        <v>44813</v>
      </c>
      <c r="B931" s="128" t="s">
        <v>28977</v>
      </c>
      <c r="C931" s="194" t="s">
        <v>314</v>
      </c>
      <c r="D931" s="195">
        <v>5119.2</v>
      </c>
      <c r="E931" s="196">
        <v>44813</v>
      </c>
      <c r="F931" s="195">
        <v>5119.2</v>
      </c>
      <c r="G931" s="197">
        <f>Tabla110[[#This Row],[Importe]]-Tabla110[[#This Row],[Pagado]]</f>
        <v>0</v>
      </c>
      <c r="H931" s="194" t="s">
        <v>10</v>
      </c>
    </row>
    <row r="932" spans="1:8" x14ac:dyDescent="0.25">
      <c r="A932" s="127">
        <v>44813</v>
      </c>
      <c r="B932" s="128" t="s">
        <v>28978</v>
      </c>
      <c r="C932" s="194" t="s">
        <v>87</v>
      </c>
      <c r="D932" s="195">
        <v>2821.6</v>
      </c>
      <c r="E932" s="196">
        <v>44813</v>
      </c>
      <c r="F932" s="195">
        <v>2821.6</v>
      </c>
      <c r="G932" s="197">
        <f>Tabla110[[#This Row],[Importe]]-Tabla110[[#This Row],[Pagado]]</f>
        <v>0</v>
      </c>
      <c r="H932" s="194" t="s">
        <v>10</v>
      </c>
    </row>
    <row r="933" spans="1:8" x14ac:dyDescent="0.25">
      <c r="A933" s="127">
        <v>44813</v>
      </c>
      <c r="B933" s="128" t="s">
        <v>28979</v>
      </c>
      <c r="C933" s="194" t="s">
        <v>433</v>
      </c>
      <c r="D933" s="195">
        <v>21600</v>
      </c>
      <c r="E933" s="196">
        <v>44813</v>
      </c>
      <c r="F933" s="195">
        <v>21600</v>
      </c>
      <c r="G933" s="197">
        <f>Tabla110[[#This Row],[Importe]]-Tabla110[[#This Row],[Pagado]]</f>
        <v>0</v>
      </c>
      <c r="H933" s="194" t="s">
        <v>10</v>
      </c>
    </row>
    <row r="934" spans="1:8" x14ac:dyDescent="0.25">
      <c r="A934" s="127">
        <v>44813</v>
      </c>
      <c r="B934" s="128" t="s">
        <v>28980</v>
      </c>
      <c r="C934" s="194" t="s">
        <v>127</v>
      </c>
      <c r="D934" s="195">
        <v>434.5</v>
      </c>
      <c r="E934" s="196">
        <v>44813</v>
      </c>
      <c r="F934" s="195">
        <v>434.5</v>
      </c>
      <c r="G934" s="197">
        <f>Tabla110[[#This Row],[Importe]]-Tabla110[[#This Row],[Pagado]]</f>
        <v>0</v>
      </c>
      <c r="H934" s="194" t="s">
        <v>10</v>
      </c>
    </row>
    <row r="935" spans="1:8" x14ac:dyDescent="0.25">
      <c r="A935" s="127">
        <v>44813</v>
      </c>
      <c r="B935" s="128" t="s">
        <v>28981</v>
      </c>
      <c r="C935" s="194" t="s">
        <v>95</v>
      </c>
      <c r="D935" s="195">
        <v>304</v>
      </c>
      <c r="E935" s="196">
        <v>44813</v>
      </c>
      <c r="F935" s="195">
        <v>304</v>
      </c>
      <c r="G935" s="197">
        <f>Tabla110[[#This Row],[Importe]]-Tabla110[[#This Row],[Pagado]]</f>
        <v>0</v>
      </c>
      <c r="H935" s="194" t="s">
        <v>10</v>
      </c>
    </row>
    <row r="936" spans="1:8" x14ac:dyDescent="0.25">
      <c r="A936" s="127">
        <v>44813</v>
      </c>
      <c r="B936" s="128" t="s">
        <v>28982</v>
      </c>
      <c r="C936" s="194" t="s">
        <v>339</v>
      </c>
      <c r="D936" s="195">
        <v>599.4</v>
      </c>
      <c r="E936" s="196">
        <v>44813</v>
      </c>
      <c r="F936" s="195">
        <v>599.4</v>
      </c>
      <c r="G936" s="197">
        <f>Tabla110[[#This Row],[Importe]]-Tabla110[[#This Row],[Pagado]]</f>
        <v>0</v>
      </c>
      <c r="H936" s="194" t="s">
        <v>10</v>
      </c>
    </row>
    <row r="937" spans="1:8" x14ac:dyDescent="0.25">
      <c r="A937" s="127">
        <v>44813</v>
      </c>
      <c r="B937" s="128" t="s">
        <v>28983</v>
      </c>
      <c r="C937" s="194" t="s">
        <v>140</v>
      </c>
      <c r="D937" s="195">
        <v>4728.6000000000004</v>
      </c>
      <c r="E937" s="196">
        <v>44813</v>
      </c>
      <c r="F937" s="195">
        <v>4728.6000000000004</v>
      </c>
      <c r="G937" s="197">
        <f>Tabla110[[#This Row],[Importe]]-Tabla110[[#This Row],[Pagado]]</f>
        <v>0</v>
      </c>
      <c r="H937" s="194" t="s">
        <v>10</v>
      </c>
    </row>
    <row r="938" spans="1:8" x14ac:dyDescent="0.25">
      <c r="A938" s="127">
        <v>44813</v>
      </c>
      <c r="B938" s="128" t="s">
        <v>28984</v>
      </c>
      <c r="C938" s="194" t="s">
        <v>198</v>
      </c>
      <c r="D938" s="195">
        <v>5009.8</v>
      </c>
      <c r="E938" s="196">
        <v>44813</v>
      </c>
      <c r="F938" s="195">
        <v>5009.8</v>
      </c>
      <c r="G938" s="197">
        <f>Tabla110[[#This Row],[Importe]]-Tabla110[[#This Row],[Pagado]]</f>
        <v>0</v>
      </c>
      <c r="H938" s="194" t="s">
        <v>10</v>
      </c>
    </row>
    <row r="939" spans="1:8" x14ac:dyDescent="0.25">
      <c r="A939" s="127">
        <v>44813</v>
      </c>
      <c r="B939" s="128" t="s">
        <v>28985</v>
      </c>
      <c r="C939" s="194" t="s">
        <v>23673</v>
      </c>
      <c r="D939" s="195">
        <v>0</v>
      </c>
      <c r="E939" s="199" t="s">
        <v>189</v>
      </c>
      <c r="F939" s="195">
        <v>0</v>
      </c>
      <c r="G939" s="197">
        <f>Tabla110[[#This Row],[Importe]]-Tabla110[[#This Row],[Pagado]]</f>
        <v>0</v>
      </c>
      <c r="H939" s="200" t="s">
        <v>28986</v>
      </c>
    </row>
    <row r="940" spans="1:8" x14ac:dyDescent="0.25">
      <c r="A940" s="127">
        <v>44813</v>
      </c>
      <c r="B940" s="128" t="s">
        <v>28987</v>
      </c>
      <c r="C940" s="194" t="s">
        <v>146</v>
      </c>
      <c r="D940" s="195">
        <v>4765.8</v>
      </c>
      <c r="E940" s="196">
        <v>44813</v>
      </c>
      <c r="F940" s="195">
        <v>4765.8</v>
      </c>
      <c r="G940" s="197">
        <f>Tabla110[[#This Row],[Importe]]-Tabla110[[#This Row],[Pagado]]</f>
        <v>0</v>
      </c>
      <c r="H940" s="194" t="s">
        <v>10</v>
      </c>
    </row>
    <row r="941" spans="1:8" x14ac:dyDescent="0.25">
      <c r="A941" s="127">
        <v>44813</v>
      </c>
      <c r="B941" s="128" t="s">
        <v>28988</v>
      </c>
      <c r="C941" s="194" t="s">
        <v>75</v>
      </c>
      <c r="D941" s="195">
        <v>7632</v>
      </c>
      <c r="E941" s="196">
        <v>44813</v>
      </c>
      <c r="F941" s="195">
        <v>7632</v>
      </c>
      <c r="G941" s="197">
        <f>Tabla110[[#This Row],[Importe]]-Tabla110[[#This Row],[Pagado]]</f>
        <v>0</v>
      </c>
      <c r="H941" s="194" t="s">
        <v>10</v>
      </c>
    </row>
    <row r="942" spans="1:8" x14ac:dyDescent="0.25">
      <c r="A942" s="127">
        <v>44813</v>
      </c>
      <c r="B942" s="128" t="s">
        <v>28989</v>
      </c>
      <c r="C942" s="194" t="s">
        <v>804</v>
      </c>
      <c r="D942" s="195">
        <v>18992.8</v>
      </c>
      <c r="E942" s="196">
        <v>44813</v>
      </c>
      <c r="F942" s="195">
        <v>18992.8</v>
      </c>
      <c r="G942" s="197">
        <f>Tabla110[[#This Row],[Importe]]-Tabla110[[#This Row],[Pagado]]</f>
        <v>0</v>
      </c>
      <c r="H942" s="194" t="s">
        <v>10</v>
      </c>
    </row>
    <row r="943" spans="1:8" x14ac:dyDescent="0.25">
      <c r="A943" s="127">
        <v>44813</v>
      </c>
      <c r="B943" s="128" t="s">
        <v>28990</v>
      </c>
      <c r="C943" s="194" t="s">
        <v>12</v>
      </c>
      <c r="D943" s="195">
        <v>21352.9</v>
      </c>
      <c r="E943" s="196">
        <v>44814</v>
      </c>
      <c r="F943" s="195">
        <v>21352.9</v>
      </c>
      <c r="G943" s="197">
        <f>Tabla110[[#This Row],[Importe]]-Tabla110[[#This Row],[Pagado]]</f>
        <v>0</v>
      </c>
      <c r="H943" s="194" t="s">
        <v>10</v>
      </c>
    </row>
    <row r="944" spans="1:8" x14ac:dyDescent="0.25">
      <c r="A944" s="127">
        <v>44813</v>
      </c>
      <c r="B944" s="128" t="s">
        <v>28991</v>
      </c>
      <c r="C944" s="194" t="s">
        <v>473</v>
      </c>
      <c r="D944" s="195">
        <v>8436.4</v>
      </c>
      <c r="E944" s="196">
        <v>44813</v>
      </c>
      <c r="F944" s="195">
        <v>8436.4</v>
      </c>
      <c r="G944" s="197">
        <f>Tabla110[[#This Row],[Importe]]-Tabla110[[#This Row],[Pagado]]</f>
        <v>0</v>
      </c>
      <c r="H944" s="194" t="s">
        <v>10</v>
      </c>
    </row>
    <row r="945" spans="1:8" x14ac:dyDescent="0.25">
      <c r="A945" s="127">
        <v>44813</v>
      </c>
      <c r="B945" s="128" t="s">
        <v>28992</v>
      </c>
      <c r="C945" s="194" t="s">
        <v>314</v>
      </c>
      <c r="D945" s="195">
        <v>160</v>
      </c>
      <c r="E945" s="196">
        <v>44813</v>
      </c>
      <c r="F945" s="195">
        <v>160</v>
      </c>
      <c r="G945" s="197">
        <f>Tabla110[[#This Row],[Importe]]-Tabla110[[#This Row],[Pagado]]</f>
        <v>0</v>
      </c>
      <c r="H945" s="194" t="s">
        <v>10</v>
      </c>
    </row>
    <row r="946" spans="1:8" x14ac:dyDescent="0.25">
      <c r="A946" s="127">
        <v>44813</v>
      </c>
      <c r="B946" s="128" t="s">
        <v>28993</v>
      </c>
      <c r="C946" s="194" t="s">
        <v>664</v>
      </c>
      <c r="D946" s="195">
        <v>3502.2</v>
      </c>
      <c r="E946" s="196">
        <v>44813</v>
      </c>
      <c r="F946" s="195">
        <v>3502.2</v>
      </c>
      <c r="G946" s="197">
        <f>Tabla110[[#This Row],[Importe]]-Tabla110[[#This Row],[Pagado]]</f>
        <v>0</v>
      </c>
      <c r="H946" s="194" t="s">
        <v>10</v>
      </c>
    </row>
    <row r="947" spans="1:8" x14ac:dyDescent="0.25">
      <c r="A947" s="127">
        <v>44813</v>
      </c>
      <c r="B947" s="128" t="s">
        <v>28994</v>
      </c>
      <c r="C947" s="194" t="s">
        <v>218</v>
      </c>
      <c r="D947" s="195">
        <v>33121.4</v>
      </c>
      <c r="E947" s="196">
        <v>44816</v>
      </c>
      <c r="F947" s="195">
        <v>33121.4</v>
      </c>
      <c r="G947" s="197">
        <f>Tabla110[[#This Row],[Importe]]-Tabla110[[#This Row],[Pagado]]</f>
        <v>0</v>
      </c>
      <c r="H947" s="194" t="s">
        <v>10</v>
      </c>
    </row>
    <row r="948" spans="1:8" x14ac:dyDescent="0.25">
      <c r="A948" s="127">
        <v>44813</v>
      </c>
      <c r="B948" s="128" t="s">
        <v>28995</v>
      </c>
      <c r="C948" s="194" t="s">
        <v>131</v>
      </c>
      <c r="D948" s="195">
        <v>3748.8</v>
      </c>
      <c r="E948" s="196">
        <v>44813</v>
      </c>
      <c r="F948" s="195">
        <v>3748.8</v>
      </c>
      <c r="G948" s="197">
        <f>Tabla110[[#This Row],[Importe]]-Tabla110[[#This Row],[Pagado]]</f>
        <v>0</v>
      </c>
      <c r="H948" s="194" t="s">
        <v>10</v>
      </c>
    </row>
    <row r="949" spans="1:8" x14ac:dyDescent="0.25">
      <c r="A949" s="127">
        <v>44813</v>
      </c>
      <c r="B949" s="128" t="s">
        <v>28996</v>
      </c>
      <c r="C949" s="194" t="s">
        <v>878</v>
      </c>
      <c r="D949" s="195">
        <v>3308.6</v>
      </c>
      <c r="E949" s="196">
        <v>44813</v>
      </c>
      <c r="F949" s="195">
        <v>3308.6</v>
      </c>
      <c r="G949" s="197">
        <f>Tabla110[[#This Row],[Importe]]-Tabla110[[#This Row],[Pagado]]</f>
        <v>0</v>
      </c>
      <c r="H949" s="194" t="s">
        <v>10</v>
      </c>
    </row>
    <row r="950" spans="1:8" x14ac:dyDescent="0.25">
      <c r="A950" s="127">
        <v>44813</v>
      </c>
      <c r="B950" s="128" t="s">
        <v>28997</v>
      </c>
      <c r="C950" s="194" t="s">
        <v>703</v>
      </c>
      <c r="D950" s="195">
        <v>5007.8</v>
      </c>
      <c r="E950" s="196">
        <v>44813</v>
      </c>
      <c r="F950" s="195">
        <v>5007.8</v>
      </c>
      <c r="G950" s="197">
        <f>Tabla110[[#This Row],[Importe]]-Tabla110[[#This Row],[Pagado]]</f>
        <v>0</v>
      </c>
      <c r="H950" s="194" t="s">
        <v>10</v>
      </c>
    </row>
    <row r="951" spans="1:8" x14ac:dyDescent="0.25">
      <c r="A951" s="127">
        <v>44813</v>
      </c>
      <c r="B951" s="128" t="s">
        <v>28998</v>
      </c>
      <c r="C951" s="194" t="s">
        <v>28999</v>
      </c>
      <c r="D951" s="195">
        <v>2628</v>
      </c>
      <c r="E951" s="196">
        <v>44813</v>
      </c>
      <c r="F951" s="195">
        <v>2628</v>
      </c>
      <c r="G951" s="197">
        <f>Tabla110[[#This Row],[Importe]]-Tabla110[[#This Row],[Pagado]]</f>
        <v>0</v>
      </c>
      <c r="H951" s="194" t="s">
        <v>10</v>
      </c>
    </row>
    <row r="952" spans="1:8" x14ac:dyDescent="0.25">
      <c r="A952" s="127">
        <v>44813</v>
      </c>
      <c r="B952" s="128" t="s">
        <v>29000</v>
      </c>
      <c r="C952" s="194" t="s">
        <v>206</v>
      </c>
      <c r="D952" s="195">
        <v>36990.1</v>
      </c>
      <c r="E952" s="196">
        <v>44816</v>
      </c>
      <c r="F952" s="195">
        <v>36990.1</v>
      </c>
      <c r="G952" s="197">
        <f>Tabla110[[#This Row],[Importe]]-Tabla110[[#This Row],[Pagado]]</f>
        <v>0</v>
      </c>
      <c r="H952" s="194" t="s">
        <v>10</v>
      </c>
    </row>
    <row r="953" spans="1:8" x14ac:dyDescent="0.25">
      <c r="A953" s="127">
        <v>44813</v>
      </c>
      <c r="B953" s="128" t="s">
        <v>29001</v>
      </c>
      <c r="C953" s="194" t="s">
        <v>7894</v>
      </c>
      <c r="D953" s="195">
        <v>9500</v>
      </c>
      <c r="E953" s="196">
        <v>44813</v>
      </c>
      <c r="F953" s="195">
        <v>9500</v>
      </c>
      <c r="G953" s="197">
        <f>Tabla110[[#This Row],[Importe]]-Tabla110[[#This Row],[Pagado]]</f>
        <v>0</v>
      </c>
      <c r="H953" s="194" t="s">
        <v>10</v>
      </c>
    </row>
    <row r="954" spans="1:8" x14ac:dyDescent="0.25">
      <c r="A954" s="127">
        <v>44813</v>
      </c>
      <c r="B954" s="128" t="s">
        <v>29002</v>
      </c>
      <c r="C954" s="194" t="s">
        <v>27</v>
      </c>
      <c r="D954" s="195">
        <v>1908</v>
      </c>
      <c r="E954" s="196">
        <v>44813</v>
      </c>
      <c r="F954" s="195">
        <v>1908</v>
      </c>
      <c r="G954" s="197">
        <f>Tabla110[[#This Row],[Importe]]-Tabla110[[#This Row],[Pagado]]</f>
        <v>0</v>
      </c>
      <c r="H954" s="194" t="s">
        <v>10</v>
      </c>
    </row>
    <row r="955" spans="1:8" x14ac:dyDescent="0.25">
      <c r="A955" s="127">
        <v>44813</v>
      </c>
      <c r="B955" s="128" t="s">
        <v>29003</v>
      </c>
      <c r="C955" s="194" t="s">
        <v>647</v>
      </c>
      <c r="D955" s="195">
        <v>5884</v>
      </c>
      <c r="E955" s="196">
        <v>44813</v>
      </c>
      <c r="F955" s="195">
        <v>5884</v>
      </c>
      <c r="G955" s="197">
        <f>Tabla110[[#This Row],[Importe]]-Tabla110[[#This Row],[Pagado]]</f>
        <v>0</v>
      </c>
      <c r="H955" s="194" t="s">
        <v>10</v>
      </c>
    </row>
    <row r="956" spans="1:8" x14ac:dyDescent="0.25">
      <c r="A956" s="127">
        <v>44813</v>
      </c>
      <c r="B956" s="128" t="s">
        <v>29004</v>
      </c>
      <c r="C956" s="194" t="s">
        <v>804</v>
      </c>
      <c r="D956" s="195">
        <v>625.35</v>
      </c>
      <c r="E956" s="196">
        <v>44813</v>
      </c>
      <c r="F956" s="195">
        <v>625.35</v>
      </c>
      <c r="G956" s="197">
        <f>Tabla110[[#This Row],[Importe]]-Tabla110[[#This Row],[Pagado]]</f>
        <v>0</v>
      </c>
      <c r="H956" s="194" t="s">
        <v>10</v>
      </c>
    </row>
    <row r="957" spans="1:8" x14ac:dyDescent="0.25">
      <c r="A957" s="127">
        <v>44813</v>
      </c>
      <c r="B957" s="128" t="s">
        <v>29005</v>
      </c>
      <c r="C957" s="194" t="s">
        <v>29</v>
      </c>
      <c r="D957" s="195">
        <v>5983.2</v>
      </c>
      <c r="E957" s="196">
        <v>44813</v>
      </c>
      <c r="F957" s="195">
        <v>5983.2</v>
      </c>
      <c r="G957" s="197">
        <f>Tabla110[[#This Row],[Importe]]-Tabla110[[#This Row],[Pagado]]</f>
        <v>0</v>
      </c>
      <c r="H957" s="194" t="s">
        <v>10</v>
      </c>
    </row>
    <row r="958" spans="1:8" x14ac:dyDescent="0.25">
      <c r="A958" s="127">
        <v>44813</v>
      </c>
      <c r="B958" s="128" t="s">
        <v>29006</v>
      </c>
      <c r="C958" s="194" t="s">
        <v>8501</v>
      </c>
      <c r="D958" s="195">
        <v>10678.5</v>
      </c>
      <c r="E958" s="196">
        <v>44813</v>
      </c>
      <c r="F958" s="195">
        <v>10678.5</v>
      </c>
      <c r="G958" s="197">
        <f>Tabla110[[#This Row],[Importe]]-Tabla110[[#This Row],[Pagado]]</f>
        <v>0</v>
      </c>
      <c r="H958" s="194" t="s">
        <v>10</v>
      </c>
    </row>
    <row r="959" spans="1:8" x14ac:dyDescent="0.25">
      <c r="A959" s="127">
        <v>44813</v>
      </c>
      <c r="B959" s="128" t="s">
        <v>29007</v>
      </c>
      <c r="C959" s="194" t="s">
        <v>24</v>
      </c>
      <c r="D959" s="195">
        <v>3900</v>
      </c>
      <c r="E959" s="196">
        <v>44813</v>
      </c>
      <c r="F959" s="195">
        <v>3900</v>
      </c>
      <c r="G959" s="197">
        <f>Tabla110[[#This Row],[Importe]]-Tabla110[[#This Row],[Pagado]]</f>
        <v>0</v>
      </c>
      <c r="H959" s="194" t="s">
        <v>10</v>
      </c>
    </row>
    <row r="960" spans="1:8" x14ac:dyDescent="0.25">
      <c r="A960" s="127">
        <v>44813</v>
      </c>
      <c r="B960" s="128" t="s">
        <v>29008</v>
      </c>
      <c r="C960" s="194" t="s">
        <v>173</v>
      </c>
      <c r="D960" s="195">
        <v>28132.799999999999</v>
      </c>
      <c r="E960" s="196">
        <v>44814</v>
      </c>
      <c r="F960" s="195">
        <v>28132.799999999999</v>
      </c>
      <c r="G960" s="197">
        <f>Tabla110[[#This Row],[Importe]]-Tabla110[[#This Row],[Pagado]]</f>
        <v>0</v>
      </c>
      <c r="H960" s="194" t="s">
        <v>10</v>
      </c>
    </row>
    <row r="961" spans="1:8" x14ac:dyDescent="0.25">
      <c r="A961" s="127">
        <v>44813</v>
      </c>
      <c r="B961" s="128" t="s">
        <v>29009</v>
      </c>
      <c r="C961" s="194" t="s">
        <v>45</v>
      </c>
      <c r="D961" s="195">
        <v>13255</v>
      </c>
      <c r="E961" s="196">
        <v>44813</v>
      </c>
      <c r="F961" s="195">
        <v>13255</v>
      </c>
      <c r="G961" s="197">
        <f>Tabla110[[#This Row],[Importe]]-Tabla110[[#This Row],[Pagado]]</f>
        <v>0</v>
      </c>
      <c r="H961" s="194" t="s">
        <v>10</v>
      </c>
    </row>
    <row r="962" spans="1:8" x14ac:dyDescent="0.25">
      <c r="A962" s="127">
        <v>44813</v>
      </c>
      <c r="B962" s="128" t="s">
        <v>29010</v>
      </c>
      <c r="C962" s="194" t="s">
        <v>53</v>
      </c>
      <c r="D962" s="195">
        <v>1265.0999999999999</v>
      </c>
      <c r="E962" s="196">
        <v>44813</v>
      </c>
      <c r="F962" s="195">
        <v>1265.0999999999999</v>
      </c>
      <c r="G962" s="197">
        <f>Tabla110[[#This Row],[Importe]]-Tabla110[[#This Row],[Pagado]]</f>
        <v>0</v>
      </c>
      <c r="H962" s="194" t="s">
        <v>10</v>
      </c>
    </row>
    <row r="963" spans="1:8" x14ac:dyDescent="0.25">
      <c r="A963" s="127">
        <v>44813</v>
      </c>
      <c r="B963" s="128" t="s">
        <v>29011</v>
      </c>
      <c r="C963" s="194" t="s">
        <v>392</v>
      </c>
      <c r="D963" s="195">
        <v>21609</v>
      </c>
      <c r="E963" s="196">
        <v>44819</v>
      </c>
      <c r="F963" s="195">
        <v>21609</v>
      </c>
      <c r="G963" s="197">
        <f>Tabla110[[#This Row],[Importe]]-Tabla110[[#This Row],[Pagado]]</f>
        <v>0</v>
      </c>
      <c r="H963" s="194" t="s">
        <v>10</v>
      </c>
    </row>
    <row r="964" spans="1:8" x14ac:dyDescent="0.25">
      <c r="A964" s="127">
        <v>44813</v>
      </c>
      <c r="B964" s="128" t="s">
        <v>29012</v>
      </c>
      <c r="C964" s="194" t="s">
        <v>4136</v>
      </c>
      <c r="D964" s="195">
        <v>2984.9</v>
      </c>
      <c r="E964" s="196">
        <v>44813</v>
      </c>
      <c r="F964" s="195">
        <v>2984.9</v>
      </c>
      <c r="G964" s="197">
        <f>Tabla110[[#This Row],[Importe]]-Tabla110[[#This Row],[Pagado]]</f>
        <v>0</v>
      </c>
      <c r="H964" s="194" t="s">
        <v>10</v>
      </c>
    </row>
    <row r="965" spans="1:8" x14ac:dyDescent="0.25">
      <c r="A965" s="127">
        <v>44813</v>
      </c>
      <c r="B965" s="128" t="s">
        <v>29013</v>
      </c>
      <c r="C965" s="194" t="s">
        <v>5126</v>
      </c>
      <c r="D965" s="195">
        <v>96903</v>
      </c>
      <c r="E965" s="196">
        <v>44813</v>
      </c>
      <c r="F965" s="195">
        <v>96903</v>
      </c>
      <c r="G965" s="197">
        <f>Tabla110[[#This Row],[Importe]]-Tabla110[[#This Row],[Pagado]]</f>
        <v>0</v>
      </c>
      <c r="H965" s="194" t="s">
        <v>10</v>
      </c>
    </row>
    <row r="966" spans="1:8" x14ac:dyDescent="0.25">
      <c r="A966" s="127">
        <v>44813</v>
      </c>
      <c r="B966" s="128" t="s">
        <v>29014</v>
      </c>
      <c r="C966" s="194" t="s">
        <v>49</v>
      </c>
      <c r="D966" s="195">
        <v>4227.5</v>
      </c>
      <c r="E966" s="196">
        <v>44813</v>
      </c>
      <c r="F966" s="195">
        <v>4227.5</v>
      </c>
      <c r="G966" s="197">
        <f>Tabla110[[#This Row],[Importe]]-Tabla110[[#This Row],[Pagado]]</f>
        <v>0</v>
      </c>
      <c r="H966" s="194" t="s">
        <v>10</v>
      </c>
    </row>
    <row r="967" spans="1:8" x14ac:dyDescent="0.25">
      <c r="A967" s="127">
        <v>44813</v>
      </c>
      <c r="B967" s="128" t="s">
        <v>29015</v>
      </c>
      <c r="C967" s="194" t="s">
        <v>365</v>
      </c>
      <c r="D967" s="195">
        <v>1037</v>
      </c>
      <c r="E967" s="196">
        <v>44813</v>
      </c>
      <c r="F967" s="195">
        <v>1037</v>
      </c>
      <c r="G967" s="197">
        <f>Tabla110[[#This Row],[Importe]]-Tabla110[[#This Row],[Pagado]]</f>
        <v>0</v>
      </c>
      <c r="H967" s="194" t="s">
        <v>10</v>
      </c>
    </row>
    <row r="968" spans="1:8" x14ac:dyDescent="0.25">
      <c r="A968" s="127">
        <v>44813</v>
      </c>
      <c r="B968" s="128" t="s">
        <v>29016</v>
      </c>
      <c r="C968" s="194" t="s">
        <v>79</v>
      </c>
      <c r="D968" s="195">
        <v>21960</v>
      </c>
      <c r="E968" s="196">
        <v>44813</v>
      </c>
      <c r="F968" s="195">
        <v>21960</v>
      </c>
      <c r="G968" s="197">
        <f>Tabla110[[#This Row],[Importe]]-Tabla110[[#This Row],[Pagado]]</f>
        <v>0</v>
      </c>
      <c r="H968" s="194" t="s">
        <v>10</v>
      </c>
    </row>
    <row r="969" spans="1:8" x14ac:dyDescent="0.25">
      <c r="A969" s="127">
        <v>44813</v>
      </c>
      <c r="B969" s="128" t="s">
        <v>29017</v>
      </c>
      <c r="C969" s="194" t="s">
        <v>31</v>
      </c>
      <c r="D969" s="195">
        <v>648</v>
      </c>
      <c r="E969" s="196">
        <v>44813</v>
      </c>
      <c r="F969" s="195">
        <v>648</v>
      </c>
      <c r="G969" s="197">
        <f>Tabla110[[#This Row],[Importe]]-Tabla110[[#This Row],[Pagado]]</f>
        <v>0</v>
      </c>
      <c r="H969" s="194" t="s">
        <v>10</v>
      </c>
    </row>
    <row r="970" spans="1:8" x14ac:dyDescent="0.25">
      <c r="A970" s="127">
        <v>44813</v>
      </c>
      <c r="B970" s="128" t="s">
        <v>29018</v>
      </c>
      <c r="C970" s="194" t="s">
        <v>56</v>
      </c>
      <c r="D970" s="195">
        <v>7174</v>
      </c>
      <c r="E970" s="196">
        <v>44813</v>
      </c>
      <c r="F970" s="195">
        <v>7174</v>
      </c>
      <c r="G970" s="197">
        <f>Tabla110[[#This Row],[Importe]]-Tabla110[[#This Row],[Pagado]]</f>
        <v>0</v>
      </c>
      <c r="H970" s="194" t="s">
        <v>10</v>
      </c>
    </row>
    <row r="971" spans="1:8" x14ac:dyDescent="0.25">
      <c r="A971" s="127">
        <v>44813</v>
      </c>
      <c r="B971" s="128" t="s">
        <v>29019</v>
      </c>
      <c r="C971" s="194" t="s">
        <v>226</v>
      </c>
      <c r="D971" s="195">
        <v>7722.5</v>
      </c>
      <c r="E971" s="196">
        <v>44813</v>
      </c>
      <c r="F971" s="195">
        <v>7722.5</v>
      </c>
      <c r="G971" s="197">
        <f>Tabla110[[#This Row],[Importe]]-Tabla110[[#This Row],[Pagado]]</f>
        <v>0</v>
      </c>
      <c r="H971" s="194" t="s">
        <v>10</v>
      </c>
    </row>
    <row r="972" spans="1:8" x14ac:dyDescent="0.25">
      <c r="A972" s="127">
        <v>44813</v>
      </c>
      <c r="B972" s="128" t="s">
        <v>29020</v>
      </c>
      <c r="C972" s="194" t="s">
        <v>35</v>
      </c>
      <c r="D972" s="195">
        <v>3350.5</v>
      </c>
      <c r="E972" s="196">
        <v>44813</v>
      </c>
      <c r="F972" s="195">
        <v>3350.5</v>
      </c>
      <c r="G972" s="197">
        <f>Tabla110[[#This Row],[Importe]]-Tabla110[[#This Row],[Pagado]]</f>
        <v>0</v>
      </c>
      <c r="H972" s="194" t="s">
        <v>10</v>
      </c>
    </row>
    <row r="973" spans="1:8" x14ac:dyDescent="0.25">
      <c r="A973" s="127">
        <v>44813</v>
      </c>
      <c r="B973" s="128" t="s">
        <v>29021</v>
      </c>
      <c r="C973" s="194" t="s">
        <v>31</v>
      </c>
      <c r="D973" s="195">
        <v>1166.4000000000001</v>
      </c>
      <c r="E973" s="196">
        <v>44813</v>
      </c>
      <c r="F973" s="195">
        <v>1166.4000000000001</v>
      </c>
      <c r="G973" s="197">
        <f>Tabla110[[#This Row],[Importe]]-Tabla110[[#This Row],[Pagado]]</f>
        <v>0</v>
      </c>
      <c r="H973" s="194" t="s">
        <v>10</v>
      </c>
    </row>
    <row r="974" spans="1:8" x14ac:dyDescent="0.25">
      <c r="A974" s="127">
        <v>44813</v>
      </c>
      <c r="B974" s="128" t="s">
        <v>29022</v>
      </c>
      <c r="C974" s="194" t="s">
        <v>154</v>
      </c>
      <c r="D974" s="195">
        <v>58242.9</v>
      </c>
      <c r="E974" s="196">
        <v>44817</v>
      </c>
      <c r="F974" s="195">
        <v>58242.9</v>
      </c>
      <c r="G974" s="197">
        <f>Tabla110[[#This Row],[Importe]]-Tabla110[[#This Row],[Pagado]]</f>
        <v>0</v>
      </c>
      <c r="H974" s="194" t="s">
        <v>10</v>
      </c>
    </row>
    <row r="975" spans="1:8" x14ac:dyDescent="0.25">
      <c r="A975" s="127">
        <v>44813</v>
      </c>
      <c r="B975" s="128" t="s">
        <v>29023</v>
      </c>
      <c r="C975" s="194" t="s">
        <v>173</v>
      </c>
      <c r="D975" s="195">
        <v>5737.6</v>
      </c>
      <c r="E975" s="196">
        <v>44814</v>
      </c>
      <c r="F975" s="195">
        <v>5737.6</v>
      </c>
      <c r="G975" s="197">
        <f>Tabla110[[#This Row],[Importe]]-Tabla110[[#This Row],[Pagado]]</f>
        <v>0</v>
      </c>
      <c r="H975" s="194" t="s">
        <v>10</v>
      </c>
    </row>
    <row r="976" spans="1:8" x14ac:dyDescent="0.25">
      <c r="A976" s="127">
        <v>44813</v>
      </c>
      <c r="B976" s="128" t="s">
        <v>29024</v>
      </c>
      <c r="C976" s="194" t="s">
        <v>407</v>
      </c>
      <c r="D976" s="195">
        <v>29016</v>
      </c>
      <c r="E976" s="196">
        <v>44820</v>
      </c>
      <c r="F976" s="195">
        <v>29016</v>
      </c>
      <c r="G976" s="197">
        <f>Tabla110[[#This Row],[Importe]]-Tabla110[[#This Row],[Pagado]]</f>
        <v>0</v>
      </c>
      <c r="H976" s="194" t="s">
        <v>10</v>
      </c>
    </row>
    <row r="977" spans="1:8" x14ac:dyDescent="0.25">
      <c r="A977" s="127">
        <v>44813</v>
      </c>
      <c r="B977" s="128" t="s">
        <v>29025</v>
      </c>
      <c r="C977" s="194" t="s">
        <v>191</v>
      </c>
      <c r="D977" s="195">
        <v>1987.5</v>
      </c>
      <c r="E977" s="196">
        <v>44813</v>
      </c>
      <c r="F977" s="195">
        <v>1987.5</v>
      </c>
      <c r="G977" s="197">
        <f>Tabla110[[#This Row],[Importe]]-Tabla110[[#This Row],[Pagado]]</f>
        <v>0</v>
      </c>
      <c r="H977" s="194" t="s">
        <v>10</v>
      </c>
    </row>
    <row r="978" spans="1:8" x14ac:dyDescent="0.25">
      <c r="A978" s="127">
        <v>44813</v>
      </c>
      <c r="B978" s="128" t="s">
        <v>29026</v>
      </c>
      <c r="C978" s="194" t="s">
        <v>12</v>
      </c>
      <c r="D978" s="195">
        <v>3966.4</v>
      </c>
      <c r="E978" s="196">
        <v>44814</v>
      </c>
      <c r="F978" s="195">
        <v>3966.4</v>
      </c>
      <c r="G978" s="197">
        <f>Tabla110[[#This Row],[Importe]]-Tabla110[[#This Row],[Pagado]]</f>
        <v>0</v>
      </c>
      <c r="H978" s="194" t="s">
        <v>10</v>
      </c>
    </row>
    <row r="979" spans="1:8" x14ac:dyDescent="0.25">
      <c r="A979" s="127">
        <v>44813</v>
      </c>
      <c r="B979" s="128" t="s">
        <v>29027</v>
      </c>
      <c r="C979" s="194" t="s">
        <v>698</v>
      </c>
      <c r="D979" s="195">
        <v>6673.2</v>
      </c>
      <c r="E979" s="196">
        <v>44813</v>
      </c>
      <c r="F979" s="195">
        <v>6673.2</v>
      </c>
      <c r="G979" s="197">
        <f>Tabla110[[#This Row],[Importe]]-Tabla110[[#This Row],[Pagado]]</f>
        <v>0</v>
      </c>
      <c r="H979" s="194" t="s">
        <v>10</v>
      </c>
    </row>
    <row r="980" spans="1:8" x14ac:dyDescent="0.25">
      <c r="A980" s="127">
        <v>44813</v>
      </c>
      <c r="B980" s="128" t="s">
        <v>29028</v>
      </c>
      <c r="C980" s="194" t="s">
        <v>58</v>
      </c>
      <c r="D980" s="195">
        <v>5741.5</v>
      </c>
      <c r="E980" s="196">
        <v>44813</v>
      </c>
      <c r="F980" s="195">
        <v>5741.5</v>
      </c>
      <c r="G980" s="197">
        <f>Tabla110[[#This Row],[Importe]]-Tabla110[[#This Row],[Pagado]]</f>
        <v>0</v>
      </c>
      <c r="H980" s="194" t="s">
        <v>10</v>
      </c>
    </row>
    <row r="981" spans="1:8" x14ac:dyDescent="0.25">
      <c r="A981" s="127">
        <v>44813</v>
      </c>
      <c r="B981" s="128" t="s">
        <v>29029</v>
      </c>
      <c r="C981" s="194" t="s">
        <v>21812</v>
      </c>
      <c r="D981" s="195">
        <v>3821.78</v>
      </c>
      <c r="E981" s="196">
        <v>44813</v>
      </c>
      <c r="F981" s="195">
        <v>3821.78</v>
      </c>
      <c r="G981" s="197">
        <f>Tabla110[[#This Row],[Importe]]-Tabla110[[#This Row],[Pagado]]</f>
        <v>0</v>
      </c>
      <c r="H981" s="194" t="s">
        <v>10</v>
      </c>
    </row>
    <row r="982" spans="1:8" x14ac:dyDescent="0.25">
      <c r="A982" s="127">
        <v>44813</v>
      </c>
      <c r="B982" s="128" t="s">
        <v>29030</v>
      </c>
      <c r="C982" s="194" t="s">
        <v>51</v>
      </c>
      <c r="D982" s="195">
        <v>5002.3</v>
      </c>
      <c r="E982" s="196">
        <v>44813</v>
      </c>
      <c r="F982" s="195">
        <v>5002.3</v>
      </c>
      <c r="G982" s="197">
        <f>Tabla110[[#This Row],[Importe]]-Tabla110[[#This Row],[Pagado]]</f>
        <v>0</v>
      </c>
      <c r="H982" s="194" t="s">
        <v>10</v>
      </c>
    </row>
    <row r="983" spans="1:8" x14ac:dyDescent="0.25">
      <c r="A983" s="127">
        <v>44813</v>
      </c>
      <c r="B983" s="128" t="s">
        <v>29031</v>
      </c>
      <c r="C983" s="194" t="s">
        <v>133</v>
      </c>
      <c r="D983" s="195">
        <v>12211.2</v>
      </c>
      <c r="E983" s="196">
        <v>44814</v>
      </c>
      <c r="F983" s="195">
        <v>12211.2</v>
      </c>
      <c r="G983" s="197">
        <f>Tabla110[[#This Row],[Importe]]-Tabla110[[#This Row],[Pagado]]</f>
        <v>0</v>
      </c>
      <c r="H983" s="194" t="s">
        <v>10</v>
      </c>
    </row>
    <row r="984" spans="1:8" x14ac:dyDescent="0.25">
      <c r="A984" s="127">
        <v>44813</v>
      </c>
      <c r="B984" s="128" t="s">
        <v>29032</v>
      </c>
      <c r="C984" s="194" t="s">
        <v>1644</v>
      </c>
      <c r="D984" s="195">
        <v>10699.2</v>
      </c>
      <c r="E984" s="196">
        <v>44814</v>
      </c>
      <c r="F984" s="195">
        <v>10699.2</v>
      </c>
      <c r="G984" s="197">
        <f>Tabla110[[#This Row],[Importe]]-Tabla110[[#This Row],[Pagado]]</f>
        <v>0</v>
      </c>
      <c r="H984" s="194" t="s">
        <v>10</v>
      </c>
    </row>
    <row r="985" spans="1:8" x14ac:dyDescent="0.25">
      <c r="A985" s="127">
        <v>44813</v>
      </c>
      <c r="B985" s="128" t="s">
        <v>29033</v>
      </c>
      <c r="C985" s="194" t="s">
        <v>9415</v>
      </c>
      <c r="D985" s="195">
        <v>13170.7</v>
      </c>
      <c r="E985" s="196">
        <v>44814</v>
      </c>
      <c r="F985" s="195">
        <v>13170.7</v>
      </c>
      <c r="G985" s="197">
        <f>Tabla110[[#This Row],[Importe]]-Tabla110[[#This Row],[Pagado]]</f>
        <v>0</v>
      </c>
      <c r="H985" s="194" t="s">
        <v>10</v>
      </c>
    </row>
    <row r="986" spans="1:8" x14ac:dyDescent="0.25">
      <c r="A986" s="127">
        <v>44813</v>
      </c>
      <c r="B986" s="128" t="s">
        <v>29034</v>
      </c>
      <c r="C986" s="194" t="s">
        <v>212</v>
      </c>
      <c r="D986" s="195">
        <v>87242.6</v>
      </c>
      <c r="E986" s="196">
        <v>44816</v>
      </c>
      <c r="F986" s="195">
        <v>87242.6</v>
      </c>
      <c r="G986" s="197">
        <f>Tabla110[[#This Row],[Importe]]-Tabla110[[#This Row],[Pagado]]</f>
        <v>0</v>
      </c>
      <c r="H986" s="194" t="s">
        <v>10</v>
      </c>
    </row>
    <row r="987" spans="1:8" x14ac:dyDescent="0.25">
      <c r="A987" s="127">
        <v>44813</v>
      </c>
      <c r="B987" s="128" t="s">
        <v>29035</v>
      </c>
      <c r="C987" s="194" t="s">
        <v>173</v>
      </c>
      <c r="D987" s="195">
        <v>2560.8000000000002</v>
      </c>
      <c r="E987" s="196">
        <v>44814</v>
      </c>
      <c r="F987" s="195">
        <v>2560.8000000000002</v>
      </c>
      <c r="G987" s="197">
        <f>Tabla110[[#This Row],[Importe]]-Tabla110[[#This Row],[Pagado]]</f>
        <v>0</v>
      </c>
      <c r="H987" s="194" t="s">
        <v>10</v>
      </c>
    </row>
    <row r="988" spans="1:8" x14ac:dyDescent="0.25">
      <c r="A988" s="127">
        <v>44813</v>
      </c>
      <c r="B988" s="128" t="s">
        <v>29036</v>
      </c>
      <c r="C988" s="194" t="s">
        <v>62</v>
      </c>
      <c r="D988" s="195">
        <v>3504</v>
      </c>
      <c r="E988" s="196">
        <v>44813</v>
      </c>
      <c r="F988" s="195">
        <v>3504</v>
      </c>
      <c r="G988" s="197">
        <f>Tabla110[[#This Row],[Importe]]-Tabla110[[#This Row],[Pagado]]</f>
        <v>0</v>
      </c>
      <c r="H988" s="194" t="s">
        <v>10</v>
      </c>
    </row>
    <row r="989" spans="1:8" x14ac:dyDescent="0.25">
      <c r="A989" s="127">
        <v>44813</v>
      </c>
      <c r="B989" s="128" t="s">
        <v>29037</v>
      </c>
      <c r="C989" s="194" t="s">
        <v>62</v>
      </c>
      <c r="D989" s="195">
        <v>3278.2</v>
      </c>
      <c r="E989" s="196">
        <v>44813</v>
      </c>
      <c r="F989" s="195">
        <v>3278.2</v>
      </c>
      <c r="G989" s="197">
        <f>Tabla110[[#This Row],[Importe]]-Tabla110[[#This Row],[Pagado]]</f>
        <v>0</v>
      </c>
      <c r="H989" s="194" t="s">
        <v>10</v>
      </c>
    </row>
    <row r="990" spans="1:8" x14ac:dyDescent="0.25">
      <c r="A990" s="127">
        <v>44813</v>
      </c>
      <c r="B990" s="128" t="s">
        <v>29038</v>
      </c>
      <c r="C990" s="194" t="s">
        <v>216</v>
      </c>
      <c r="D990" s="195">
        <v>4802.3999999999996</v>
      </c>
      <c r="E990" s="196">
        <v>44813</v>
      </c>
      <c r="F990" s="195">
        <v>4802.3999999999996</v>
      </c>
      <c r="G990" s="197">
        <f>Tabla110[[#This Row],[Importe]]-Tabla110[[#This Row],[Pagado]]</f>
        <v>0</v>
      </c>
      <c r="H990" s="194" t="s">
        <v>10</v>
      </c>
    </row>
    <row r="991" spans="1:8" x14ac:dyDescent="0.25">
      <c r="A991" s="127">
        <v>44813</v>
      </c>
      <c r="B991" s="128" t="s">
        <v>29039</v>
      </c>
      <c r="C991" s="194" t="s">
        <v>1003</v>
      </c>
      <c r="D991" s="195">
        <v>10276</v>
      </c>
      <c r="E991" s="196">
        <v>44814</v>
      </c>
      <c r="F991" s="195">
        <v>10276</v>
      </c>
      <c r="G991" s="197">
        <f>Tabla110[[#This Row],[Importe]]-Tabla110[[#This Row],[Pagado]]</f>
        <v>0</v>
      </c>
      <c r="H991" s="194" t="s">
        <v>10</v>
      </c>
    </row>
    <row r="992" spans="1:8" x14ac:dyDescent="0.25">
      <c r="A992" s="127">
        <v>44813</v>
      </c>
      <c r="B992" s="128" t="s">
        <v>29040</v>
      </c>
      <c r="C992" s="194" t="s">
        <v>29041</v>
      </c>
      <c r="D992" s="195">
        <v>4870.8</v>
      </c>
      <c r="E992" s="196">
        <v>44813</v>
      </c>
      <c r="F992" s="195">
        <v>4870.8</v>
      </c>
      <c r="G992" s="197">
        <f>Tabla110[[#This Row],[Importe]]-Tabla110[[#This Row],[Pagado]]</f>
        <v>0</v>
      </c>
      <c r="H992" s="194" t="s">
        <v>10</v>
      </c>
    </row>
    <row r="993" spans="1:8" x14ac:dyDescent="0.25">
      <c r="A993" s="127">
        <v>44813</v>
      </c>
      <c r="B993" s="128" t="s">
        <v>29042</v>
      </c>
      <c r="C993" s="194" t="s">
        <v>29043</v>
      </c>
      <c r="D993" s="195">
        <v>0</v>
      </c>
      <c r="E993" s="199" t="s">
        <v>189</v>
      </c>
      <c r="F993" s="195">
        <v>0</v>
      </c>
      <c r="G993" s="197">
        <f>Tabla110[[#This Row],[Importe]]-Tabla110[[#This Row],[Pagado]]</f>
        <v>0</v>
      </c>
      <c r="H993" s="200" t="s">
        <v>29044</v>
      </c>
    </row>
    <row r="994" spans="1:8" x14ac:dyDescent="0.25">
      <c r="A994" s="127">
        <v>44813</v>
      </c>
      <c r="B994" s="128" t="s">
        <v>29045</v>
      </c>
      <c r="C994" s="194" t="s">
        <v>233</v>
      </c>
      <c r="D994" s="195">
        <v>5365.5</v>
      </c>
      <c r="E994" s="196">
        <v>44813</v>
      </c>
      <c r="F994" s="195">
        <v>5365.5</v>
      </c>
      <c r="G994" s="197">
        <f>Tabla110[[#This Row],[Importe]]-Tabla110[[#This Row],[Pagado]]</f>
        <v>0</v>
      </c>
      <c r="H994" s="194" t="s">
        <v>10</v>
      </c>
    </row>
    <row r="995" spans="1:8" x14ac:dyDescent="0.25">
      <c r="A995" s="127">
        <v>44813</v>
      </c>
      <c r="B995" s="128" t="s">
        <v>29046</v>
      </c>
      <c r="C995" s="194" t="s">
        <v>67</v>
      </c>
      <c r="D995" s="195">
        <v>11881</v>
      </c>
      <c r="E995" s="196">
        <v>44813</v>
      </c>
      <c r="F995" s="195">
        <v>11881</v>
      </c>
      <c r="G995" s="197">
        <f>Tabla110[[#This Row],[Importe]]-Tabla110[[#This Row],[Pagado]]</f>
        <v>0</v>
      </c>
      <c r="H995" s="194" t="s">
        <v>10</v>
      </c>
    </row>
    <row r="996" spans="1:8" x14ac:dyDescent="0.25">
      <c r="A996" s="127">
        <v>44813</v>
      </c>
      <c r="B996" s="128" t="s">
        <v>29047</v>
      </c>
      <c r="C996" s="194" t="s">
        <v>419</v>
      </c>
      <c r="D996" s="195">
        <v>10629.5</v>
      </c>
      <c r="E996" s="196">
        <v>44813</v>
      </c>
      <c r="F996" s="195">
        <v>10629.5</v>
      </c>
      <c r="G996" s="197">
        <f>Tabla110[[#This Row],[Importe]]-Tabla110[[#This Row],[Pagado]]</f>
        <v>0</v>
      </c>
      <c r="H996" s="194" t="s">
        <v>10</v>
      </c>
    </row>
    <row r="997" spans="1:8" x14ac:dyDescent="0.25">
      <c r="A997" s="127">
        <v>44813</v>
      </c>
      <c r="B997" s="128" t="s">
        <v>29048</v>
      </c>
      <c r="C997" s="194" t="s">
        <v>9827</v>
      </c>
      <c r="D997" s="195">
        <v>3636</v>
      </c>
      <c r="E997" s="196">
        <v>44813</v>
      </c>
      <c r="F997" s="195">
        <v>3636</v>
      </c>
      <c r="G997" s="197">
        <f>Tabla110[[#This Row],[Importe]]-Tabla110[[#This Row],[Pagado]]</f>
        <v>0</v>
      </c>
      <c r="H997" s="194" t="s">
        <v>10</v>
      </c>
    </row>
    <row r="998" spans="1:8" x14ac:dyDescent="0.25">
      <c r="A998" s="127">
        <v>44813</v>
      </c>
      <c r="B998" s="128" t="s">
        <v>29049</v>
      </c>
      <c r="C998" s="194" t="s">
        <v>135</v>
      </c>
      <c r="D998" s="195">
        <v>2010.8</v>
      </c>
      <c r="E998" s="196">
        <v>44813</v>
      </c>
      <c r="F998" s="195">
        <v>2010.8</v>
      </c>
      <c r="G998" s="197">
        <f>Tabla110[[#This Row],[Importe]]-Tabla110[[#This Row],[Pagado]]</f>
        <v>0</v>
      </c>
      <c r="H998" s="194" t="s">
        <v>10</v>
      </c>
    </row>
    <row r="999" spans="1:8" x14ac:dyDescent="0.25">
      <c r="A999" s="127">
        <v>44813</v>
      </c>
      <c r="B999" s="128" t="s">
        <v>29050</v>
      </c>
      <c r="C999" s="194" t="s">
        <v>414</v>
      </c>
      <c r="D999" s="195">
        <v>22392</v>
      </c>
      <c r="E999" s="196">
        <v>44823</v>
      </c>
      <c r="F999" s="195">
        <v>22392</v>
      </c>
      <c r="G999" s="197">
        <f>Tabla110[[#This Row],[Importe]]-Tabla110[[#This Row],[Pagado]]</f>
        <v>0</v>
      </c>
      <c r="H999" s="194" t="s">
        <v>10</v>
      </c>
    </row>
    <row r="1000" spans="1:8" x14ac:dyDescent="0.25">
      <c r="A1000" s="127">
        <v>44813</v>
      </c>
      <c r="B1000" s="128" t="s">
        <v>29051</v>
      </c>
      <c r="C1000" s="194" t="s">
        <v>555</v>
      </c>
      <c r="D1000" s="195">
        <v>15865.2</v>
      </c>
      <c r="E1000" s="196">
        <v>44813</v>
      </c>
      <c r="F1000" s="195">
        <v>15865.2</v>
      </c>
      <c r="G1000" s="197">
        <f>Tabla110[[#This Row],[Importe]]-Tabla110[[#This Row],[Pagado]]</f>
        <v>0</v>
      </c>
      <c r="H1000" s="194" t="s">
        <v>10</v>
      </c>
    </row>
    <row r="1001" spans="1:8" x14ac:dyDescent="0.25">
      <c r="A1001" s="127">
        <v>44813</v>
      </c>
      <c r="B1001" s="128" t="s">
        <v>29052</v>
      </c>
      <c r="C1001" s="194" t="s">
        <v>1350</v>
      </c>
      <c r="D1001" s="195">
        <v>1251.8</v>
      </c>
      <c r="E1001" s="196">
        <v>44813</v>
      </c>
      <c r="F1001" s="195">
        <v>1251.8</v>
      </c>
      <c r="G1001" s="197">
        <f>Tabla110[[#This Row],[Importe]]-Tabla110[[#This Row],[Pagado]]</f>
        <v>0</v>
      </c>
      <c r="H1001" s="194" t="s">
        <v>10</v>
      </c>
    </row>
    <row r="1002" spans="1:8" x14ac:dyDescent="0.25">
      <c r="A1002" s="127">
        <v>44813</v>
      </c>
      <c r="B1002" s="128" t="s">
        <v>29053</v>
      </c>
      <c r="C1002" s="194" t="s">
        <v>849</v>
      </c>
      <c r="D1002" s="195">
        <v>5347.4</v>
      </c>
      <c r="E1002" s="196">
        <v>44813</v>
      </c>
      <c r="F1002" s="195">
        <v>5347.4</v>
      </c>
      <c r="G1002" s="197">
        <f>Tabla110[[#This Row],[Importe]]-Tabla110[[#This Row],[Pagado]]</f>
        <v>0</v>
      </c>
      <c r="H1002" s="194" t="s">
        <v>10</v>
      </c>
    </row>
    <row r="1003" spans="1:8" x14ac:dyDescent="0.25">
      <c r="A1003" s="127">
        <v>44813</v>
      </c>
      <c r="B1003" s="128" t="s">
        <v>29054</v>
      </c>
      <c r="C1003" s="194" t="s">
        <v>31</v>
      </c>
      <c r="D1003" s="195">
        <v>3398.4</v>
      </c>
      <c r="E1003" s="196">
        <v>44813</v>
      </c>
      <c r="F1003" s="195">
        <v>3398.4</v>
      </c>
      <c r="G1003" s="197">
        <f>Tabla110[[#This Row],[Importe]]-Tabla110[[#This Row],[Pagado]]</f>
        <v>0</v>
      </c>
      <c r="H1003" s="194" t="s">
        <v>10</v>
      </c>
    </row>
    <row r="1004" spans="1:8" x14ac:dyDescent="0.25">
      <c r="A1004" s="127">
        <v>44813</v>
      </c>
      <c r="B1004" s="128" t="s">
        <v>29055</v>
      </c>
      <c r="C1004" s="194" t="s">
        <v>2139</v>
      </c>
      <c r="D1004" s="195">
        <v>8611.1</v>
      </c>
      <c r="E1004" s="196">
        <v>44813</v>
      </c>
      <c r="F1004" s="195">
        <v>8611.1</v>
      </c>
      <c r="G1004" s="197">
        <f>Tabla110[[#This Row],[Importe]]-Tabla110[[#This Row],[Pagado]]</f>
        <v>0</v>
      </c>
      <c r="H1004" s="194" t="s">
        <v>10</v>
      </c>
    </row>
    <row r="1005" spans="1:8" x14ac:dyDescent="0.25">
      <c r="A1005" s="127">
        <v>44813</v>
      </c>
      <c r="B1005" s="128" t="s">
        <v>29056</v>
      </c>
      <c r="C1005" s="194" t="s">
        <v>6112</v>
      </c>
      <c r="D1005" s="195">
        <v>6729</v>
      </c>
      <c r="E1005" s="196">
        <v>44813</v>
      </c>
      <c r="F1005" s="195">
        <v>6729</v>
      </c>
      <c r="G1005" s="197">
        <f>Tabla110[[#This Row],[Importe]]-Tabla110[[#This Row],[Pagado]]</f>
        <v>0</v>
      </c>
      <c r="H1005" s="194" t="s">
        <v>10</v>
      </c>
    </row>
    <row r="1006" spans="1:8" x14ac:dyDescent="0.25">
      <c r="A1006" s="127">
        <v>44813</v>
      </c>
      <c r="B1006" s="128" t="s">
        <v>29057</v>
      </c>
      <c r="C1006" s="194" t="s">
        <v>664</v>
      </c>
      <c r="D1006" s="195">
        <v>6778.2</v>
      </c>
      <c r="E1006" s="196">
        <v>44814</v>
      </c>
      <c r="F1006" s="195">
        <v>6778.2</v>
      </c>
      <c r="G1006" s="197">
        <f>Tabla110[[#This Row],[Importe]]-Tabla110[[#This Row],[Pagado]]</f>
        <v>0</v>
      </c>
      <c r="H1006" s="194" t="s">
        <v>10</v>
      </c>
    </row>
    <row r="1007" spans="1:8" x14ac:dyDescent="0.25">
      <c r="A1007" s="127">
        <v>44813</v>
      </c>
      <c r="B1007" s="128" t="s">
        <v>29058</v>
      </c>
      <c r="C1007" s="194" t="s">
        <v>473</v>
      </c>
      <c r="D1007" s="195">
        <v>4358.3999999999996</v>
      </c>
      <c r="E1007" s="196">
        <v>44814</v>
      </c>
      <c r="F1007" s="195">
        <v>4358.3999999999996</v>
      </c>
      <c r="G1007" s="197">
        <f>Tabla110[[#This Row],[Importe]]-Tabla110[[#This Row],[Pagado]]</f>
        <v>0</v>
      </c>
      <c r="H1007" s="194" t="s">
        <v>10</v>
      </c>
    </row>
    <row r="1008" spans="1:8" x14ac:dyDescent="0.25">
      <c r="A1008" s="127">
        <v>44813</v>
      </c>
      <c r="B1008" s="128" t="s">
        <v>29059</v>
      </c>
      <c r="C1008" s="194" t="s">
        <v>670</v>
      </c>
      <c r="D1008" s="195">
        <v>5197.6000000000004</v>
      </c>
      <c r="E1008" s="196">
        <v>44813</v>
      </c>
      <c r="F1008" s="195">
        <v>5197.6000000000004</v>
      </c>
      <c r="G1008" s="197">
        <f>Tabla110[[#This Row],[Importe]]-Tabla110[[#This Row],[Pagado]]</f>
        <v>0</v>
      </c>
      <c r="H1008" s="194" t="s">
        <v>10</v>
      </c>
    </row>
    <row r="1009" spans="1:8" x14ac:dyDescent="0.25">
      <c r="A1009" s="127">
        <v>44813</v>
      </c>
      <c r="B1009" s="128" t="s">
        <v>29060</v>
      </c>
      <c r="C1009" s="194" t="s">
        <v>64</v>
      </c>
      <c r="D1009" s="195">
        <v>3201</v>
      </c>
      <c r="E1009" s="196">
        <v>44813</v>
      </c>
      <c r="F1009" s="195">
        <v>3201</v>
      </c>
      <c r="G1009" s="197">
        <f>Tabla110[[#This Row],[Importe]]-Tabla110[[#This Row],[Pagado]]</f>
        <v>0</v>
      </c>
      <c r="H1009" s="194" t="s">
        <v>10</v>
      </c>
    </row>
    <row r="1010" spans="1:8" x14ac:dyDescent="0.25">
      <c r="A1010" s="127">
        <v>44813</v>
      </c>
      <c r="B1010" s="128" t="s">
        <v>29061</v>
      </c>
      <c r="C1010" s="194" t="s">
        <v>282</v>
      </c>
      <c r="D1010" s="195">
        <v>619.20000000000005</v>
      </c>
      <c r="E1010" s="196">
        <v>44814</v>
      </c>
      <c r="F1010" s="195">
        <v>619.20000000000005</v>
      </c>
      <c r="G1010" s="197">
        <f>Tabla110[[#This Row],[Importe]]-Tabla110[[#This Row],[Pagado]]</f>
        <v>0</v>
      </c>
      <c r="H1010" s="194" t="s">
        <v>10</v>
      </c>
    </row>
    <row r="1011" spans="1:8" x14ac:dyDescent="0.25">
      <c r="A1011" s="127">
        <v>44813</v>
      </c>
      <c r="B1011" s="128" t="s">
        <v>29062</v>
      </c>
      <c r="C1011" s="194" t="s">
        <v>282</v>
      </c>
      <c r="D1011" s="195">
        <v>770.4</v>
      </c>
      <c r="E1011" s="196">
        <v>44814</v>
      </c>
      <c r="F1011" s="195">
        <v>770.4</v>
      </c>
      <c r="G1011" s="197">
        <f>Tabla110[[#This Row],[Importe]]-Tabla110[[#This Row],[Pagado]]</f>
        <v>0</v>
      </c>
      <c r="H1011" s="194" t="s">
        <v>10</v>
      </c>
    </row>
    <row r="1012" spans="1:8" x14ac:dyDescent="0.25">
      <c r="A1012" s="127">
        <v>44813</v>
      </c>
      <c r="B1012" s="128" t="s">
        <v>29063</v>
      </c>
      <c r="C1012" s="194" t="s">
        <v>10819</v>
      </c>
      <c r="D1012" s="195">
        <v>2073.6</v>
      </c>
      <c r="E1012" s="196">
        <v>44814</v>
      </c>
      <c r="F1012" s="195">
        <v>2073.6</v>
      </c>
      <c r="G1012" s="197">
        <f>Tabla110[[#This Row],[Importe]]-Tabla110[[#This Row],[Pagado]]</f>
        <v>0</v>
      </c>
      <c r="H1012" s="194" t="s">
        <v>10</v>
      </c>
    </row>
    <row r="1013" spans="1:8" x14ac:dyDescent="0.25">
      <c r="A1013" s="127">
        <v>44813</v>
      </c>
      <c r="B1013" s="128" t="s">
        <v>29064</v>
      </c>
      <c r="C1013" s="194" t="s">
        <v>431</v>
      </c>
      <c r="D1013" s="195">
        <v>1915.2</v>
      </c>
      <c r="E1013" s="196">
        <v>44814</v>
      </c>
      <c r="F1013" s="195">
        <v>1915.2</v>
      </c>
      <c r="G1013" s="197">
        <f>Tabla110[[#This Row],[Importe]]-Tabla110[[#This Row],[Pagado]]</f>
        <v>0</v>
      </c>
      <c r="H1013" s="194" t="s">
        <v>10</v>
      </c>
    </row>
    <row r="1014" spans="1:8" x14ac:dyDescent="0.25">
      <c r="A1014" s="127">
        <v>44813</v>
      </c>
      <c r="B1014" s="128" t="s">
        <v>29065</v>
      </c>
      <c r="C1014" s="194" t="s">
        <v>280</v>
      </c>
      <c r="D1014" s="195">
        <v>1951.2</v>
      </c>
      <c r="E1014" s="196">
        <v>44814</v>
      </c>
      <c r="F1014" s="195">
        <v>1951.2</v>
      </c>
      <c r="G1014" s="197">
        <f>Tabla110[[#This Row],[Importe]]-Tabla110[[#This Row],[Pagado]]</f>
        <v>0</v>
      </c>
      <c r="H1014" s="194" t="s">
        <v>10</v>
      </c>
    </row>
    <row r="1015" spans="1:8" x14ac:dyDescent="0.25">
      <c r="A1015" s="127">
        <v>44813</v>
      </c>
      <c r="B1015" s="128" t="s">
        <v>29066</v>
      </c>
      <c r="C1015" s="194" t="s">
        <v>5345</v>
      </c>
      <c r="D1015" s="195">
        <v>4680</v>
      </c>
      <c r="E1015" s="196">
        <v>44814</v>
      </c>
      <c r="F1015" s="195">
        <v>4680</v>
      </c>
      <c r="G1015" s="197">
        <f>Tabla110[[#This Row],[Importe]]-Tabla110[[#This Row],[Pagado]]</f>
        <v>0</v>
      </c>
      <c r="H1015" s="194" t="s">
        <v>10</v>
      </c>
    </row>
    <row r="1016" spans="1:8" x14ac:dyDescent="0.25">
      <c r="A1016" s="127">
        <v>44813</v>
      </c>
      <c r="B1016" s="128" t="s">
        <v>29067</v>
      </c>
      <c r="C1016" s="194" t="s">
        <v>284</v>
      </c>
      <c r="D1016" s="195">
        <v>10634.4</v>
      </c>
      <c r="E1016" s="196">
        <v>44814</v>
      </c>
      <c r="F1016" s="195">
        <v>10634.4</v>
      </c>
      <c r="G1016" s="197">
        <f>Tabla110[[#This Row],[Importe]]-Tabla110[[#This Row],[Pagado]]</f>
        <v>0</v>
      </c>
      <c r="H1016" s="194" t="s">
        <v>10</v>
      </c>
    </row>
    <row r="1017" spans="1:8" x14ac:dyDescent="0.25">
      <c r="A1017" s="127">
        <v>44813</v>
      </c>
      <c r="B1017" s="128" t="s">
        <v>29068</v>
      </c>
      <c r="C1017" s="194" t="s">
        <v>9577</v>
      </c>
      <c r="D1017" s="195">
        <v>1650.8</v>
      </c>
      <c r="E1017" s="196">
        <v>44814</v>
      </c>
      <c r="F1017" s="195">
        <v>1650.8</v>
      </c>
      <c r="G1017" s="197">
        <f>Tabla110[[#This Row],[Importe]]-Tabla110[[#This Row],[Pagado]]</f>
        <v>0</v>
      </c>
      <c r="H1017" s="194" t="s">
        <v>10</v>
      </c>
    </row>
    <row r="1018" spans="1:8" x14ac:dyDescent="0.25">
      <c r="A1018" s="127">
        <v>44813</v>
      </c>
      <c r="B1018" s="128" t="s">
        <v>29069</v>
      </c>
      <c r="C1018" s="194" t="s">
        <v>214</v>
      </c>
      <c r="D1018" s="195">
        <v>1375.2</v>
      </c>
      <c r="E1018" s="196">
        <v>44813</v>
      </c>
      <c r="F1018" s="195">
        <v>1375.2</v>
      </c>
      <c r="G1018" s="197">
        <f>Tabla110[[#This Row],[Importe]]-Tabla110[[#This Row],[Pagado]]</f>
        <v>0</v>
      </c>
      <c r="H1018" s="194" t="s">
        <v>10</v>
      </c>
    </row>
    <row r="1019" spans="1:8" x14ac:dyDescent="0.25">
      <c r="A1019" s="127">
        <v>44813</v>
      </c>
      <c r="B1019" s="128" t="s">
        <v>29070</v>
      </c>
      <c r="C1019" s="194" t="s">
        <v>200</v>
      </c>
      <c r="D1019" s="195">
        <v>1159.2</v>
      </c>
      <c r="E1019" s="196">
        <v>44813</v>
      </c>
      <c r="F1019" s="195">
        <v>1159.2</v>
      </c>
      <c r="G1019" s="197">
        <f>Tabla110[[#This Row],[Importe]]-Tabla110[[#This Row],[Pagado]]</f>
        <v>0</v>
      </c>
      <c r="H1019" s="194" t="s">
        <v>10</v>
      </c>
    </row>
    <row r="1020" spans="1:8" x14ac:dyDescent="0.25">
      <c r="A1020" s="127">
        <v>44813</v>
      </c>
      <c r="B1020" s="128" t="s">
        <v>29071</v>
      </c>
      <c r="C1020" s="194" t="s">
        <v>28087</v>
      </c>
      <c r="D1020" s="195">
        <v>135258.9</v>
      </c>
      <c r="E1020" s="196">
        <v>44893</v>
      </c>
      <c r="F1020" s="195">
        <v>135258.9</v>
      </c>
      <c r="G1020" s="197">
        <f>Tabla110[[#This Row],[Importe]]-Tabla110[[#This Row],[Pagado]]</f>
        <v>0</v>
      </c>
      <c r="H1020" s="78" t="s">
        <v>17776</v>
      </c>
    </row>
    <row r="1021" spans="1:8" x14ac:dyDescent="0.25">
      <c r="A1021" s="127">
        <v>44813</v>
      </c>
      <c r="B1021" s="128" t="s">
        <v>29072</v>
      </c>
      <c r="C1021" s="194" t="s">
        <v>181</v>
      </c>
      <c r="D1021" s="195">
        <v>11781.8</v>
      </c>
      <c r="E1021" s="196">
        <v>44813</v>
      </c>
      <c r="F1021" s="195">
        <v>11781.8</v>
      </c>
      <c r="G1021" s="197">
        <f>Tabla110[[#This Row],[Importe]]-Tabla110[[#This Row],[Pagado]]</f>
        <v>0</v>
      </c>
      <c r="H1021" s="194" t="s">
        <v>10</v>
      </c>
    </row>
    <row r="1022" spans="1:8" x14ac:dyDescent="0.25">
      <c r="A1022" s="127">
        <v>44813</v>
      </c>
      <c r="B1022" s="128" t="s">
        <v>29073</v>
      </c>
      <c r="C1022" s="194" t="s">
        <v>426</v>
      </c>
      <c r="D1022" s="195">
        <v>840</v>
      </c>
      <c r="E1022" s="196">
        <v>44813</v>
      </c>
      <c r="F1022" s="195">
        <v>840</v>
      </c>
      <c r="G1022" s="197">
        <f>Tabla110[[#This Row],[Importe]]-Tabla110[[#This Row],[Pagado]]</f>
        <v>0</v>
      </c>
      <c r="H1022" s="194" t="s">
        <v>10</v>
      </c>
    </row>
    <row r="1023" spans="1:8" x14ac:dyDescent="0.25">
      <c r="A1023" s="127">
        <v>44813</v>
      </c>
      <c r="B1023" s="128" t="s">
        <v>29074</v>
      </c>
      <c r="C1023" s="194" t="s">
        <v>273</v>
      </c>
      <c r="D1023" s="195">
        <v>1652</v>
      </c>
      <c r="E1023" s="196">
        <v>44813</v>
      </c>
      <c r="F1023" s="195">
        <v>1652</v>
      </c>
      <c r="G1023" s="197">
        <f>Tabla110[[#This Row],[Importe]]-Tabla110[[#This Row],[Pagado]]</f>
        <v>0</v>
      </c>
      <c r="H1023" s="194" t="s">
        <v>10</v>
      </c>
    </row>
    <row r="1024" spans="1:8" x14ac:dyDescent="0.25">
      <c r="A1024" s="127">
        <v>44813</v>
      </c>
      <c r="B1024" s="128" t="s">
        <v>29075</v>
      </c>
      <c r="C1024" s="194" t="s">
        <v>60</v>
      </c>
      <c r="D1024" s="195">
        <v>2668</v>
      </c>
      <c r="E1024" s="196">
        <v>44813</v>
      </c>
      <c r="F1024" s="195">
        <v>2668</v>
      </c>
      <c r="G1024" s="197">
        <f>Tabla110[[#This Row],[Importe]]-Tabla110[[#This Row],[Pagado]]</f>
        <v>0</v>
      </c>
      <c r="H1024" s="194" t="s">
        <v>10</v>
      </c>
    </row>
    <row r="1025" spans="1:8" x14ac:dyDescent="0.25">
      <c r="A1025" s="127">
        <v>44813</v>
      </c>
      <c r="B1025" s="128" t="s">
        <v>29076</v>
      </c>
      <c r="C1025" s="194" t="s">
        <v>53</v>
      </c>
      <c r="D1025" s="195">
        <v>1820.4</v>
      </c>
      <c r="E1025" s="196">
        <v>44813</v>
      </c>
      <c r="F1025" s="195">
        <v>1820.4</v>
      </c>
      <c r="G1025" s="197">
        <f>Tabla110[[#This Row],[Importe]]-Tabla110[[#This Row],[Pagado]]</f>
        <v>0</v>
      </c>
      <c r="H1025" s="194" t="s">
        <v>10</v>
      </c>
    </row>
    <row r="1026" spans="1:8" x14ac:dyDescent="0.25">
      <c r="A1026" s="127">
        <v>44813</v>
      </c>
      <c r="B1026" s="128" t="s">
        <v>29077</v>
      </c>
      <c r="C1026" s="194" t="s">
        <v>359</v>
      </c>
      <c r="D1026" s="195">
        <v>4167.8999999999996</v>
      </c>
      <c r="E1026" s="196">
        <v>44813</v>
      </c>
      <c r="F1026" s="195">
        <v>4167.8999999999996</v>
      </c>
      <c r="G1026" s="197">
        <f>Tabla110[[#This Row],[Importe]]-Tabla110[[#This Row],[Pagado]]</f>
        <v>0</v>
      </c>
      <c r="H1026" s="194" t="s">
        <v>10</v>
      </c>
    </row>
    <row r="1027" spans="1:8" x14ac:dyDescent="0.25">
      <c r="A1027" s="127">
        <v>44813</v>
      </c>
      <c r="B1027" s="128" t="s">
        <v>29078</v>
      </c>
      <c r="C1027" s="194" t="s">
        <v>142</v>
      </c>
      <c r="D1027" s="195">
        <v>45856.7</v>
      </c>
      <c r="E1027" s="196">
        <v>44847</v>
      </c>
      <c r="F1027" s="195">
        <v>45856.7</v>
      </c>
      <c r="G1027" s="197">
        <f>Tabla110[[#This Row],[Importe]]-Tabla110[[#This Row],[Pagado]]</f>
        <v>0</v>
      </c>
      <c r="H1027" s="194" t="s">
        <v>10</v>
      </c>
    </row>
    <row r="1028" spans="1:8" x14ac:dyDescent="0.25">
      <c r="A1028" s="127">
        <v>44813</v>
      </c>
      <c r="B1028" s="128" t="s">
        <v>29079</v>
      </c>
      <c r="C1028" s="194" t="s">
        <v>105</v>
      </c>
      <c r="D1028" s="195">
        <v>7606.6</v>
      </c>
      <c r="E1028" s="196">
        <v>44813</v>
      </c>
      <c r="F1028" s="195">
        <v>7606.6</v>
      </c>
      <c r="G1028" s="197">
        <f>Tabla110[[#This Row],[Importe]]-Tabla110[[#This Row],[Pagado]]</f>
        <v>0</v>
      </c>
      <c r="H1028" s="194" t="s">
        <v>10</v>
      </c>
    </row>
    <row r="1029" spans="1:8" x14ac:dyDescent="0.25">
      <c r="A1029" s="127">
        <v>44813</v>
      </c>
      <c r="B1029" s="128" t="s">
        <v>29080</v>
      </c>
      <c r="C1029" s="194" t="s">
        <v>4523</v>
      </c>
      <c r="D1029" s="195">
        <v>560</v>
      </c>
      <c r="E1029" s="196">
        <v>44813</v>
      </c>
      <c r="F1029" s="195">
        <v>560</v>
      </c>
      <c r="G1029" s="197">
        <f>Tabla110[[#This Row],[Importe]]-Tabla110[[#This Row],[Pagado]]</f>
        <v>0</v>
      </c>
      <c r="H1029" s="194" t="s">
        <v>10</v>
      </c>
    </row>
    <row r="1030" spans="1:8" x14ac:dyDescent="0.25">
      <c r="A1030" s="127">
        <v>44813</v>
      </c>
      <c r="B1030" s="128" t="s">
        <v>29081</v>
      </c>
      <c r="C1030" s="194" t="s">
        <v>175</v>
      </c>
      <c r="D1030" s="195">
        <v>40452</v>
      </c>
      <c r="E1030" s="196">
        <v>44813</v>
      </c>
      <c r="F1030" s="195">
        <v>40452</v>
      </c>
      <c r="G1030" s="197">
        <f>Tabla110[[#This Row],[Importe]]-Tabla110[[#This Row],[Pagado]]</f>
        <v>0</v>
      </c>
      <c r="H1030" s="194" t="s">
        <v>10</v>
      </c>
    </row>
    <row r="1031" spans="1:8" x14ac:dyDescent="0.25">
      <c r="A1031" s="127">
        <v>44813</v>
      </c>
      <c r="B1031" s="128" t="s">
        <v>29082</v>
      </c>
      <c r="C1031" s="194" t="s">
        <v>71</v>
      </c>
      <c r="D1031" s="195">
        <v>1054</v>
      </c>
      <c r="E1031" s="196">
        <v>44813</v>
      </c>
      <c r="F1031" s="195">
        <v>1054</v>
      </c>
      <c r="G1031" s="197">
        <f>Tabla110[[#This Row],[Importe]]-Tabla110[[#This Row],[Pagado]]</f>
        <v>0</v>
      </c>
      <c r="H1031" s="194" t="s">
        <v>10</v>
      </c>
    </row>
    <row r="1032" spans="1:8" x14ac:dyDescent="0.25">
      <c r="A1032" s="127">
        <v>44813</v>
      </c>
      <c r="B1032" s="128" t="s">
        <v>29083</v>
      </c>
      <c r="C1032" s="194" t="s">
        <v>5694</v>
      </c>
      <c r="D1032" s="195">
        <v>5152.2</v>
      </c>
      <c r="E1032" s="196">
        <v>44813</v>
      </c>
      <c r="F1032" s="195">
        <v>5152.2</v>
      </c>
      <c r="G1032" s="197">
        <f>Tabla110[[#This Row],[Importe]]-Tabla110[[#This Row],[Pagado]]</f>
        <v>0</v>
      </c>
      <c r="H1032" s="194" t="s">
        <v>10</v>
      </c>
    </row>
    <row r="1033" spans="1:8" x14ac:dyDescent="0.25">
      <c r="A1033" s="127">
        <v>44813</v>
      </c>
      <c r="B1033" s="128" t="s">
        <v>29084</v>
      </c>
      <c r="C1033" s="194" t="s">
        <v>7313</v>
      </c>
      <c r="D1033" s="195">
        <v>9902.9</v>
      </c>
      <c r="E1033" s="196">
        <v>44813</v>
      </c>
      <c r="F1033" s="195">
        <v>9902.9</v>
      </c>
      <c r="G1033" s="197">
        <f>Tabla110[[#This Row],[Importe]]-Tabla110[[#This Row],[Pagado]]</f>
        <v>0</v>
      </c>
      <c r="H1033" s="194" t="s">
        <v>10</v>
      </c>
    </row>
    <row r="1034" spans="1:8" x14ac:dyDescent="0.25">
      <c r="A1034" s="127">
        <v>44813</v>
      </c>
      <c r="B1034" s="128" t="s">
        <v>29085</v>
      </c>
      <c r="C1034" s="194" t="s">
        <v>612</v>
      </c>
      <c r="D1034" s="195">
        <v>602</v>
      </c>
      <c r="E1034" s="196">
        <v>44813</v>
      </c>
      <c r="F1034" s="195">
        <v>602</v>
      </c>
      <c r="G1034" s="197">
        <f>Tabla110[[#This Row],[Importe]]-Tabla110[[#This Row],[Pagado]]</f>
        <v>0</v>
      </c>
      <c r="H1034" s="194" t="s">
        <v>10</v>
      </c>
    </row>
    <row r="1035" spans="1:8" x14ac:dyDescent="0.25">
      <c r="A1035" s="127">
        <v>44813</v>
      </c>
      <c r="B1035" s="128" t="s">
        <v>29086</v>
      </c>
      <c r="C1035" s="194" t="s">
        <v>10678</v>
      </c>
      <c r="D1035" s="195">
        <v>2403.3000000000002</v>
      </c>
      <c r="E1035" s="196">
        <v>44813</v>
      </c>
      <c r="F1035" s="195">
        <v>2403.3000000000002</v>
      </c>
      <c r="G1035" s="197">
        <f>Tabla110[[#This Row],[Importe]]-Tabla110[[#This Row],[Pagado]]</f>
        <v>0</v>
      </c>
      <c r="H1035" s="194" t="s">
        <v>10</v>
      </c>
    </row>
    <row r="1036" spans="1:8" x14ac:dyDescent="0.25">
      <c r="A1036" s="127">
        <v>44813</v>
      </c>
      <c r="B1036" s="128" t="s">
        <v>29087</v>
      </c>
      <c r="C1036" s="194" t="s">
        <v>612</v>
      </c>
      <c r="D1036" s="195">
        <v>330</v>
      </c>
      <c r="E1036" s="196">
        <v>44813</v>
      </c>
      <c r="F1036" s="195">
        <v>330</v>
      </c>
      <c r="G1036" s="197">
        <f>Tabla110[[#This Row],[Importe]]-Tabla110[[#This Row],[Pagado]]</f>
        <v>0</v>
      </c>
      <c r="H1036" s="194" t="s">
        <v>10</v>
      </c>
    </row>
    <row r="1037" spans="1:8" x14ac:dyDescent="0.25">
      <c r="A1037" s="127">
        <v>44813</v>
      </c>
      <c r="B1037" s="128" t="s">
        <v>29088</v>
      </c>
      <c r="C1037" s="194" t="s">
        <v>9</v>
      </c>
      <c r="D1037" s="195">
        <v>1336</v>
      </c>
      <c r="E1037" s="196">
        <v>44813</v>
      </c>
      <c r="F1037" s="195">
        <v>1336</v>
      </c>
      <c r="G1037" s="197">
        <f>Tabla110[[#This Row],[Importe]]-Tabla110[[#This Row],[Pagado]]</f>
        <v>0</v>
      </c>
      <c r="H1037" s="194" t="s">
        <v>10</v>
      </c>
    </row>
    <row r="1038" spans="1:8" x14ac:dyDescent="0.25">
      <c r="A1038" s="127">
        <v>44813</v>
      </c>
      <c r="B1038" s="128" t="s">
        <v>29089</v>
      </c>
      <c r="C1038" s="194" t="s">
        <v>31</v>
      </c>
      <c r="D1038" s="195">
        <v>1676.9</v>
      </c>
      <c r="E1038" s="196">
        <v>44813</v>
      </c>
      <c r="F1038" s="195">
        <v>1676.9</v>
      </c>
      <c r="G1038" s="197">
        <f>Tabla110[[#This Row],[Importe]]-Tabla110[[#This Row],[Pagado]]</f>
        <v>0</v>
      </c>
      <c r="H1038" s="194" t="s">
        <v>10</v>
      </c>
    </row>
    <row r="1039" spans="1:8" x14ac:dyDescent="0.25">
      <c r="A1039" s="127">
        <v>44813</v>
      </c>
      <c r="B1039" s="128" t="s">
        <v>29090</v>
      </c>
      <c r="C1039" s="194" t="s">
        <v>10678</v>
      </c>
      <c r="D1039" s="195">
        <v>1782</v>
      </c>
      <c r="E1039" s="196">
        <v>44813</v>
      </c>
      <c r="F1039" s="195">
        <v>1782</v>
      </c>
      <c r="G1039" s="197">
        <f>Tabla110[[#This Row],[Importe]]-Tabla110[[#This Row],[Pagado]]</f>
        <v>0</v>
      </c>
      <c r="H1039" s="194" t="s">
        <v>10</v>
      </c>
    </row>
    <row r="1040" spans="1:8" x14ac:dyDescent="0.25">
      <c r="A1040" s="127">
        <v>44813</v>
      </c>
      <c r="B1040" s="128" t="s">
        <v>29091</v>
      </c>
      <c r="C1040" s="194" t="s">
        <v>69</v>
      </c>
      <c r="D1040" s="195">
        <v>1238.4000000000001</v>
      </c>
      <c r="E1040" s="196">
        <v>44813</v>
      </c>
      <c r="F1040" s="195">
        <v>1238.4000000000001</v>
      </c>
      <c r="G1040" s="197">
        <f>Tabla110[[#This Row],[Importe]]-Tabla110[[#This Row],[Pagado]]</f>
        <v>0</v>
      </c>
      <c r="H1040" s="194" t="s">
        <v>10</v>
      </c>
    </row>
    <row r="1041" spans="1:8" x14ac:dyDescent="0.25">
      <c r="A1041" s="127">
        <v>44813</v>
      </c>
      <c r="B1041" s="128" t="s">
        <v>29092</v>
      </c>
      <c r="C1041" s="194" t="s">
        <v>31</v>
      </c>
      <c r="D1041" s="195">
        <v>597.6</v>
      </c>
      <c r="E1041" s="196">
        <v>44813</v>
      </c>
      <c r="F1041" s="195">
        <v>597.6</v>
      </c>
      <c r="G1041" s="197">
        <f>Tabla110[[#This Row],[Importe]]-Tabla110[[#This Row],[Pagado]]</f>
        <v>0</v>
      </c>
      <c r="H1041" s="194" t="s">
        <v>10</v>
      </c>
    </row>
    <row r="1042" spans="1:8" x14ac:dyDescent="0.25">
      <c r="A1042" s="127">
        <v>44813</v>
      </c>
      <c r="B1042" s="128" t="s">
        <v>29093</v>
      </c>
      <c r="C1042" s="194" t="s">
        <v>7313</v>
      </c>
      <c r="D1042" s="195">
        <v>30013.5</v>
      </c>
      <c r="E1042" s="196">
        <v>44813</v>
      </c>
      <c r="F1042" s="195">
        <v>30013.5</v>
      </c>
      <c r="G1042" s="197">
        <f>Tabla110[[#This Row],[Importe]]-Tabla110[[#This Row],[Pagado]]</f>
        <v>0</v>
      </c>
      <c r="H1042" s="194" t="s">
        <v>10</v>
      </c>
    </row>
    <row r="1043" spans="1:8" x14ac:dyDescent="0.25">
      <c r="A1043" s="127">
        <v>44813</v>
      </c>
      <c r="B1043" s="128" t="s">
        <v>29094</v>
      </c>
      <c r="C1043" s="194" t="s">
        <v>149</v>
      </c>
      <c r="D1043" s="195">
        <v>2970</v>
      </c>
      <c r="E1043" s="196">
        <v>44813</v>
      </c>
      <c r="F1043" s="195">
        <v>2970</v>
      </c>
      <c r="G1043" s="197">
        <f>Tabla110[[#This Row],[Importe]]-Tabla110[[#This Row],[Pagado]]</f>
        <v>0</v>
      </c>
      <c r="H1043" s="194" t="s">
        <v>10</v>
      </c>
    </row>
    <row r="1044" spans="1:8" x14ac:dyDescent="0.25">
      <c r="A1044" s="127">
        <v>44813</v>
      </c>
      <c r="B1044" s="128" t="s">
        <v>29095</v>
      </c>
      <c r="C1044" s="194" t="s">
        <v>296</v>
      </c>
      <c r="D1044" s="195">
        <v>1263.5999999999999</v>
      </c>
      <c r="E1044" s="196">
        <v>44813</v>
      </c>
      <c r="F1044" s="195">
        <v>1263.5999999999999</v>
      </c>
      <c r="G1044" s="197">
        <f>Tabla110[[#This Row],[Importe]]-Tabla110[[#This Row],[Pagado]]</f>
        <v>0</v>
      </c>
      <c r="H1044" s="194" t="s">
        <v>10</v>
      </c>
    </row>
    <row r="1045" spans="1:8" x14ac:dyDescent="0.25">
      <c r="A1045" s="127">
        <v>44813</v>
      </c>
      <c r="B1045" s="128" t="s">
        <v>29096</v>
      </c>
      <c r="C1045" s="194" t="s">
        <v>31</v>
      </c>
      <c r="D1045" s="195">
        <v>468</v>
      </c>
      <c r="E1045" s="196">
        <v>44813</v>
      </c>
      <c r="F1045" s="195">
        <v>468</v>
      </c>
      <c r="G1045" s="197">
        <f>Tabla110[[#This Row],[Importe]]-Tabla110[[#This Row],[Pagado]]</f>
        <v>0</v>
      </c>
      <c r="H1045" s="194" t="s">
        <v>10</v>
      </c>
    </row>
    <row r="1046" spans="1:8" x14ac:dyDescent="0.25">
      <c r="A1046" s="127">
        <v>44813</v>
      </c>
      <c r="B1046" s="128" t="s">
        <v>29097</v>
      </c>
      <c r="C1046" s="194" t="s">
        <v>31</v>
      </c>
      <c r="D1046" s="195">
        <v>4860</v>
      </c>
      <c r="E1046" s="196">
        <v>44813</v>
      </c>
      <c r="F1046" s="195">
        <v>4860</v>
      </c>
      <c r="G1046" s="197">
        <f>Tabla110[[#This Row],[Importe]]-Tabla110[[#This Row],[Pagado]]</f>
        <v>0</v>
      </c>
      <c r="H1046" s="194" t="s">
        <v>10</v>
      </c>
    </row>
    <row r="1047" spans="1:8" x14ac:dyDescent="0.25">
      <c r="A1047" s="127">
        <v>44813</v>
      </c>
      <c r="B1047" s="128" t="s">
        <v>29098</v>
      </c>
      <c r="C1047" s="194" t="s">
        <v>414</v>
      </c>
      <c r="D1047" s="195">
        <v>110916.3</v>
      </c>
      <c r="E1047" s="196">
        <v>44825</v>
      </c>
      <c r="F1047" s="195">
        <v>110916.3</v>
      </c>
      <c r="G1047" s="197">
        <f>Tabla110[[#This Row],[Importe]]-Tabla110[[#This Row],[Pagado]]</f>
        <v>0</v>
      </c>
      <c r="H1047" s="194" t="s">
        <v>10</v>
      </c>
    </row>
    <row r="1048" spans="1:8" x14ac:dyDescent="0.25">
      <c r="A1048" s="127">
        <v>44813</v>
      </c>
      <c r="B1048" s="128" t="s">
        <v>29099</v>
      </c>
      <c r="C1048" s="194" t="s">
        <v>53</v>
      </c>
      <c r="D1048" s="195">
        <v>1383.8</v>
      </c>
      <c r="E1048" s="196">
        <v>44813</v>
      </c>
      <c r="F1048" s="195">
        <v>1383.8</v>
      </c>
      <c r="G1048" s="197">
        <f>Tabla110[[#This Row],[Importe]]-Tabla110[[#This Row],[Pagado]]</f>
        <v>0</v>
      </c>
      <c r="H1048" s="194" t="s">
        <v>10</v>
      </c>
    </row>
    <row r="1049" spans="1:8" x14ac:dyDescent="0.25">
      <c r="A1049" s="127">
        <v>44813</v>
      </c>
      <c r="B1049" s="128" t="s">
        <v>29100</v>
      </c>
      <c r="C1049" s="194" t="s">
        <v>461</v>
      </c>
      <c r="D1049" s="195">
        <v>490</v>
      </c>
      <c r="E1049" s="196">
        <v>44813</v>
      </c>
      <c r="F1049" s="195">
        <v>490</v>
      </c>
      <c r="G1049" s="197">
        <f>Tabla110[[#This Row],[Importe]]-Tabla110[[#This Row],[Pagado]]</f>
        <v>0</v>
      </c>
      <c r="H1049" s="194" t="s">
        <v>10</v>
      </c>
    </row>
    <row r="1050" spans="1:8" x14ac:dyDescent="0.25">
      <c r="A1050" s="127">
        <v>44813</v>
      </c>
      <c r="B1050" s="128" t="s">
        <v>29101</v>
      </c>
      <c r="C1050" s="194" t="s">
        <v>31</v>
      </c>
      <c r="D1050" s="195">
        <v>1781</v>
      </c>
      <c r="E1050" s="196">
        <v>44814</v>
      </c>
      <c r="F1050" s="195">
        <v>1781</v>
      </c>
      <c r="G1050" s="197">
        <f>Tabla110[[#This Row],[Importe]]-Tabla110[[#This Row],[Pagado]]</f>
        <v>0</v>
      </c>
      <c r="H1050" s="194" t="s">
        <v>10</v>
      </c>
    </row>
    <row r="1051" spans="1:8" x14ac:dyDescent="0.25">
      <c r="A1051" s="127">
        <v>44813</v>
      </c>
      <c r="B1051" s="128" t="s">
        <v>29102</v>
      </c>
      <c r="C1051" s="194" t="s">
        <v>31</v>
      </c>
      <c r="D1051" s="195">
        <v>652</v>
      </c>
      <c r="E1051" s="196">
        <v>44813</v>
      </c>
      <c r="F1051" s="195">
        <v>652</v>
      </c>
      <c r="G1051" s="197">
        <f>Tabla110[[#This Row],[Importe]]-Tabla110[[#This Row],[Pagado]]</f>
        <v>0</v>
      </c>
      <c r="H1051" s="194" t="s">
        <v>10</v>
      </c>
    </row>
    <row r="1052" spans="1:8" x14ac:dyDescent="0.25">
      <c r="A1052" s="127">
        <v>44814</v>
      </c>
      <c r="B1052" s="128" t="s">
        <v>29103</v>
      </c>
      <c r="C1052" s="194" t="s">
        <v>12</v>
      </c>
      <c r="D1052" s="195">
        <v>25667.55</v>
      </c>
      <c r="E1052" s="196">
        <v>44816</v>
      </c>
      <c r="F1052" s="195">
        <v>25667.55</v>
      </c>
      <c r="G1052" s="197">
        <f>Tabla110[[#This Row],[Importe]]-Tabla110[[#This Row],[Pagado]]</f>
        <v>0</v>
      </c>
      <c r="H1052" s="194" t="s">
        <v>10</v>
      </c>
    </row>
    <row r="1053" spans="1:8" x14ac:dyDescent="0.25">
      <c r="A1053" s="127">
        <v>44814</v>
      </c>
      <c r="B1053" s="128" t="s">
        <v>29104</v>
      </c>
      <c r="C1053" s="194" t="s">
        <v>887</v>
      </c>
      <c r="D1053" s="195">
        <v>37206.5</v>
      </c>
      <c r="E1053" s="196">
        <v>44814</v>
      </c>
      <c r="F1053" s="195">
        <v>37206.5</v>
      </c>
      <c r="G1053" s="197">
        <f>Tabla110[[#This Row],[Importe]]-Tabla110[[#This Row],[Pagado]]</f>
        <v>0</v>
      </c>
      <c r="H1053" s="194" t="s">
        <v>10</v>
      </c>
    </row>
    <row r="1054" spans="1:8" x14ac:dyDescent="0.25">
      <c r="A1054" s="127">
        <v>44814</v>
      </c>
      <c r="B1054" s="128" t="s">
        <v>29105</v>
      </c>
      <c r="C1054" s="194" t="s">
        <v>475</v>
      </c>
      <c r="D1054" s="195">
        <v>60339</v>
      </c>
      <c r="E1054" s="196">
        <v>44815</v>
      </c>
      <c r="F1054" s="195">
        <v>60339</v>
      </c>
      <c r="G1054" s="197">
        <f>Tabla110[[#This Row],[Importe]]-Tabla110[[#This Row],[Pagado]]</f>
        <v>0</v>
      </c>
      <c r="H1054" s="194" t="s">
        <v>10</v>
      </c>
    </row>
    <row r="1055" spans="1:8" x14ac:dyDescent="0.25">
      <c r="A1055" s="127">
        <v>44814</v>
      </c>
      <c r="B1055" s="128" t="s">
        <v>29106</v>
      </c>
      <c r="C1055" s="194" t="s">
        <v>64</v>
      </c>
      <c r="D1055" s="195">
        <v>9834.5</v>
      </c>
      <c r="E1055" s="196">
        <v>44817</v>
      </c>
      <c r="F1055" s="195">
        <v>9834.5</v>
      </c>
      <c r="G1055" s="197">
        <f>Tabla110[[#This Row],[Importe]]-Tabla110[[#This Row],[Pagado]]</f>
        <v>0</v>
      </c>
      <c r="H1055" s="194" t="s">
        <v>10</v>
      </c>
    </row>
    <row r="1056" spans="1:8" x14ac:dyDescent="0.25">
      <c r="A1056" s="127">
        <v>44814</v>
      </c>
      <c r="B1056" s="128" t="s">
        <v>29107</v>
      </c>
      <c r="C1056" s="194" t="s">
        <v>24768</v>
      </c>
      <c r="D1056" s="195">
        <v>4329.6000000000004</v>
      </c>
      <c r="E1056" s="196">
        <v>44814</v>
      </c>
      <c r="F1056" s="195">
        <v>4329.6000000000004</v>
      </c>
      <c r="G1056" s="197">
        <f>Tabla110[[#This Row],[Importe]]-Tabla110[[#This Row],[Pagado]]</f>
        <v>0</v>
      </c>
      <c r="H1056" s="194" t="s">
        <v>10</v>
      </c>
    </row>
    <row r="1057" spans="1:8" x14ac:dyDescent="0.25">
      <c r="A1057" s="127">
        <v>44814</v>
      </c>
      <c r="B1057" s="128" t="s">
        <v>29108</v>
      </c>
      <c r="C1057" s="194" t="s">
        <v>481</v>
      </c>
      <c r="D1057" s="195">
        <v>2025.6</v>
      </c>
      <c r="E1057" s="196">
        <v>44814</v>
      </c>
      <c r="F1057" s="195">
        <v>2025.6</v>
      </c>
      <c r="G1057" s="197">
        <f>Tabla110[[#This Row],[Importe]]-Tabla110[[#This Row],[Pagado]]</f>
        <v>0</v>
      </c>
      <c r="H1057" s="194" t="s">
        <v>10</v>
      </c>
    </row>
    <row r="1058" spans="1:8" x14ac:dyDescent="0.25">
      <c r="A1058" s="127">
        <v>44814</v>
      </c>
      <c r="B1058" s="128" t="s">
        <v>29109</v>
      </c>
      <c r="C1058" s="194" t="s">
        <v>111</v>
      </c>
      <c r="D1058" s="195">
        <v>10647</v>
      </c>
      <c r="E1058" s="196">
        <v>44816</v>
      </c>
      <c r="F1058" s="195">
        <v>10647</v>
      </c>
      <c r="G1058" s="197">
        <f>Tabla110[[#This Row],[Importe]]-Tabla110[[#This Row],[Pagado]]</f>
        <v>0</v>
      </c>
      <c r="H1058" s="194" t="s">
        <v>10</v>
      </c>
    </row>
    <row r="1059" spans="1:8" ht="31.5" x14ac:dyDescent="0.25">
      <c r="A1059" s="127">
        <v>44814</v>
      </c>
      <c r="B1059" s="128" t="s">
        <v>29110</v>
      </c>
      <c r="C1059" s="194" t="s">
        <v>99</v>
      </c>
      <c r="D1059" s="195">
        <v>12551.9</v>
      </c>
      <c r="E1059" s="198" t="s">
        <v>29111</v>
      </c>
      <c r="F1059" s="195">
        <f>3300+9251.9</f>
        <v>12551.9</v>
      </c>
      <c r="G1059" s="197">
        <f>Tabla110[[#This Row],[Importe]]-Tabla110[[#This Row],[Pagado]]</f>
        <v>0</v>
      </c>
      <c r="H1059" s="194" t="s">
        <v>10</v>
      </c>
    </row>
    <row r="1060" spans="1:8" x14ac:dyDescent="0.25">
      <c r="A1060" s="127">
        <v>44814</v>
      </c>
      <c r="B1060" s="128" t="s">
        <v>29112</v>
      </c>
      <c r="C1060" s="194" t="s">
        <v>31</v>
      </c>
      <c r="D1060" s="195">
        <v>750</v>
      </c>
      <c r="E1060" s="196">
        <v>44814</v>
      </c>
      <c r="F1060" s="195">
        <v>750</v>
      </c>
      <c r="G1060" s="197">
        <f>Tabla110[[#This Row],[Importe]]-Tabla110[[#This Row],[Pagado]]</f>
        <v>0</v>
      </c>
      <c r="H1060" s="194" t="s">
        <v>10</v>
      </c>
    </row>
    <row r="1061" spans="1:8" x14ac:dyDescent="0.25">
      <c r="A1061" s="127">
        <v>44814</v>
      </c>
      <c r="B1061" s="128" t="s">
        <v>29113</v>
      </c>
      <c r="C1061" s="194" t="s">
        <v>9</v>
      </c>
      <c r="D1061" s="195">
        <v>9246.4</v>
      </c>
      <c r="E1061" s="196">
        <v>44814</v>
      </c>
      <c r="F1061" s="195">
        <v>9246.4</v>
      </c>
      <c r="G1061" s="197">
        <f>Tabla110[[#This Row],[Importe]]-Tabla110[[#This Row],[Pagado]]</f>
        <v>0</v>
      </c>
      <c r="H1061" s="194" t="s">
        <v>10</v>
      </c>
    </row>
    <row r="1062" spans="1:8" x14ac:dyDescent="0.25">
      <c r="A1062" s="127">
        <v>44814</v>
      </c>
      <c r="B1062" s="128" t="s">
        <v>29114</v>
      </c>
      <c r="C1062" s="194" t="s">
        <v>348</v>
      </c>
      <c r="D1062" s="195">
        <v>10111.5</v>
      </c>
      <c r="E1062" s="196">
        <v>44814</v>
      </c>
      <c r="F1062" s="195">
        <v>10111.5</v>
      </c>
      <c r="G1062" s="197">
        <f>Tabla110[[#This Row],[Importe]]-Tabla110[[#This Row],[Pagado]]</f>
        <v>0</v>
      </c>
      <c r="H1062" s="194" t="s">
        <v>10</v>
      </c>
    </row>
    <row r="1063" spans="1:8" x14ac:dyDescent="0.25">
      <c r="A1063" s="127">
        <v>44814</v>
      </c>
      <c r="B1063" s="128" t="s">
        <v>29115</v>
      </c>
      <c r="C1063" s="194" t="s">
        <v>114</v>
      </c>
      <c r="D1063" s="195">
        <v>17711.2</v>
      </c>
      <c r="E1063" s="196">
        <v>44816</v>
      </c>
      <c r="F1063" s="195">
        <v>17711.2</v>
      </c>
      <c r="G1063" s="197">
        <f>Tabla110[[#This Row],[Importe]]-Tabla110[[#This Row],[Pagado]]</f>
        <v>0</v>
      </c>
      <c r="H1063" s="194" t="s">
        <v>10</v>
      </c>
    </row>
    <row r="1064" spans="1:8" x14ac:dyDescent="0.25">
      <c r="A1064" s="127">
        <v>44814</v>
      </c>
      <c r="B1064" s="128" t="s">
        <v>29116</v>
      </c>
      <c r="C1064" s="194" t="s">
        <v>2151</v>
      </c>
      <c r="D1064" s="195">
        <v>21544</v>
      </c>
      <c r="E1064" s="196">
        <v>44814</v>
      </c>
      <c r="F1064" s="195">
        <v>21544</v>
      </c>
      <c r="G1064" s="197">
        <f>Tabla110[[#This Row],[Importe]]-Tabla110[[#This Row],[Pagado]]</f>
        <v>0</v>
      </c>
      <c r="H1064" s="194" t="s">
        <v>10</v>
      </c>
    </row>
    <row r="1065" spans="1:8" x14ac:dyDescent="0.25">
      <c r="A1065" s="127">
        <v>44814</v>
      </c>
      <c r="B1065" s="128" t="s">
        <v>29117</v>
      </c>
      <c r="C1065" s="194" t="s">
        <v>17556</v>
      </c>
      <c r="D1065" s="195">
        <v>3915</v>
      </c>
      <c r="E1065" s="196">
        <v>44814</v>
      </c>
      <c r="F1065" s="195">
        <v>3915</v>
      </c>
      <c r="G1065" s="197">
        <f>Tabla110[[#This Row],[Importe]]-Tabla110[[#This Row],[Pagado]]</f>
        <v>0</v>
      </c>
      <c r="H1065" s="194" t="s">
        <v>10</v>
      </c>
    </row>
    <row r="1066" spans="1:8" x14ac:dyDescent="0.25">
      <c r="A1066" s="127">
        <v>44814</v>
      </c>
      <c r="B1066" s="128" t="s">
        <v>29118</v>
      </c>
      <c r="C1066" s="194" t="s">
        <v>326</v>
      </c>
      <c r="D1066" s="195">
        <v>24407.5</v>
      </c>
      <c r="E1066" s="196">
        <v>44816</v>
      </c>
      <c r="F1066" s="195">
        <v>24407.5</v>
      </c>
      <c r="G1066" s="197">
        <f>Tabla110[[#This Row],[Importe]]-Tabla110[[#This Row],[Pagado]]</f>
        <v>0</v>
      </c>
      <c r="H1066" s="194" t="s">
        <v>10</v>
      </c>
    </row>
    <row r="1067" spans="1:8" x14ac:dyDescent="0.25">
      <c r="A1067" s="127">
        <v>44814</v>
      </c>
      <c r="B1067" s="128" t="s">
        <v>29119</v>
      </c>
      <c r="C1067" s="194" t="s">
        <v>22</v>
      </c>
      <c r="D1067" s="195">
        <v>82534.5</v>
      </c>
      <c r="E1067" s="196">
        <v>44816</v>
      </c>
      <c r="F1067" s="195">
        <v>82534.5</v>
      </c>
      <c r="G1067" s="197">
        <f>Tabla110[[#This Row],[Importe]]-Tabla110[[#This Row],[Pagado]]</f>
        <v>0</v>
      </c>
      <c r="H1067" s="194" t="s">
        <v>10</v>
      </c>
    </row>
    <row r="1068" spans="1:8" x14ac:dyDescent="0.25">
      <c r="A1068" s="127">
        <v>44814</v>
      </c>
      <c r="B1068" s="128" t="s">
        <v>29120</v>
      </c>
      <c r="C1068" s="194" t="s">
        <v>918</v>
      </c>
      <c r="D1068" s="195">
        <v>952</v>
      </c>
      <c r="E1068" s="196">
        <v>44816</v>
      </c>
      <c r="F1068" s="195">
        <v>952</v>
      </c>
      <c r="G1068" s="197">
        <f>Tabla110[[#This Row],[Importe]]-Tabla110[[#This Row],[Pagado]]</f>
        <v>0</v>
      </c>
      <c r="H1068" s="194" t="s">
        <v>10</v>
      </c>
    </row>
    <row r="1069" spans="1:8" x14ac:dyDescent="0.25">
      <c r="A1069" s="127">
        <v>44814</v>
      </c>
      <c r="B1069" s="128" t="s">
        <v>29121</v>
      </c>
      <c r="C1069" s="194" t="s">
        <v>97</v>
      </c>
      <c r="D1069" s="195">
        <v>10432.5</v>
      </c>
      <c r="E1069" s="196">
        <v>44816</v>
      </c>
      <c r="F1069" s="195">
        <v>10432.5</v>
      </c>
      <c r="G1069" s="197">
        <f>Tabla110[[#This Row],[Importe]]-Tabla110[[#This Row],[Pagado]]</f>
        <v>0</v>
      </c>
      <c r="H1069" s="194" t="s">
        <v>10</v>
      </c>
    </row>
    <row r="1070" spans="1:8" x14ac:dyDescent="0.25">
      <c r="A1070" s="127">
        <v>44814</v>
      </c>
      <c r="B1070" s="128" t="s">
        <v>29122</v>
      </c>
      <c r="C1070" s="194" t="s">
        <v>75</v>
      </c>
      <c r="D1070" s="195">
        <v>9381.6</v>
      </c>
      <c r="E1070" s="196">
        <v>44814</v>
      </c>
      <c r="F1070" s="195">
        <v>9381.6</v>
      </c>
      <c r="G1070" s="197">
        <f>Tabla110[[#This Row],[Importe]]-Tabla110[[#This Row],[Pagado]]</f>
        <v>0</v>
      </c>
      <c r="H1070" s="194" t="s">
        <v>10</v>
      </c>
    </row>
    <row r="1071" spans="1:8" x14ac:dyDescent="0.25">
      <c r="A1071" s="127">
        <v>44814</v>
      </c>
      <c r="B1071" s="128" t="s">
        <v>29123</v>
      </c>
      <c r="C1071" s="194" t="s">
        <v>473</v>
      </c>
      <c r="D1071" s="195">
        <v>3311</v>
      </c>
      <c r="E1071" s="196">
        <v>44814</v>
      </c>
      <c r="F1071" s="195">
        <v>3311</v>
      </c>
      <c r="G1071" s="197">
        <f>Tabla110[[#This Row],[Importe]]-Tabla110[[#This Row],[Pagado]]</f>
        <v>0</v>
      </c>
      <c r="H1071" s="194" t="s">
        <v>10</v>
      </c>
    </row>
    <row r="1072" spans="1:8" x14ac:dyDescent="0.25">
      <c r="A1072" s="127">
        <v>44814</v>
      </c>
      <c r="B1072" s="128" t="s">
        <v>29124</v>
      </c>
      <c r="C1072" s="194" t="s">
        <v>345</v>
      </c>
      <c r="D1072" s="195">
        <v>1112</v>
      </c>
      <c r="E1072" s="196">
        <v>44814</v>
      </c>
      <c r="F1072" s="195">
        <v>1112</v>
      </c>
      <c r="G1072" s="197">
        <f>Tabla110[[#This Row],[Importe]]-Tabla110[[#This Row],[Pagado]]</f>
        <v>0</v>
      </c>
      <c r="H1072" s="194" t="s">
        <v>10</v>
      </c>
    </row>
    <row r="1073" spans="1:8" ht="31.5" x14ac:dyDescent="0.25">
      <c r="A1073" s="127">
        <v>44814</v>
      </c>
      <c r="B1073" s="128" t="s">
        <v>29125</v>
      </c>
      <c r="C1073" s="194" t="s">
        <v>10586</v>
      </c>
      <c r="D1073" s="195">
        <v>7359.3</v>
      </c>
      <c r="E1073" s="198" t="s">
        <v>29126</v>
      </c>
      <c r="F1073" s="195">
        <f>6359.3+1000</f>
        <v>7359.3</v>
      </c>
      <c r="G1073" s="197">
        <f>Tabla110[[#This Row],[Importe]]-Tabla110[[#This Row],[Pagado]]</f>
        <v>0</v>
      </c>
      <c r="H1073" s="194" t="s">
        <v>10</v>
      </c>
    </row>
    <row r="1074" spans="1:8" ht="31.5" x14ac:dyDescent="0.25">
      <c r="A1074" s="127">
        <v>44814</v>
      </c>
      <c r="B1074" s="128" t="s">
        <v>29127</v>
      </c>
      <c r="C1074" s="194" t="s">
        <v>60</v>
      </c>
      <c r="D1074" s="195">
        <v>7425</v>
      </c>
      <c r="E1074" s="198" t="s">
        <v>29126</v>
      </c>
      <c r="F1074" s="195">
        <f>5000+2425</f>
        <v>7425</v>
      </c>
      <c r="G1074" s="197">
        <f>Tabla110[[#This Row],[Importe]]-Tabla110[[#This Row],[Pagado]]</f>
        <v>0</v>
      </c>
      <c r="H1074" s="194" t="s">
        <v>10</v>
      </c>
    </row>
    <row r="1075" spans="1:8" x14ac:dyDescent="0.25">
      <c r="A1075" s="127">
        <v>44814</v>
      </c>
      <c r="B1075" s="128" t="s">
        <v>29128</v>
      </c>
      <c r="C1075" s="194" t="s">
        <v>105</v>
      </c>
      <c r="D1075" s="195">
        <v>14410.6</v>
      </c>
      <c r="E1075" s="196">
        <v>44816</v>
      </c>
      <c r="F1075" s="195">
        <v>14410.6</v>
      </c>
      <c r="G1075" s="197">
        <f>Tabla110[[#This Row],[Importe]]-Tabla110[[#This Row],[Pagado]]</f>
        <v>0</v>
      </c>
      <c r="H1075" s="194" t="s">
        <v>10</v>
      </c>
    </row>
    <row r="1076" spans="1:8" ht="31.5" x14ac:dyDescent="0.25">
      <c r="A1076" s="127">
        <v>44814</v>
      </c>
      <c r="B1076" s="128" t="s">
        <v>29129</v>
      </c>
      <c r="C1076" s="194" t="s">
        <v>93</v>
      </c>
      <c r="D1076" s="195">
        <v>18618.8</v>
      </c>
      <c r="E1076" s="198" t="s">
        <v>29111</v>
      </c>
      <c r="F1076" s="195">
        <f>12000+6618.8</f>
        <v>18618.8</v>
      </c>
      <c r="G1076" s="197">
        <f>Tabla110[[#This Row],[Importe]]-Tabla110[[#This Row],[Pagado]]</f>
        <v>0</v>
      </c>
      <c r="H1076" s="194" t="s">
        <v>10</v>
      </c>
    </row>
    <row r="1077" spans="1:8" x14ac:dyDescent="0.25">
      <c r="A1077" s="127">
        <v>44814</v>
      </c>
      <c r="B1077" s="128" t="s">
        <v>29130</v>
      </c>
      <c r="C1077" s="194" t="s">
        <v>89</v>
      </c>
      <c r="D1077" s="195">
        <v>11654.5</v>
      </c>
      <c r="E1077" s="196">
        <v>44816</v>
      </c>
      <c r="F1077" s="195">
        <v>11654.5</v>
      </c>
      <c r="G1077" s="197">
        <f>Tabla110[[#This Row],[Importe]]-Tabla110[[#This Row],[Pagado]]</f>
        <v>0</v>
      </c>
      <c r="H1077" s="194" t="s">
        <v>10</v>
      </c>
    </row>
    <row r="1078" spans="1:8" x14ac:dyDescent="0.25">
      <c r="A1078" s="127">
        <v>44814</v>
      </c>
      <c r="B1078" s="128" t="s">
        <v>29131</v>
      </c>
      <c r="C1078" s="194" t="s">
        <v>109</v>
      </c>
      <c r="D1078" s="195">
        <v>5928.3</v>
      </c>
      <c r="E1078" s="196">
        <v>44816</v>
      </c>
      <c r="F1078" s="195">
        <v>5928.3</v>
      </c>
      <c r="G1078" s="197">
        <f>Tabla110[[#This Row],[Importe]]-Tabla110[[#This Row],[Pagado]]</f>
        <v>0</v>
      </c>
      <c r="H1078" s="194" t="s">
        <v>10</v>
      </c>
    </row>
    <row r="1079" spans="1:8" x14ac:dyDescent="0.25">
      <c r="A1079" s="127">
        <v>44814</v>
      </c>
      <c r="B1079" s="128" t="s">
        <v>29132</v>
      </c>
      <c r="C1079" s="194" t="s">
        <v>5043</v>
      </c>
      <c r="D1079" s="195">
        <v>11154</v>
      </c>
      <c r="E1079" s="196">
        <v>44816</v>
      </c>
      <c r="F1079" s="195">
        <v>11154</v>
      </c>
      <c r="G1079" s="197">
        <f>Tabla110[[#This Row],[Importe]]-Tabla110[[#This Row],[Pagado]]</f>
        <v>0</v>
      </c>
      <c r="H1079" s="194" t="s">
        <v>10</v>
      </c>
    </row>
    <row r="1080" spans="1:8" x14ac:dyDescent="0.25">
      <c r="A1080" s="127">
        <v>44814</v>
      </c>
      <c r="B1080" s="128" t="s">
        <v>29133</v>
      </c>
      <c r="C1080" s="194" t="s">
        <v>1187</v>
      </c>
      <c r="D1080" s="195">
        <v>2220</v>
      </c>
      <c r="E1080" s="196">
        <v>44814</v>
      </c>
      <c r="F1080" s="195">
        <v>2220</v>
      </c>
      <c r="G1080" s="197">
        <f>Tabla110[[#This Row],[Importe]]-Tabla110[[#This Row],[Pagado]]</f>
        <v>0</v>
      </c>
      <c r="H1080" s="194" t="s">
        <v>10</v>
      </c>
    </row>
    <row r="1081" spans="1:8" x14ac:dyDescent="0.25">
      <c r="A1081" s="127">
        <v>44814</v>
      </c>
      <c r="B1081" s="128" t="s">
        <v>29134</v>
      </c>
      <c r="C1081" s="194" t="s">
        <v>24284</v>
      </c>
      <c r="D1081" s="195">
        <v>1180.8</v>
      </c>
      <c r="E1081" s="196">
        <v>44814</v>
      </c>
      <c r="F1081" s="195">
        <v>1180.8</v>
      </c>
      <c r="G1081" s="197">
        <f>Tabla110[[#This Row],[Importe]]-Tabla110[[#This Row],[Pagado]]</f>
        <v>0</v>
      </c>
      <c r="H1081" s="194" t="s">
        <v>10</v>
      </c>
    </row>
    <row r="1082" spans="1:8" x14ac:dyDescent="0.25">
      <c r="A1082" s="127">
        <v>44814</v>
      </c>
      <c r="B1082" s="128" t="s">
        <v>29135</v>
      </c>
      <c r="C1082" s="194" t="s">
        <v>924</v>
      </c>
      <c r="D1082" s="195">
        <v>13556.4</v>
      </c>
      <c r="E1082" s="196">
        <v>44814</v>
      </c>
      <c r="F1082" s="195">
        <v>13556.4</v>
      </c>
      <c r="G1082" s="197">
        <f>Tabla110[[#This Row],[Importe]]-Tabla110[[#This Row],[Pagado]]</f>
        <v>0</v>
      </c>
      <c r="H1082" s="194" t="s">
        <v>10</v>
      </c>
    </row>
    <row r="1083" spans="1:8" x14ac:dyDescent="0.25">
      <c r="A1083" s="127">
        <v>44814</v>
      </c>
      <c r="B1083" s="128" t="s">
        <v>29136</v>
      </c>
      <c r="C1083" s="194" t="s">
        <v>56</v>
      </c>
      <c r="D1083" s="195">
        <v>9700.7999999999993</v>
      </c>
      <c r="E1083" s="196">
        <v>44814</v>
      </c>
      <c r="F1083" s="195">
        <v>9700.7999999999993</v>
      </c>
      <c r="G1083" s="197">
        <f>Tabla110[[#This Row],[Importe]]-Tabla110[[#This Row],[Pagado]]</f>
        <v>0</v>
      </c>
      <c r="H1083" s="194" t="s">
        <v>10</v>
      </c>
    </row>
    <row r="1084" spans="1:8" x14ac:dyDescent="0.25">
      <c r="A1084" s="127">
        <v>44814</v>
      </c>
      <c r="B1084" s="128" t="s">
        <v>29137</v>
      </c>
      <c r="C1084" s="194" t="s">
        <v>87</v>
      </c>
      <c r="D1084" s="195">
        <v>4520</v>
      </c>
      <c r="E1084" s="196">
        <v>44814</v>
      </c>
      <c r="F1084" s="195">
        <v>4520</v>
      </c>
      <c r="G1084" s="197">
        <f>Tabla110[[#This Row],[Importe]]-Tabla110[[#This Row],[Pagado]]</f>
        <v>0</v>
      </c>
      <c r="H1084" s="194" t="s">
        <v>10</v>
      </c>
    </row>
    <row r="1085" spans="1:8" x14ac:dyDescent="0.25">
      <c r="A1085" s="127">
        <v>44814</v>
      </c>
      <c r="B1085" s="128" t="s">
        <v>29138</v>
      </c>
      <c r="C1085" s="194" t="s">
        <v>16</v>
      </c>
      <c r="D1085" s="195">
        <v>6952.5</v>
      </c>
      <c r="E1085" s="196">
        <v>44814</v>
      </c>
      <c r="F1085" s="195">
        <v>6952.5</v>
      </c>
      <c r="G1085" s="197">
        <f>Tabla110[[#This Row],[Importe]]-Tabla110[[#This Row],[Pagado]]</f>
        <v>0</v>
      </c>
      <c r="H1085" s="194" t="s">
        <v>10</v>
      </c>
    </row>
    <row r="1086" spans="1:8" x14ac:dyDescent="0.25">
      <c r="A1086" s="127">
        <v>44814</v>
      </c>
      <c r="B1086" s="128" t="s">
        <v>29139</v>
      </c>
      <c r="C1086" s="194" t="s">
        <v>314</v>
      </c>
      <c r="D1086" s="195">
        <v>6194.4</v>
      </c>
      <c r="E1086" s="196">
        <v>44814</v>
      </c>
      <c r="F1086" s="195">
        <v>6194.4</v>
      </c>
      <c r="G1086" s="197">
        <f>Tabla110[[#This Row],[Importe]]-Tabla110[[#This Row],[Pagado]]</f>
        <v>0</v>
      </c>
      <c r="H1086" s="194" t="s">
        <v>10</v>
      </c>
    </row>
    <row r="1087" spans="1:8" x14ac:dyDescent="0.25">
      <c r="A1087" s="127">
        <v>44814</v>
      </c>
      <c r="B1087" s="128" t="s">
        <v>29140</v>
      </c>
      <c r="C1087" s="194" t="s">
        <v>29141</v>
      </c>
      <c r="D1087" s="195">
        <v>0</v>
      </c>
      <c r="E1087" s="199" t="s">
        <v>189</v>
      </c>
      <c r="F1087" s="195">
        <v>0</v>
      </c>
      <c r="G1087" s="197">
        <f>Tabla110[[#This Row],[Importe]]-Tabla110[[#This Row],[Pagado]]</f>
        <v>0</v>
      </c>
      <c r="H1087" s="200" t="s">
        <v>189</v>
      </c>
    </row>
    <row r="1088" spans="1:8" x14ac:dyDescent="0.25">
      <c r="A1088" s="127">
        <v>44814</v>
      </c>
      <c r="B1088" s="128" t="s">
        <v>29142</v>
      </c>
      <c r="C1088" s="194" t="s">
        <v>289</v>
      </c>
      <c r="D1088" s="195">
        <v>13778.1</v>
      </c>
      <c r="E1088" s="196">
        <v>44814</v>
      </c>
      <c r="F1088" s="195">
        <v>13778.1</v>
      </c>
      <c r="G1088" s="197">
        <f>Tabla110[[#This Row],[Importe]]-Tabla110[[#This Row],[Pagado]]</f>
        <v>0</v>
      </c>
      <c r="H1088" s="194" t="s">
        <v>10</v>
      </c>
    </row>
    <row r="1089" spans="1:8" x14ac:dyDescent="0.25">
      <c r="A1089" s="127">
        <v>44814</v>
      </c>
      <c r="B1089" s="128" t="s">
        <v>29143</v>
      </c>
      <c r="C1089" s="194" t="s">
        <v>29</v>
      </c>
      <c r="D1089" s="195">
        <v>7567.2</v>
      </c>
      <c r="E1089" s="196">
        <v>44814</v>
      </c>
      <c r="F1089" s="195">
        <v>7567.2</v>
      </c>
      <c r="G1089" s="197">
        <f>Tabla110[[#This Row],[Importe]]-Tabla110[[#This Row],[Pagado]]</f>
        <v>0</v>
      </c>
      <c r="H1089" s="194" t="s">
        <v>10</v>
      </c>
    </row>
    <row r="1090" spans="1:8" x14ac:dyDescent="0.25">
      <c r="A1090" s="127">
        <v>44814</v>
      </c>
      <c r="B1090" s="128" t="s">
        <v>29144</v>
      </c>
      <c r="C1090" s="194" t="s">
        <v>191</v>
      </c>
      <c r="D1090" s="195">
        <v>2220</v>
      </c>
      <c r="E1090" s="196">
        <v>44814</v>
      </c>
      <c r="F1090" s="195">
        <v>2220</v>
      </c>
      <c r="G1090" s="197">
        <f>Tabla110[[#This Row],[Importe]]-Tabla110[[#This Row],[Pagado]]</f>
        <v>0</v>
      </c>
      <c r="H1090" s="194" t="s">
        <v>10</v>
      </c>
    </row>
    <row r="1091" spans="1:8" x14ac:dyDescent="0.25">
      <c r="A1091" s="127">
        <v>44814</v>
      </c>
      <c r="B1091" s="128" t="s">
        <v>29145</v>
      </c>
      <c r="C1091" s="194" t="s">
        <v>161</v>
      </c>
      <c r="D1091" s="195">
        <v>4234</v>
      </c>
      <c r="E1091" s="196">
        <v>44814</v>
      </c>
      <c r="F1091" s="195">
        <v>4234</v>
      </c>
      <c r="G1091" s="197">
        <f>Tabla110[[#This Row],[Importe]]-Tabla110[[#This Row],[Pagado]]</f>
        <v>0</v>
      </c>
      <c r="H1091" s="194" t="s">
        <v>10</v>
      </c>
    </row>
    <row r="1092" spans="1:8" x14ac:dyDescent="0.25">
      <c r="A1092" s="127">
        <v>44814</v>
      </c>
      <c r="B1092" s="128" t="s">
        <v>29146</v>
      </c>
      <c r="C1092" s="194" t="s">
        <v>289</v>
      </c>
      <c r="D1092" s="195">
        <v>2325.6</v>
      </c>
      <c r="E1092" s="196">
        <v>44814</v>
      </c>
      <c r="F1092" s="195">
        <v>2325.6</v>
      </c>
      <c r="G1092" s="197">
        <f>Tabla110[[#This Row],[Importe]]-Tabla110[[#This Row],[Pagado]]</f>
        <v>0</v>
      </c>
      <c r="H1092" s="194" t="s">
        <v>10</v>
      </c>
    </row>
    <row r="1093" spans="1:8" x14ac:dyDescent="0.25">
      <c r="A1093" s="127">
        <v>44814</v>
      </c>
      <c r="B1093" s="128" t="s">
        <v>29147</v>
      </c>
      <c r="C1093" s="194" t="s">
        <v>45</v>
      </c>
      <c r="D1093" s="195">
        <v>11221.7</v>
      </c>
      <c r="E1093" s="196">
        <v>44814</v>
      </c>
      <c r="F1093" s="195">
        <v>11221.7</v>
      </c>
      <c r="G1093" s="197">
        <f>Tabla110[[#This Row],[Importe]]-Tabla110[[#This Row],[Pagado]]</f>
        <v>0</v>
      </c>
      <c r="H1093" s="194" t="s">
        <v>10</v>
      </c>
    </row>
    <row r="1094" spans="1:8" x14ac:dyDescent="0.25">
      <c r="A1094" s="127">
        <v>44814</v>
      </c>
      <c r="B1094" s="128" t="s">
        <v>29148</v>
      </c>
      <c r="C1094" s="194" t="s">
        <v>31</v>
      </c>
      <c r="D1094" s="195">
        <v>2657.8</v>
      </c>
      <c r="E1094" s="196">
        <v>44814</v>
      </c>
      <c r="F1094" s="195">
        <v>2657.8</v>
      </c>
      <c r="G1094" s="197">
        <f>Tabla110[[#This Row],[Importe]]-Tabla110[[#This Row],[Pagado]]</f>
        <v>0</v>
      </c>
      <c r="H1094" s="194" t="s">
        <v>10</v>
      </c>
    </row>
    <row r="1095" spans="1:8" x14ac:dyDescent="0.25">
      <c r="A1095" s="127">
        <v>44814</v>
      </c>
      <c r="B1095" s="128" t="s">
        <v>29149</v>
      </c>
      <c r="C1095" s="194" t="s">
        <v>79</v>
      </c>
      <c r="D1095" s="195">
        <v>21694.400000000001</v>
      </c>
      <c r="E1095" s="196">
        <v>44814</v>
      </c>
      <c r="F1095" s="195">
        <v>21694.400000000001</v>
      </c>
      <c r="G1095" s="197">
        <f>Tabla110[[#This Row],[Importe]]-Tabla110[[#This Row],[Pagado]]</f>
        <v>0</v>
      </c>
      <c r="H1095" s="194" t="s">
        <v>10</v>
      </c>
    </row>
    <row r="1096" spans="1:8" x14ac:dyDescent="0.25">
      <c r="A1096" s="127">
        <v>44814</v>
      </c>
      <c r="B1096" s="128" t="s">
        <v>29150</v>
      </c>
      <c r="C1096" s="194" t="s">
        <v>2114</v>
      </c>
      <c r="D1096" s="195">
        <v>2394.8000000000002</v>
      </c>
      <c r="E1096" s="196">
        <v>44814</v>
      </c>
      <c r="F1096" s="195">
        <v>2394.8000000000002</v>
      </c>
      <c r="G1096" s="197">
        <f>Tabla110[[#This Row],[Importe]]-Tabla110[[#This Row],[Pagado]]</f>
        <v>0</v>
      </c>
      <c r="H1096" s="194" t="s">
        <v>10</v>
      </c>
    </row>
    <row r="1097" spans="1:8" x14ac:dyDescent="0.25">
      <c r="A1097" s="127">
        <v>44814</v>
      </c>
      <c r="B1097" s="128" t="s">
        <v>29151</v>
      </c>
      <c r="C1097" s="194" t="s">
        <v>555</v>
      </c>
      <c r="D1097" s="195">
        <v>19874.400000000001</v>
      </c>
      <c r="E1097" s="196">
        <v>44814</v>
      </c>
      <c r="F1097" s="195">
        <v>19874.400000000001</v>
      </c>
      <c r="G1097" s="197">
        <f>Tabla110[[#This Row],[Importe]]-Tabla110[[#This Row],[Pagado]]</f>
        <v>0</v>
      </c>
      <c r="H1097" s="194" t="s">
        <v>10</v>
      </c>
    </row>
    <row r="1098" spans="1:8" x14ac:dyDescent="0.25">
      <c r="A1098" s="127">
        <v>44814</v>
      </c>
      <c r="B1098" s="128" t="s">
        <v>29152</v>
      </c>
      <c r="C1098" s="194" t="s">
        <v>49</v>
      </c>
      <c r="D1098" s="195">
        <v>3837.5</v>
      </c>
      <c r="E1098" s="196">
        <v>44814</v>
      </c>
      <c r="F1098" s="195">
        <v>3837.5</v>
      </c>
      <c r="G1098" s="197">
        <f>Tabla110[[#This Row],[Importe]]-Tabla110[[#This Row],[Pagado]]</f>
        <v>0</v>
      </c>
      <c r="H1098" s="194" t="s">
        <v>10</v>
      </c>
    </row>
    <row r="1099" spans="1:8" x14ac:dyDescent="0.25">
      <c r="A1099" s="127">
        <v>44814</v>
      </c>
      <c r="B1099" s="128" t="s">
        <v>29153</v>
      </c>
      <c r="C1099" s="194" t="s">
        <v>29154</v>
      </c>
      <c r="D1099" s="195">
        <v>0</v>
      </c>
      <c r="E1099" s="199" t="s">
        <v>189</v>
      </c>
      <c r="F1099" s="195">
        <v>0</v>
      </c>
      <c r="G1099" s="197">
        <f>Tabla110[[#This Row],[Importe]]-Tabla110[[#This Row],[Pagado]]</f>
        <v>0</v>
      </c>
      <c r="H1099" s="200" t="s">
        <v>29155</v>
      </c>
    </row>
    <row r="1100" spans="1:8" x14ac:dyDescent="0.25">
      <c r="A1100" s="127">
        <v>44814</v>
      </c>
      <c r="B1100" s="128" t="s">
        <v>29156</v>
      </c>
      <c r="C1100" s="194" t="s">
        <v>382</v>
      </c>
      <c r="D1100" s="195">
        <v>6940.8</v>
      </c>
      <c r="E1100" s="196">
        <v>44814</v>
      </c>
      <c r="F1100" s="195">
        <v>6940.8</v>
      </c>
      <c r="G1100" s="197">
        <f>Tabla110[[#This Row],[Importe]]-Tabla110[[#This Row],[Pagado]]</f>
        <v>0</v>
      </c>
      <c r="H1100" s="194" t="s">
        <v>10</v>
      </c>
    </row>
    <row r="1101" spans="1:8" x14ac:dyDescent="0.25">
      <c r="A1101" s="127">
        <v>44814</v>
      </c>
      <c r="B1101" s="128" t="s">
        <v>29157</v>
      </c>
      <c r="C1101" s="194" t="s">
        <v>382</v>
      </c>
      <c r="D1101" s="195">
        <v>599.5</v>
      </c>
      <c r="E1101" s="196">
        <v>44814</v>
      </c>
      <c r="F1101" s="195">
        <v>599.5</v>
      </c>
      <c r="G1101" s="197">
        <f>Tabla110[[#This Row],[Importe]]-Tabla110[[#This Row],[Pagado]]</f>
        <v>0</v>
      </c>
      <c r="H1101" s="194" t="s">
        <v>10</v>
      </c>
    </row>
    <row r="1102" spans="1:8" x14ac:dyDescent="0.25">
      <c r="A1102" s="127">
        <v>44814</v>
      </c>
      <c r="B1102" s="128" t="s">
        <v>29158</v>
      </c>
      <c r="C1102" s="194" t="s">
        <v>58</v>
      </c>
      <c r="D1102" s="195">
        <v>8305</v>
      </c>
      <c r="E1102" s="196">
        <v>44814</v>
      </c>
      <c r="F1102" s="195">
        <v>8305</v>
      </c>
      <c r="G1102" s="197">
        <f>Tabla110[[#This Row],[Importe]]-Tabla110[[#This Row],[Pagado]]</f>
        <v>0</v>
      </c>
      <c r="H1102" s="194" t="s">
        <v>10</v>
      </c>
    </row>
    <row r="1103" spans="1:8" x14ac:dyDescent="0.25">
      <c r="A1103" s="127">
        <v>44814</v>
      </c>
      <c r="B1103" s="128" t="s">
        <v>29159</v>
      </c>
      <c r="C1103" s="194" t="s">
        <v>392</v>
      </c>
      <c r="D1103" s="195">
        <v>1872</v>
      </c>
      <c r="E1103" s="196">
        <v>44814</v>
      </c>
      <c r="F1103" s="195">
        <v>1872</v>
      </c>
      <c r="G1103" s="197">
        <f>Tabla110[[#This Row],[Importe]]-Tabla110[[#This Row],[Pagado]]</f>
        <v>0</v>
      </c>
      <c r="H1103" s="194" t="s">
        <v>10</v>
      </c>
    </row>
    <row r="1104" spans="1:8" x14ac:dyDescent="0.25">
      <c r="A1104" s="127">
        <v>44814</v>
      </c>
      <c r="B1104" s="128" t="s">
        <v>29160</v>
      </c>
      <c r="C1104" s="194" t="s">
        <v>142</v>
      </c>
      <c r="D1104" s="195">
        <v>90919.73</v>
      </c>
      <c r="E1104" s="196">
        <v>44847</v>
      </c>
      <c r="F1104" s="195">
        <v>90919.73</v>
      </c>
      <c r="G1104" s="197">
        <f>Tabla110[[#This Row],[Importe]]-Tabla110[[#This Row],[Pagado]]</f>
        <v>0</v>
      </c>
      <c r="H1104" s="194" t="s">
        <v>10</v>
      </c>
    </row>
    <row r="1105" spans="1:8" x14ac:dyDescent="0.25">
      <c r="A1105" s="127">
        <v>44814</v>
      </c>
      <c r="B1105" s="128" t="s">
        <v>29161</v>
      </c>
      <c r="C1105" s="194" t="s">
        <v>149</v>
      </c>
      <c r="D1105" s="195">
        <v>828</v>
      </c>
      <c r="E1105" s="196">
        <v>44814</v>
      </c>
      <c r="F1105" s="195">
        <v>828</v>
      </c>
      <c r="G1105" s="197">
        <f>Tabla110[[#This Row],[Importe]]-Tabla110[[#This Row],[Pagado]]</f>
        <v>0</v>
      </c>
      <c r="H1105" s="194" t="s">
        <v>10</v>
      </c>
    </row>
    <row r="1106" spans="1:8" x14ac:dyDescent="0.25">
      <c r="A1106" s="127">
        <v>44814</v>
      </c>
      <c r="B1106" s="128" t="s">
        <v>29162</v>
      </c>
      <c r="C1106" s="194" t="s">
        <v>273</v>
      </c>
      <c r="D1106" s="195">
        <v>2008</v>
      </c>
      <c r="E1106" s="196">
        <v>44814</v>
      </c>
      <c r="F1106" s="195">
        <v>2008</v>
      </c>
      <c r="G1106" s="197">
        <f>Tabla110[[#This Row],[Importe]]-Tabla110[[#This Row],[Pagado]]</f>
        <v>0</v>
      </c>
      <c r="H1106" s="194" t="s">
        <v>10</v>
      </c>
    </row>
    <row r="1107" spans="1:8" x14ac:dyDescent="0.25">
      <c r="A1107" s="127">
        <v>44814</v>
      </c>
      <c r="B1107" s="128" t="s">
        <v>29163</v>
      </c>
      <c r="C1107" s="194" t="s">
        <v>1003</v>
      </c>
      <c r="D1107" s="195">
        <v>13611.8</v>
      </c>
      <c r="E1107" s="196">
        <v>44815</v>
      </c>
      <c r="F1107" s="195">
        <v>13611.8</v>
      </c>
      <c r="G1107" s="197">
        <f>Tabla110[[#This Row],[Importe]]-Tabla110[[#This Row],[Pagado]]</f>
        <v>0</v>
      </c>
      <c r="H1107" s="194" t="s">
        <v>10</v>
      </c>
    </row>
    <row r="1108" spans="1:8" x14ac:dyDescent="0.25">
      <c r="A1108" s="127">
        <v>44814</v>
      </c>
      <c r="B1108" s="128" t="s">
        <v>29164</v>
      </c>
      <c r="C1108" s="194" t="s">
        <v>31</v>
      </c>
      <c r="D1108" s="195">
        <v>1311.2</v>
      </c>
      <c r="E1108" s="196">
        <v>44814</v>
      </c>
      <c r="F1108" s="195">
        <v>1311.2</v>
      </c>
      <c r="G1108" s="197">
        <f>Tabla110[[#This Row],[Importe]]-Tabla110[[#This Row],[Pagado]]</f>
        <v>0</v>
      </c>
      <c r="H1108" s="194" t="s">
        <v>10</v>
      </c>
    </row>
    <row r="1109" spans="1:8" x14ac:dyDescent="0.25">
      <c r="A1109" s="127">
        <v>44814</v>
      </c>
      <c r="B1109" s="128" t="s">
        <v>29165</v>
      </c>
      <c r="C1109" s="194" t="s">
        <v>698</v>
      </c>
      <c r="D1109" s="195">
        <v>5345.7</v>
      </c>
      <c r="E1109" s="196">
        <v>44814</v>
      </c>
      <c r="F1109" s="195">
        <v>5345.7</v>
      </c>
      <c r="G1109" s="197">
        <f>Tabla110[[#This Row],[Importe]]-Tabla110[[#This Row],[Pagado]]</f>
        <v>0</v>
      </c>
      <c r="H1109" s="194" t="s">
        <v>10</v>
      </c>
    </row>
    <row r="1110" spans="1:8" x14ac:dyDescent="0.25">
      <c r="A1110" s="127">
        <v>44814</v>
      </c>
      <c r="B1110" s="128" t="s">
        <v>29166</v>
      </c>
      <c r="C1110" s="194" t="s">
        <v>151</v>
      </c>
      <c r="D1110" s="195">
        <v>13475</v>
      </c>
      <c r="E1110" s="196">
        <v>44814</v>
      </c>
      <c r="F1110" s="195">
        <v>13475</v>
      </c>
      <c r="G1110" s="197">
        <f>Tabla110[[#This Row],[Importe]]-Tabla110[[#This Row],[Pagado]]</f>
        <v>0</v>
      </c>
      <c r="H1110" s="194" t="s">
        <v>10</v>
      </c>
    </row>
    <row r="1111" spans="1:8" x14ac:dyDescent="0.25">
      <c r="A1111" s="127">
        <v>44814</v>
      </c>
      <c r="B1111" s="128" t="s">
        <v>29167</v>
      </c>
      <c r="C1111" s="194" t="s">
        <v>159</v>
      </c>
      <c r="D1111" s="195">
        <v>1666.5</v>
      </c>
      <c r="E1111" s="196">
        <v>44814</v>
      </c>
      <c r="F1111" s="195">
        <v>1666.5</v>
      </c>
      <c r="G1111" s="197">
        <f>Tabla110[[#This Row],[Importe]]-Tabla110[[#This Row],[Pagado]]</f>
        <v>0</v>
      </c>
      <c r="H1111" s="194" t="s">
        <v>10</v>
      </c>
    </row>
    <row r="1112" spans="1:8" x14ac:dyDescent="0.25">
      <c r="A1112" s="127">
        <v>44814</v>
      </c>
      <c r="B1112" s="128" t="s">
        <v>29168</v>
      </c>
      <c r="C1112" s="194" t="s">
        <v>157</v>
      </c>
      <c r="D1112" s="195">
        <v>6422.7</v>
      </c>
      <c r="E1112" s="196">
        <v>44814</v>
      </c>
      <c r="F1112" s="195">
        <v>6422.7</v>
      </c>
      <c r="G1112" s="197">
        <f>Tabla110[[#This Row],[Importe]]-Tabla110[[#This Row],[Pagado]]</f>
        <v>0</v>
      </c>
      <c r="H1112" s="194" t="s">
        <v>10</v>
      </c>
    </row>
    <row r="1113" spans="1:8" x14ac:dyDescent="0.25">
      <c r="A1113" s="127">
        <v>44814</v>
      </c>
      <c r="B1113" s="128" t="s">
        <v>29169</v>
      </c>
      <c r="C1113" s="194" t="s">
        <v>261</v>
      </c>
      <c r="D1113" s="195">
        <v>48032.46</v>
      </c>
      <c r="E1113" s="196">
        <v>44815</v>
      </c>
      <c r="F1113" s="195">
        <v>48032.46</v>
      </c>
      <c r="G1113" s="197">
        <f>Tabla110[[#This Row],[Importe]]-Tabla110[[#This Row],[Pagado]]</f>
        <v>0</v>
      </c>
      <c r="H1113" s="194" t="s">
        <v>10</v>
      </c>
    </row>
    <row r="1114" spans="1:8" x14ac:dyDescent="0.25">
      <c r="A1114" s="127">
        <v>44814</v>
      </c>
      <c r="B1114" s="128" t="s">
        <v>29170</v>
      </c>
      <c r="C1114" s="194" t="s">
        <v>120</v>
      </c>
      <c r="D1114" s="195">
        <v>52711.56</v>
      </c>
      <c r="E1114" s="196">
        <v>44815</v>
      </c>
      <c r="F1114" s="195">
        <v>52711.56</v>
      </c>
      <c r="G1114" s="197">
        <f>Tabla110[[#This Row],[Importe]]-Tabla110[[#This Row],[Pagado]]</f>
        <v>0</v>
      </c>
      <c r="H1114" s="194" t="s">
        <v>10</v>
      </c>
    </row>
    <row r="1115" spans="1:8" x14ac:dyDescent="0.25">
      <c r="A1115" s="127">
        <v>44814</v>
      </c>
      <c r="B1115" s="128" t="s">
        <v>29171</v>
      </c>
      <c r="C1115" s="194" t="s">
        <v>319</v>
      </c>
      <c r="D1115" s="195">
        <v>13688.3</v>
      </c>
      <c r="E1115" s="196">
        <v>44814</v>
      </c>
      <c r="F1115" s="195">
        <v>13688.3</v>
      </c>
      <c r="G1115" s="197">
        <f>Tabla110[[#This Row],[Importe]]-Tabla110[[#This Row],[Pagado]]</f>
        <v>0</v>
      </c>
      <c r="H1115" s="194" t="s">
        <v>10</v>
      </c>
    </row>
    <row r="1116" spans="1:8" x14ac:dyDescent="0.25">
      <c r="A1116" s="127">
        <v>44814</v>
      </c>
      <c r="B1116" s="128" t="s">
        <v>29172</v>
      </c>
      <c r="C1116" s="194" t="s">
        <v>520</v>
      </c>
      <c r="D1116" s="195">
        <v>14489.1</v>
      </c>
      <c r="E1116" s="196">
        <v>44814</v>
      </c>
      <c r="F1116" s="195">
        <v>14489.1</v>
      </c>
      <c r="G1116" s="197">
        <f>Tabla110[[#This Row],[Importe]]-Tabla110[[#This Row],[Pagado]]</f>
        <v>0</v>
      </c>
      <c r="H1116" s="194" t="s">
        <v>10</v>
      </c>
    </row>
    <row r="1117" spans="1:8" x14ac:dyDescent="0.25">
      <c r="A1117" s="127">
        <v>44814</v>
      </c>
      <c r="B1117" s="128" t="s">
        <v>29173</v>
      </c>
      <c r="C1117" s="194" t="s">
        <v>518</v>
      </c>
      <c r="D1117" s="195">
        <v>7878.6</v>
      </c>
      <c r="E1117" s="196">
        <v>44814</v>
      </c>
      <c r="F1117" s="195">
        <v>7878.6</v>
      </c>
      <c r="G1117" s="197">
        <f>Tabla110[[#This Row],[Importe]]-Tabla110[[#This Row],[Pagado]]</f>
        <v>0</v>
      </c>
      <c r="H1117" s="194" t="s">
        <v>10</v>
      </c>
    </row>
    <row r="1118" spans="1:8" x14ac:dyDescent="0.25">
      <c r="A1118" s="127">
        <v>44814</v>
      </c>
      <c r="B1118" s="128" t="s">
        <v>29174</v>
      </c>
      <c r="C1118" s="194" t="s">
        <v>525</v>
      </c>
      <c r="D1118" s="195">
        <v>424</v>
      </c>
      <c r="E1118" s="196">
        <v>44814</v>
      </c>
      <c r="F1118" s="195">
        <v>424</v>
      </c>
      <c r="G1118" s="197">
        <f>Tabla110[[#This Row],[Importe]]-Tabla110[[#This Row],[Pagado]]</f>
        <v>0</v>
      </c>
      <c r="H1118" s="194" t="s">
        <v>10</v>
      </c>
    </row>
    <row r="1119" spans="1:8" x14ac:dyDescent="0.25">
      <c r="A1119" s="127">
        <v>44814</v>
      </c>
      <c r="B1119" s="128" t="s">
        <v>29175</v>
      </c>
      <c r="C1119" s="194" t="s">
        <v>9415</v>
      </c>
      <c r="D1119" s="195">
        <v>21514.6</v>
      </c>
      <c r="E1119" s="196">
        <v>44814</v>
      </c>
      <c r="F1119" s="195">
        <v>21514.6</v>
      </c>
      <c r="G1119" s="197">
        <f>Tabla110[[#This Row],[Importe]]-Tabla110[[#This Row],[Pagado]]</f>
        <v>0</v>
      </c>
      <c r="H1119" s="194" t="s">
        <v>10</v>
      </c>
    </row>
    <row r="1120" spans="1:8" x14ac:dyDescent="0.25">
      <c r="A1120" s="127">
        <v>44814</v>
      </c>
      <c r="B1120" s="128" t="s">
        <v>29176</v>
      </c>
      <c r="C1120" s="194" t="s">
        <v>24</v>
      </c>
      <c r="D1120" s="195">
        <v>3173.2</v>
      </c>
      <c r="E1120" s="196">
        <v>44814</v>
      </c>
      <c r="F1120" s="195">
        <v>3173.2</v>
      </c>
      <c r="G1120" s="197">
        <f>Tabla110[[#This Row],[Importe]]-Tabla110[[#This Row],[Pagado]]</f>
        <v>0</v>
      </c>
      <c r="H1120" s="194" t="s">
        <v>10</v>
      </c>
    </row>
    <row r="1121" spans="1:8" x14ac:dyDescent="0.25">
      <c r="A1121" s="127">
        <v>44814</v>
      </c>
      <c r="B1121" s="128" t="s">
        <v>29177</v>
      </c>
      <c r="C1121" s="194" t="s">
        <v>857</v>
      </c>
      <c r="D1121" s="195">
        <v>864.2</v>
      </c>
      <c r="E1121" s="196">
        <v>44814</v>
      </c>
      <c r="F1121" s="195">
        <v>864.2</v>
      </c>
      <c r="G1121" s="197">
        <f>Tabla110[[#This Row],[Importe]]-Tabla110[[#This Row],[Pagado]]</f>
        <v>0</v>
      </c>
      <c r="H1121" s="194" t="s">
        <v>10</v>
      </c>
    </row>
    <row r="1122" spans="1:8" x14ac:dyDescent="0.25">
      <c r="A1122" s="127">
        <v>44814</v>
      </c>
      <c r="B1122" s="128" t="s">
        <v>29178</v>
      </c>
      <c r="C1122" s="194" t="s">
        <v>196</v>
      </c>
      <c r="D1122" s="195">
        <v>151423.09</v>
      </c>
      <c r="E1122" s="196">
        <v>44819</v>
      </c>
      <c r="F1122" s="195">
        <v>151423.09</v>
      </c>
      <c r="G1122" s="197">
        <f>Tabla110[[#This Row],[Importe]]-Tabla110[[#This Row],[Pagado]]</f>
        <v>0</v>
      </c>
      <c r="H1122" s="194" t="s">
        <v>10</v>
      </c>
    </row>
    <row r="1123" spans="1:8" x14ac:dyDescent="0.25">
      <c r="A1123" s="127">
        <v>44814</v>
      </c>
      <c r="B1123" s="128" t="s">
        <v>29179</v>
      </c>
      <c r="C1123" s="194" t="s">
        <v>196</v>
      </c>
      <c r="D1123" s="195">
        <v>2880</v>
      </c>
      <c r="E1123" s="196">
        <v>44819</v>
      </c>
      <c r="F1123" s="195">
        <v>2880</v>
      </c>
      <c r="G1123" s="197">
        <f>Tabla110[[#This Row],[Importe]]-Tabla110[[#This Row],[Pagado]]</f>
        <v>0</v>
      </c>
      <c r="H1123" s="194" t="s">
        <v>10</v>
      </c>
    </row>
    <row r="1124" spans="1:8" x14ac:dyDescent="0.25">
      <c r="A1124" s="127">
        <v>44814</v>
      </c>
      <c r="B1124" s="128" t="s">
        <v>29180</v>
      </c>
      <c r="C1124" s="194" t="s">
        <v>244</v>
      </c>
      <c r="D1124" s="195">
        <v>2038.5</v>
      </c>
      <c r="E1124" s="196">
        <v>44814</v>
      </c>
      <c r="F1124" s="195">
        <v>2038.5</v>
      </c>
      <c r="G1124" s="197">
        <f>Tabla110[[#This Row],[Importe]]-Tabla110[[#This Row],[Pagado]]</f>
        <v>0</v>
      </c>
      <c r="H1124" s="194" t="s">
        <v>10</v>
      </c>
    </row>
    <row r="1125" spans="1:8" x14ac:dyDescent="0.25">
      <c r="A1125" s="127">
        <v>44814</v>
      </c>
      <c r="B1125" s="128" t="s">
        <v>29181</v>
      </c>
      <c r="C1125" s="194" t="s">
        <v>994</v>
      </c>
      <c r="D1125" s="195">
        <v>2011.8</v>
      </c>
      <c r="E1125" s="196">
        <v>44814</v>
      </c>
      <c r="F1125" s="195">
        <v>2011.8</v>
      </c>
      <c r="G1125" s="197">
        <f>Tabla110[[#This Row],[Importe]]-Tabla110[[#This Row],[Pagado]]</f>
        <v>0</v>
      </c>
      <c r="H1125" s="194" t="s">
        <v>10</v>
      </c>
    </row>
    <row r="1126" spans="1:8" x14ac:dyDescent="0.25">
      <c r="A1126" s="127">
        <v>44814</v>
      </c>
      <c r="B1126" s="128" t="s">
        <v>29182</v>
      </c>
      <c r="C1126" s="194" t="s">
        <v>31</v>
      </c>
      <c r="D1126" s="195">
        <v>2815.2</v>
      </c>
      <c r="E1126" s="196">
        <v>44814</v>
      </c>
      <c r="F1126" s="195">
        <v>2815.2</v>
      </c>
      <c r="G1126" s="197">
        <f>Tabla110[[#This Row],[Importe]]-Tabla110[[#This Row],[Pagado]]</f>
        <v>0</v>
      </c>
      <c r="H1126" s="194" t="s">
        <v>10</v>
      </c>
    </row>
    <row r="1127" spans="1:8" x14ac:dyDescent="0.25">
      <c r="A1127" s="127">
        <v>44814</v>
      </c>
      <c r="B1127" s="128" t="s">
        <v>29183</v>
      </c>
      <c r="C1127" s="194" t="s">
        <v>31</v>
      </c>
      <c r="D1127" s="195">
        <v>1796.7</v>
      </c>
      <c r="E1127" s="196">
        <v>44814</v>
      </c>
      <c r="F1127" s="195">
        <v>1796.7</v>
      </c>
      <c r="G1127" s="197">
        <f>Tabla110[[#This Row],[Importe]]-Tabla110[[#This Row],[Pagado]]</f>
        <v>0</v>
      </c>
      <c r="H1127" s="194" t="s">
        <v>10</v>
      </c>
    </row>
    <row r="1128" spans="1:8" x14ac:dyDescent="0.25">
      <c r="A1128" s="127">
        <v>44814</v>
      </c>
      <c r="B1128" s="128" t="s">
        <v>29184</v>
      </c>
      <c r="C1128" s="194" t="s">
        <v>107</v>
      </c>
      <c r="D1128" s="195">
        <v>33461</v>
      </c>
      <c r="E1128" s="196">
        <v>44815</v>
      </c>
      <c r="F1128" s="195">
        <v>33461</v>
      </c>
      <c r="G1128" s="197">
        <f>Tabla110[[#This Row],[Importe]]-Tabla110[[#This Row],[Pagado]]</f>
        <v>0</v>
      </c>
      <c r="H1128" s="194" t="s">
        <v>10</v>
      </c>
    </row>
    <row r="1129" spans="1:8" x14ac:dyDescent="0.25">
      <c r="A1129" s="127">
        <v>44814</v>
      </c>
      <c r="B1129" s="128" t="s">
        <v>29185</v>
      </c>
      <c r="C1129" s="194" t="s">
        <v>664</v>
      </c>
      <c r="D1129" s="195">
        <v>3307.2</v>
      </c>
      <c r="E1129" s="196">
        <v>44815</v>
      </c>
      <c r="F1129" s="195">
        <v>3307.2</v>
      </c>
      <c r="G1129" s="197">
        <f>Tabla110[[#This Row],[Importe]]-Tabla110[[#This Row],[Pagado]]</f>
        <v>0</v>
      </c>
      <c r="H1129" s="194" t="s">
        <v>10</v>
      </c>
    </row>
    <row r="1130" spans="1:8" x14ac:dyDescent="0.25">
      <c r="A1130" s="127">
        <v>44814</v>
      </c>
      <c r="B1130" s="128" t="s">
        <v>29186</v>
      </c>
      <c r="C1130" s="194" t="s">
        <v>146</v>
      </c>
      <c r="D1130" s="195">
        <v>9282</v>
      </c>
      <c r="E1130" s="196">
        <v>44815</v>
      </c>
      <c r="F1130" s="195">
        <v>9282</v>
      </c>
      <c r="G1130" s="197">
        <f>Tabla110[[#This Row],[Importe]]-Tabla110[[#This Row],[Pagado]]</f>
        <v>0</v>
      </c>
      <c r="H1130" s="194" t="s">
        <v>10</v>
      </c>
    </row>
    <row r="1131" spans="1:8" x14ac:dyDescent="0.25">
      <c r="A1131" s="127">
        <v>44814</v>
      </c>
      <c r="B1131" s="128" t="s">
        <v>29187</v>
      </c>
      <c r="C1131" s="194" t="s">
        <v>9827</v>
      </c>
      <c r="D1131" s="195">
        <v>5061.6000000000004</v>
      </c>
      <c r="E1131" s="196">
        <v>44814</v>
      </c>
      <c r="F1131" s="195">
        <v>5061.6000000000004</v>
      </c>
      <c r="G1131" s="197">
        <f>Tabla110[[#This Row],[Importe]]-Tabla110[[#This Row],[Pagado]]</f>
        <v>0</v>
      </c>
      <c r="H1131" s="194" t="s">
        <v>10</v>
      </c>
    </row>
    <row r="1132" spans="1:8" x14ac:dyDescent="0.25">
      <c r="A1132" s="127">
        <v>44814</v>
      </c>
      <c r="B1132" s="128" t="s">
        <v>29188</v>
      </c>
      <c r="C1132" s="194" t="s">
        <v>9827</v>
      </c>
      <c r="D1132" s="195">
        <v>302.39999999999998</v>
      </c>
      <c r="E1132" s="196">
        <v>44814</v>
      </c>
      <c r="F1132" s="195">
        <v>302.39999999999998</v>
      </c>
      <c r="G1132" s="197">
        <f>Tabla110[[#This Row],[Importe]]-Tabla110[[#This Row],[Pagado]]</f>
        <v>0</v>
      </c>
      <c r="H1132" s="194" t="s">
        <v>10</v>
      </c>
    </row>
    <row r="1133" spans="1:8" x14ac:dyDescent="0.25">
      <c r="A1133" s="127">
        <v>44814</v>
      </c>
      <c r="B1133" s="128" t="s">
        <v>29189</v>
      </c>
      <c r="C1133" s="194" t="s">
        <v>142</v>
      </c>
      <c r="D1133" s="195">
        <v>4788</v>
      </c>
      <c r="E1133" s="196">
        <v>44847</v>
      </c>
      <c r="F1133" s="195">
        <v>4788</v>
      </c>
      <c r="G1133" s="197">
        <f>Tabla110[[#This Row],[Importe]]-Tabla110[[#This Row],[Pagado]]</f>
        <v>0</v>
      </c>
      <c r="H1133" s="194" t="s">
        <v>10</v>
      </c>
    </row>
    <row r="1134" spans="1:8" x14ac:dyDescent="0.25">
      <c r="A1134" s="127">
        <v>44814</v>
      </c>
      <c r="B1134" s="128" t="s">
        <v>29190</v>
      </c>
      <c r="C1134" s="194" t="s">
        <v>56</v>
      </c>
      <c r="D1134" s="195">
        <v>1973.4</v>
      </c>
      <c r="E1134" s="196">
        <v>44814</v>
      </c>
      <c r="F1134" s="195">
        <v>1973.4</v>
      </c>
      <c r="G1134" s="197">
        <f>Tabla110[[#This Row],[Importe]]-Tabla110[[#This Row],[Pagado]]</f>
        <v>0</v>
      </c>
      <c r="H1134" s="194" t="s">
        <v>10</v>
      </c>
    </row>
    <row r="1135" spans="1:8" x14ac:dyDescent="0.25">
      <c r="A1135" s="127">
        <v>44814</v>
      </c>
      <c r="B1135" s="128" t="s">
        <v>29191</v>
      </c>
      <c r="C1135" s="194" t="s">
        <v>419</v>
      </c>
      <c r="D1135" s="195">
        <v>7295.4</v>
      </c>
      <c r="E1135" s="196">
        <v>44814</v>
      </c>
      <c r="F1135" s="195">
        <v>7295.4</v>
      </c>
      <c r="G1135" s="197">
        <f>Tabla110[[#This Row],[Importe]]-Tabla110[[#This Row],[Pagado]]</f>
        <v>0</v>
      </c>
      <c r="H1135" s="194" t="s">
        <v>10</v>
      </c>
    </row>
    <row r="1136" spans="1:8" x14ac:dyDescent="0.25">
      <c r="A1136" s="127">
        <v>44814</v>
      </c>
      <c r="B1136" s="128" t="s">
        <v>29192</v>
      </c>
      <c r="C1136" s="194" t="s">
        <v>146</v>
      </c>
      <c r="D1136" s="195">
        <v>3315</v>
      </c>
      <c r="E1136" s="196">
        <v>44815</v>
      </c>
      <c r="F1136" s="195">
        <v>3315</v>
      </c>
      <c r="G1136" s="197">
        <f>Tabla110[[#This Row],[Importe]]-Tabla110[[#This Row],[Pagado]]</f>
        <v>0</v>
      </c>
      <c r="H1136" s="194" t="s">
        <v>10</v>
      </c>
    </row>
    <row r="1137" spans="1:8" x14ac:dyDescent="0.25">
      <c r="A1137" s="127">
        <v>44814</v>
      </c>
      <c r="B1137" s="128" t="s">
        <v>29193</v>
      </c>
      <c r="C1137" s="194" t="s">
        <v>127</v>
      </c>
      <c r="D1137" s="195">
        <v>5576.6</v>
      </c>
      <c r="E1137" s="196">
        <v>44815</v>
      </c>
      <c r="F1137" s="195">
        <v>5576.6</v>
      </c>
      <c r="G1137" s="197">
        <f>Tabla110[[#This Row],[Importe]]-Tabla110[[#This Row],[Pagado]]</f>
        <v>0</v>
      </c>
      <c r="H1137" s="194" t="s">
        <v>10</v>
      </c>
    </row>
    <row r="1138" spans="1:8" x14ac:dyDescent="0.25">
      <c r="A1138" s="127">
        <v>44814</v>
      </c>
      <c r="B1138" s="128" t="s">
        <v>29194</v>
      </c>
      <c r="C1138" s="194" t="s">
        <v>484</v>
      </c>
      <c r="D1138" s="195">
        <v>5380</v>
      </c>
      <c r="E1138" s="196">
        <v>44814</v>
      </c>
      <c r="F1138" s="195">
        <v>5380</v>
      </c>
      <c r="G1138" s="197">
        <f>Tabla110[[#This Row],[Importe]]-Tabla110[[#This Row],[Pagado]]</f>
        <v>0</v>
      </c>
      <c r="H1138" s="194" t="s">
        <v>10</v>
      </c>
    </row>
    <row r="1139" spans="1:8" x14ac:dyDescent="0.25">
      <c r="A1139" s="127">
        <v>44814</v>
      </c>
      <c r="B1139" s="128" t="s">
        <v>29195</v>
      </c>
      <c r="C1139" s="194" t="s">
        <v>484</v>
      </c>
      <c r="D1139" s="195">
        <v>268</v>
      </c>
      <c r="E1139" s="196">
        <v>44814</v>
      </c>
      <c r="F1139" s="195">
        <v>268</v>
      </c>
      <c r="G1139" s="197">
        <f>Tabla110[[#This Row],[Importe]]-Tabla110[[#This Row],[Pagado]]</f>
        <v>0</v>
      </c>
      <c r="H1139" s="194" t="s">
        <v>10</v>
      </c>
    </row>
    <row r="1140" spans="1:8" x14ac:dyDescent="0.25">
      <c r="A1140" s="127">
        <v>44814</v>
      </c>
      <c r="B1140" s="128" t="s">
        <v>29196</v>
      </c>
      <c r="C1140" s="194" t="s">
        <v>58</v>
      </c>
      <c r="D1140" s="195">
        <v>4755.5</v>
      </c>
      <c r="E1140" s="196">
        <v>44814</v>
      </c>
      <c r="F1140" s="195">
        <v>4755.5</v>
      </c>
      <c r="G1140" s="197">
        <f>Tabla110[[#This Row],[Importe]]-Tabla110[[#This Row],[Pagado]]</f>
        <v>0</v>
      </c>
      <c r="H1140" s="194" t="s">
        <v>10</v>
      </c>
    </row>
    <row r="1141" spans="1:8" x14ac:dyDescent="0.25">
      <c r="A1141" s="127">
        <v>44814</v>
      </c>
      <c r="B1141" s="128" t="s">
        <v>29197</v>
      </c>
      <c r="C1141" s="194" t="s">
        <v>1362</v>
      </c>
      <c r="D1141" s="195">
        <v>21468.6</v>
      </c>
      <c r="E1141" s="196">
        <v>44815</v>
      </c>
      <c r="F1141" s="195">
        <v>21468.6</v>
      </c>
      <c r="G1141" s="197">
        <f>Tabla110[[#This Row],[Importe]]-Tabla110[[#This Row],[Pagado]]</f>
        <v>0</v>
      </c>
      <c r="H1141" s="194" t="s">
        <v>10</v>
      </c>
    </row>
    <row r="1142" spans="1:8" x14ac:dyDescent="0.25">
      <c r="A1142" s="127">
        <v>44814</v>
      </c>
      <c r="B1142" s="128" t="s">
        <v>29198</v>
      </c>
      <c r="C1142" s="194" t="s">
        <v>67</v>
      </c>
      <c r="D1142" s="195">
        <v>2466.9</v>
      </c>
      <c r="E1142" s="196">
        <v>44814</v>
      </c>
      <c r="F1142" s="195">
        <v>2466.9</v>
      </c>
      <c r="G1142" s="197">
        <f>Tabla110[[#This Row],[Importe]]-Tabla110[[#This Row],[Pagado]]</f>
        <v>0</v>
      </c>
      <c r="H1142" s="194" t="s">
        <v>10</v>
      </c>
    </row>
    <row r="1143" spans="1:8" x14ac:dyDescent="0.25">
      <c r="A1143" s="127">
        <v>44814</v>
      </c>
      <c r="B1143" s="128" t="s">
        <v>29199</v>
      </c>
      <c r="C1143" s="194" t="s">
        <v>11383</v>
      </c>
      <c r="D1143" s="195">
        <v>29035.1</v>
      </c>
      <c r="E1143" s="196">
        <v>44814</v>
      </c>
      <c r="F1143" s="195">
        <v>29035.1</v>
      </c>
      <c r="G1143" s="197">
        <f>Tabla110[[#This Row],[Importe]]-Tabla110[[#This Row],[Pagado]]</f>
        <v>0</v>
      </c>
      <c r="H1143" s="194" t="s">
        <v>10</v>
      </c>
    </row>
    <row r="1144" spans="1:8" ht="31.5" x14ac:dyDescent="0.25">
      <c r="A1144" s="127">
        <v>44814</v>
      </c>
      <c r="B1144" s="128" t="s">
        <v>29200</v>
      </c>
      <c r="C1144" s="194" t="s">
        <v>421</v>
      </c>
      <c r="D1144" s="195">
        <v>14441.9</v>
      </c>
      <c r="E1144" s="198" t="s">
        <v>29201</v>
      </c>
      <c r="F1144" s="195">
        <f>4000+10441.9</f>
        <v>14441.9</v>
      </c>
      <c r="G1144" s="197">
        <f>Tabla110[[#This Row],[Importe]]-Tabla110[[#This Row],[Pagado]]</f>
        <v>0</v>
      </c>
      <c r="H1144" s="194" t="s">
        <v>10</v>
      </c>
    </row>
    <row r="1145" spans="1:8" x14ac:dyDescent="0.25">
      <c r="A1145" s="127">
        <v>44814</v>
      </c>
      <c r="B1145" s="128" t="s">
        <v>29202</v>
      </c>
      <c r="C1145" s="194" t="s">
        <v>53</v>
      </c>
      <c r="D1145" s="195">
        <v>2279.1999999999998</v>
      </c>
      <c r="E1145" s="196">
        <v>44814</v>
      </c>
      <c r="F1145" s="195">
        <v>2279.1999999999998</v>
      </c>
      <c r="G1145" s="197">
        <f>Tabla110[[#This Row],[Importe]]-Tabla110[[#This Row],[Pagado]]</f>
        <v>0</v>
      </c>
      <c r="H1145" s="194" t="s">
        <v>10</v>
      </c>
    </row>
    <row r="1146" spans="1:8" x14ac:dyDescent="0.25">
      <c r="A1146" s="127">
        <v>44814</v>
      </c>
      <c r="B1146" s="128" t="s">
        <v>29203</v>
      </c>
      <c r="C1146" s="194" t="s">
        <v>149</v>
      </c>
      <c r="D1146" s="195">
        <v>994.5</v>
      </c>
      <c r="E1146" s="196">
        <v>44814</v>
      </c>
      <c r="F1146" s="195">
        <v>994.5</v>
      </c>
      <c r="G1146" s="197">
        <f>Tabla110[[#This Row],[Importe]]-Tabla110[[#This Row],[Pagado]]</f>
        <v>0</v>
      </c>
      <c r="H1146" s="194" t="s">
        <v>10</v>
      </c>
    </row>
    <row r="1147" spans="1:8" x14ac:dyDescent="0.25">
      <c r="A1147" s="127">
        <v>44814</v>
      </c>
      <c r="B1147" s="128" t="s">
        <v>29204</v>
      </c>
      <c r="C1147" s="194" t="s">
        <v>8501</v>
      </c>
      <c r="D1147" s="195">
        <v>14951.4</v>
      </c>
      <c r="E1147" s="196">
        <v>44814</v>
      </c>
      <c r="F1147" s="195">
        <v>14951.4</v>
      </c>
      <c r="G1147" s="197">
        <f>Tabla110[[#This Row],[Importe]]-Tabla110[[#This Row],[Pagado]]</f>
        <v>0</v>
      </c>
      <c r="H1147" s="194" t="s">
        <v>10</v>
      </c>
    </row>
    <row r="1148" spans="1:8" x14ac:dyDescent="0.25">
      <c r="A1148" s="127">
        <v>44814</v>
      </c>
      <c r="B1148" s="128" t="s">
        <v>29205</v>
      </c>
      <c r="C1148" s="194" t="s">
        <v>371</v>
      </c>
      <c r="D1148" s="195">
        <v>49893.84</v>
      </c>
      <c r="E1148" s="196">
        <v>44815</v>
      </c>
      <c r="F1148" s="195">
        <v>49893.84</v>
      </c>
      <c r="G1148" s="197">
        <f>Tabla110[[#This Row],[Importe]]-Tabla110[[#This Row],[Pagado]]</f>
        <v>0</v>
      </c>
      <c r="H1148" s="194" t="s">
        <v>10</v>
      </c>
    </row>
    <row r="1149" spans="1:8" x14ac:dyDescent="0.25">
      <c r="A1149" s="127">
        <v>44814</v>
      </c>
      <c r="B1149" s="128" t="s">
        <v>29206</v>
      </c>
      <c r="C1149" s="194" t="s">
        <v>5126</v>
      </c>
      <c r="D1149" s="195">
        <v>96162.66</v>
      </c>
      <c r="E1149" s="196">
        <v>44815</v>
      </c>
      <c r="F1149" s="195">
        <v>96162.66</v>
      </c>
      <c r="G1149" s="197">
        <f>Tabla110[[#This Row],[Importe]]-Tabla110[[#This Row],[Pagado]]</f>
        <v>0</v>
      </c>
      <c r="H1149" s="194" t="s">
        <v>10</v>
      </c>
    </row>
    <row r="1150" spans="1:8" x14ac:dyDescent="0.25">
      <c r="A1150" s="127">
        <v>44814</v>
      </c>
      <c r="B1150" s="128" t="s">
        <v>29207</v>
      </c>
      <c r="C1150" s="194" t="s">
        <v>31</v>
      </c>
      <c r="D1150" s="195">
        <v>576</v>
      </c>
      <c r="E1150" s="196">
        <v>44814</v>
      </c>
      <c r="F1150" s="195">
        <v>576</v>
      </c>
      <c r="G1150" s="197">
        <f>Tabla110[[#This Row],[Importe]]-Tabla110[[#This Row],[Pagado]]</f>
        <v>0</v>
      </c>
      <c r="H1150" s="194" t="s">
        <v>10</v>
      </c>
    </row>
    <row r="1151" spans="1:8" x14ac:dyDescent="0.25">
      <c r="A1151" s="127">
        <v>44814</v>
      </c>
      <c r="B1151" s="128" t="s">
        <v>29208</v>
      </c>
      <c r="C1151" s="194" t="s">
        <v>71</v>
      </c>
      <c r="D1151" s="195">
        <v>1705.7</v>
      </c>
      <c r="E1151" s="196">
        <v>44814</v>
      </c>
      <c r="F1151" s="195">
        <v>1705.7</v>
      </c>
      <c r="G1151" s="197">
        <f>Tabla110[[#This Row],[Importe]]-Tabla110[[#This Row],[Pagado]]</f>
        <v>0</v>
      </c>
      <c r="H1151" s="194" t="s">
        <v>10</v>
      </c>
    </row>
    <row r="1152" spans="1:8" x14ac:dyDescent="0.25">
      <c r="A1152" s="127">
        <v>44814</v>
      </c>
      <c r="B1152" s="128" t="s">
        <v>29209</v>
      </c>
      <c r="C1152" s="194" t="s">
        <v>2020</v>
      </c>
      <c r="D1152" s="195">
        <v>19500</v>
      </c>
      <c r="E1152" s="196">
        <v>44814</v>
      </c>
      <c r="F1152" s="195">
        <v>19500</v>
      </c>
      <c r="G1152" s="197">
        <f>Tabla110[[#This Row],[Importe]]-Tabla110[[#This Row],[Pagado]]</f>
        <v>0</v>
      </c>
      <c r="H1152" s="194" t="s">
        <v>10</v>
      </c>
    </row>
    <row r="1153" spans="1:8" x14ac:dyDescent="0.25">
      <c r="A1153" s="127">
        <v>44814</v>
      </c>
      <c r="B1153" s="128" t="s">
        <v>29210</v>
      </c>
      <c r="C1153" s="194" t="s">
        <v>448</v>
      </c>
      <c r="D1153" s="195">
        <v>14527</v>
      </c>
      <c r="E1153" s="196">
        <v>44815</v>
      </c>
      <c r="F1153" s="195">
        <v>14527</v>
      </c>
      <c r="G1153" s="197">
        <f>Tabla110[[#This Row],[Importe]]-Tabla110[[#This Row],[Pagado]]</f>
        <v>0</v>
      </c>
      <c r="H1153" s="194" t="s">
        <v>10</v>
      </c>
    </row>
    <row r="1154" spans="1:8" x14ac:dyDescent="0.25">
      <c r="A1154" s="127">
        <v>44814</v>
      </c>
      <c r="B1154" s="128" t="s">
        <v>29211</v>
      </c>
      <c r="C1154" s="194" t="s">
        <v>214</v>
      </c>
      <c r="D1154" s="195">
        <v>1584</v>
      </c>
      <c r="E1154" s="196">
        <v>44814</v>
      </c>
      <c r="F1154" s="195">
        <v>1584</v>
      </c>
      <c r="G1154" s="197">
        <f>Tabla110[[#This Row],[Importe]]-Tabla110[[#This Row],[Pagado]]</f>
        <v>0</v>
      </c>
      <c r="H1154" s="194" t="s">
        <v>10</v>
      </c>
    </row>
    <row r="1155" spans="1:8" x14ac:dyDescent="0.25">
      <c r="A1155" s="127">
        <v>44814</v>
      </c>
      <c r="B1155" s="128" t="s">
        <v>29212</v>
      </c>
      <c r="C1155" s="194" t="s">
        <v>1421</v>
      </c>
      <c r="D1155" s="195">
        <v>65934</v>
      </c>
      <c r="E1155" s="196">
        <v>44814</v>
      </c>
      <c r="F1155" s="195">
        <v>65934</v>
      </c>
      <c r="G1155" s="197">
        <f>Tabla110[[#This Row],[Importe]]-Tabla110[[#This Row],[Pagado]]</f>
        <v>0</v>
      </c>
      <c r="H1155" s="194" t="s">
        <v>10</v>
      </c>
    </row>
    <row r="1156" spans="1:8" x14ac:dyDescent="0.25">
      <c r="A1156" s="127">
        <v>44814</v>
      </c>
      <c r="B1156" s="128" t="s">
        <v>29213</v>
      </c>
      <c r="C1156" s="194" t="s">
        <v>282</v>
      </c>
      <c r="D1156" s="195">
        <v>7236</v>
      </c>
      <c r="E1156" s="196">
        <v>44816</v>
      </c>
      <c r="F1156" s="195">
        <v>7236</v>
      </c>
      <c r="G1156" s="197">
        <f>Tabla110[[#This Row],[Importe]]-Tabla110[[#This Row],[Pagado]]</f>
        <v>0</v>
      </c>
      <c r="H1156" s="194" t="s">
        <v>10</v>
      </c>
    </row>
    <row r="1157" spans="1:8" x14ac:dyDescent="0.25">
      <c r="A1157" s="127">
        <v>44814</v>
      </c>
      <c r="B1157" s="128" t="s">
        <v>29214</v>
      </c>
      <c r="C1157" s="194" t="s">
        <v>19271</v>
      </c>
      <c r="D1157" s="195">
        <v>48865.14</v>
      </c>
      <c r="E1157" s="196">
        <v>44815</v>
      </c>
      <c r="F1157" s="195">
        <v>48865.14</v>
      </c>
      <c r="G1157" s="197">
        <f>Tabla110[[#This Row],[Importe]]-Tabla110[[#This Row],[Pagado]]</f>
        <v>0</v>
      </c>
      <c r="H1157" s="194" t="s">
        <v>10</v>
      </c>
    </row>
    <row r="1158" spans="1:8" x14ac:dyDescent="0.25">
      <c r="A1158" s="127">
        <v>44814</v>
      </c>
      <c r="B1158" s="128" t="s">
        <v>29215</v>
      </c>
      <c r="C1158" s="194" t="s">
        <v>51</v>
      </c>
      <c r="D1158" s="195">
        <v>6130.9</v>
      </c>
      <c r="E1158" s="196">
        <v>44814</v>
      </c>
      <c r="F1158" s="195">
        <v>6130.9</v>
      </c>
      <c r="G1158" s="197">
        <f>Tabla110[[#This Row],[Importe]]-Tabla110[[#This Row],[Pagado]]</f>
        <v>0</v>
      </c>
      <c r="H1158" s="194" t="s">
        <v>10</v>
      </c>
    </row>
    <row r="1159" spans="1:8" x14ac:dyDescent="0.25">
      <c r="A1159" s="127">
        <v>44814</v>
      </c>
      <c r="B1159" s="128" t="s">
        <v>29216</v>
      </c>
      <c r="C1159" s="194" t="s">
        <v>10819</v>
      </c>
      <c r="D1159" s="195">
        <v>1209.5999999999999</v>
      </c>
      <c r="E1159" s="196">
        <v>44816</v>
      </c>
      <c r="F1159" s="195">
        <v>1209.5999999999999</v>
      </c>
      <c r="G1159" s="197">
        <f>Tabla110[[#This Row],[Importe]]-Tabla110[[#This Row],[Pagado]]</f>
        <v>0</v>
      </c>
      <c r="H1159" s="194" t="s">
        <v>10</v>
      </c>
    </row>
    <row r="1160" spans="1:8" x14ac:dyDescent="0.25">
      <c r="A1160" s="127">
        <v>44814</v>
      </c>
      <c r="B1160" s="128" t="s">
        <v>29217</v>
      </c>
      <c r="C1160" s="194" t="s">
        <v>280</v>
      </c>
      <c r="D1160" s="195">
        <v>2008.8</v>
      </c>
      <c r="E1160" s="196">
        <v>44816</v>
      </c>
      <c r="F1160" s="195">
        <v>2008.8</v>
      </c>
      <c r="G1160" s="197">
        <f>Tabla110[[#This Row],[Importe]]-Tabla110[[#This Row],[Pagado]]</f>
        <v>0</v>
      </c>
      <c r="H1160" s="194" t="s">
        <v>10</v>
      </c>
    </row>
    <row r="1161" spans="1:8" x14ac:dyDescent="0.25">
      <c r="A1161" s="127">
        <v>44814</v>
      </c>
      <c r="B1161" s="128" t="s">
        <v>29218</v>
      </c>
      <c r="C1161" s="194" t="s">
        <v>442</v>
      </c>
      <c r="D1161" s="195">
        <v>42918</v>
      </c>
      <c r="E1161" s="196">
        <v>44814</v>
      </c>
      <c r="F1161" s="195">
        <v>42918</v>
      </c>
      <c r="G1161" s="197">
        <f>Tabla110[[#This Row],[Importe]]-Tabla110[[#This Row],[Pagado]]</f>
        <v>0</v>
      </c>
      <c r="H1161" s="194" t="s">
        <v>10</v>
      </c>
    </row>
    <row r="1162" spans="1:8" x14ac:dyDescent="0.25">
      <c r="A1162" s="127">
        <v>44814</v>
      </c>
      <c r="B1162" s="128" t="s">
        <v>29219</v>
      </c>
      <c r="C1162" s="194" t="s">
        <v>359</v>
      </c>
      <c r="D1162" s="195">
        <v>2465.4</v>
      </c>
      <c r="E1162" s="196">
        <v>44816</v>
      </c>
      <c r="F1162" s="195">
        <v>2465.4</v>
      </c>
      <c r="G1162" s="197">
        <f>Tabla110[[#This Row],[Importe]]-Tabla110[[#This Row],[Pagado]]</f>
        <v>0</v>
      </c>
      <c r="H1162" s="194" t="s">
        <v>10</v>
      </c>
    </row>
    <row r="1163" spans="1:8" x14ac:dyDescent="0.25">
      <c r="A1163" s="127">
        <v>44814</v>
      </c>
      <c r="B1163" s="128" t="s">
        <v>29220</v>
      </c>
      <c r="C1163" s="194" t="s">
        <v>426</v>
      </c>
      <c r="D1163" s="195">
        <v>3954.5</v>
      </c>
      <c r="E1163" s="196">
        <v>44816</v>
      </c>
      <c r="F1163" s="195">
        <v>3954.5</v>
      </c>
      <c r="G1163" s="197">
        <f>Tabla110[[#This Row],[Importe]]-Tabla110[[#This Row],[Pagado]]</f>
        <v>0</v>
      </c>
      <c r="H1163" s="194" t="s">
        <v>10</v>
      </c>
    </row>
    <row r="1164" spans="1:8" x14ac:dyDescent="0.25">
      <c r="A1164" s="127">
        <v>44814</v>
      </c>
      <c r="B1164" s="128" t="s">
        <v>29221</v>
      </c>
      <c r="C1164" s="194" t="s">
        <v>461</v>
      </c>
      <c r="D1164" s="195">
        <v>394</v>
      </c>
      <c r="E1164" s="196">
        <v>44814</v>
      </c>
      <c r="F1164" s="195">
        <v>394</v>
      </c>
      <c r="G1164" s="197">
        <f>Tabla110[[#This Row],[Importe]]-Tabla110[[#This Row],[Pagado]]</f>
        <v>0</v>
      </c>
      <c r="H1164" s="194" t="s">
        <v>10</v>
      </c>
    </row>
    <row r="1165" spans="1:8" x14ac:dyDescent="0.25">
      <c r="A1165" s="127">
        <v>44814</v>
      </c>
      <c r="B1165" s="128" t="s">
        <v>29222</v>
      </c>
      <c r="C1165" s="194" t="s">
        <v>69</v>
      </c>
      <c r="D1165" s="195">
        <v>1800</v>
      </c>
      <c r="E1165" s="196">
        <v>44814</v>
      </c>
      <c r="F1165" s="195">
        <v>1800</v>
      </c>
      <c r="G1165" s="197">
        <f>Tabla110[[#This Row],[Importe]]-Tabla110[[#This Row],[Pagado]]</f>
        <v>0</v>
      </c>
      <c r="H1165" s="194" t="s">
        <v>10</v>
      </c>
    </row>
    <row r="1166" spans="1:8" x14ac:dyDescent="0.25">
      <c r="A1166" s="127">
        <v>44814</v>
      </c>
      <c r="B1166" s="128" t="s">
        <v>29223</v>
      </c>
      <c r="C1166" s="194" t="s">
        <v>31</v>
      </c>
      <c r="D1166" s="195">
        <v>200</v>
      </c>
      <c r="E1166" s="196">
        <v>44814</v>
      </c>
      <c r="F1166" s="195">
        <v>200</v>
      </c>
      <c r="G1166" s="197">
        <f>Tabla110[[#This Row],[Importe]]-Tabla110[[#This Row],[Pagado]]</f>
        <v>0</v>
      </c>
      <c r="H1166" s="194" t="s">
        <v>10</v>
      </c>
    </row>
    <row r="1167" spans="1:8" x14ac:dyDescent="0.25">
      <c r="A1167" s="127">
        <v>44814</v>
      </c>
      <c r="B1167" s="128" t="s">
        <v>29224</v>
      </c>
      <c r="C1167" s="194" t="s">
        <v>200</v>
      </c>
      <c r="D1167" s="195">
        <v>1706.4</v>
      </c>
      <c r="E1167" s="196">
        <v>44816</v>
      </c>
      <c r="F1167" s="195">
        <v>1706.4</v>
      </c>
      <c r="G1167" s="197">
        <f>Tabla110[[#This Row],[Importe]]-Tabla110[[#This Row],[Pagado]]</f>
        <v>0</v>
      </c>
      <c r="H1167" s="194" t="s">
        <v>10</v>
      </c>
    </row>
    <row r="1168" spans="1:8" x14ac:dyDescent="0.25">
      <c r="A1168" s="127">
        <v>44814</v>
      </c>
      <c r="B1168" s="128" t="s">
        <v>29225</v>
      </c>
      <c r="C1168" s="194" t="s">
        <v>181</v>
      </c>
      <c r="D1168" s="195">
        <v>13411.6</v>
      </c>
      <c r="E1168" s="196">
        <v>44816</v>
      </c>
      <c r="F1168" s="195">
        <v>13411.6</v>
      </c>
      <c r="G1168" s="197">
        <f>Tabla110[[#This Row],[Importe]]-Tabla110[[#This Row],[Pagado]]</f>
        <v>0</v>
      </c>
      <c r="H1168" s="194" t="s">
        <v>10</v>
      </c>
    </row>
    <row r="1169" spans="1:8" x14ac:dyDescent="0.25">
      <c r="A1169" s="127">
        <v>44814</v>
      </c>
      <c r="B1169" s="128" t="s">
        <v>29226</v>
      </c>
      <c r="C1169" s="194" t="s">
        <v>175</v>
      </c>
      <c r="D1169" s="195">
        <v>18584.099999999999</v>
      </c>
      <c r="E1169" s="196">
        <v>44816</v>
      </c>
      <c r="F1169" s="195">
        <v>18584.099999999999</v>
      </c>
      <c r="G1169" s="197">
        <f>Tabla110[[#This Row],[Importe]]-Tabla110[[#This Row],[Pagado]]</f>
        <v>0</v>
      </c>
      <c r="H1169" s="194" t="s">
        <v>10</v>
      </c>
    </row>
    <row r="1170" spans="1:8" x14ac:dyDescent="0.25">
      <c r="A1170" s="127">
        <v>44814</v>
      </c>
      <c r="B1170" s="128" t="s">
        <v>29227</v>
      </c>
      <c r="C1170" s="194" t="s">
        <v>284</v>
      </c>
      <c r="D1170" s="195">
        <v>14400</v>
      </c>
      <c r="E1170" s="196">
        <v>44816</v>
      </c>
      <c r="F1170" s="195">
        <v>14400</v>
      </c>
      <c r="G1170" s="197">
        <f>Tabla110[[#This Row],[Importe]]-Tabla110[[#This Row],[Pagado]]</f>
        <v>0</v>
      </c>
      <c r="H1170" s="194" t="s">
        <v>10</v>
      </c>
    </row>
    <row r="1171" spans="1:8" x14ac:dyDescent="0.25">
      <c r="A1171" s="127">
        <v>44814</v>
      </c>
      <c r="B1171" s="128" t="s">
        <v>29228</v>
      </c>
      <c r="C1171" s="194" t="s">
        <v>37</v>
      </c>
      <c r="D1171" s="195">
        <v>2672.4</v>
      </c>
      <c r="E1171" s="196">
        <v>44814</v>
      </c>
      <c r="F1171" s="195">
        <v>2672.4</v>
      </c>
      <c r="G1171" s="197">
        <f>Tabla110[[#This Row],[Importe]]-Tabla110[[#This Row],[Pagado]]</f>
        <v>0</v>
      </c>
      <c r="H1171" s="194" t="s">
        <v>10</v>
      </c>
    </row>
    <row r="1172" spans="1:8" x14ac:dyDescent="0.25">
      <c r="A1172" s="127">
        <v>44814</v>
      </c>
      <c r="B1172" s="128" t="s">
        <v>29229</v>
      </c>
      <c r="C1172" s="194" t="s">
        <v>31</v>
      </c>
      <c r="D1172" s="195">
        <v>3895</v>
      </c>
      <c r="E1172" s="196">
        <v>44814</v>
      </c>
      <c r="F1172" s="195">
        <v>3895</v>
      </c>
      <c r="G1172" s="197">
        <f>Tabla110[[#This Row],[Importe]]-Tabla110[[#This Row],[Pagado]]</f>
        <v>0</v>
      </c>
      <c r="H1172" s="194" t="s">
        <v>10</v>
      </c>
    </row>
    <row r="1173" spans="1:8" x14ac:dyDescent="0.25">
      <c r="A1173" s="127">
        <v>44814</v>
      </c>
      <c r="B1173" s="128" t="s">
        <v>29230</v>
      </c>
      <c r="C1173" s="194" t="s">
        <v>31</v>
      </c>
      <c r="D1173" s="195">
        <v>627.20000000000005</v>
      </c>
      <c r="E1173" s="196">
        <v>44814</v>
      </c>
      <c r="F1173" s="195">
        <v>627.20000000000005</v>
      </c>
      <c r="G1173" s="197">
        <f>Tabla110[[#This Row],[Importe]]-Tabla110[[#This Row],[Pagado]]</f>
        <v>0</v>
      </c>
      <c r="H1173" s="194" t="s">
        <v>10</v>
      </c>
    </row>
    <row r="1174" spans="1:8" x14ac:dyDescent="0.25">
      <c r="A1174" s="127">
        <v>44814</v>
      </c>
      <c r="B1174" s="128" t="s">
        <v>29231</v>
      </c>
      <c r="C1174" s="194" t="s">
        <v>31</v>
      </c>
      <c r="D1174" s="195">
        <v>6513</v>
      </c>
      <c r="E1174" s="196">
        <v>44814</v>
      </c>
      <c r="F1174" s="195">
        <v>6513</v>
      </c>
      <c r="G1174" s="197">
        <f>Tabla110[[#This Row],[Importe]]-Tabla110[[#This Row],[Pagado]]</f>
        <v>0</v>
      </c>
      <c r="H1174" s="194" t="s">
        <v>10</v>
      </c>
    </row>
    <row r="1175" spans="1:8" x14ac:dyDescent="0.25">
      <c r="A1175" s="127">
        <v>44814</v>
      </c>
      <c r="B1175" s="128" t="s">
        <v>29232</v>
      </c>
      <c r="C1175" s="194" t="s">
        <v>857</v>
      </c>
      <c r="D1175" s="195">
        <v>1138.4000000000001</v>
      </c>
      <c r="E1175" s="196">
        <v>44814</v>
      </c>
      <c r="F1175" s="195">
        <v>1138.4000000000001</v>
      </c>
      <c r="G1175" s="197">
        <f>Tabla110[[#This Row],[Importe]]-Tabla110[[#This Row],[Pagado]]</f>
        <v>0</v>
      </c>
      <c r="H1175" s="194" t="s">
        <v>10</v>
      </c>
    </row>
    <row r="1176" spans="1:8" x14ac:dyDescent="0.25">
      <c r="A1176" s="127">
        <v>44814</v>
      </c>
      <c r="B1176" s="128" t="s">
        <v>29233</v>
      </c>
      <c r="C1176" s="194" t="s">
        <v>296</v>
      </c>
      <c r="D1176" s="195">
        <v>3802.5</v>
      </c>
      <c r="E1176" s="196">
        <v>44814</v>
      </c>
      <c r="F1176" s="195">
        <v>3802.5</v>
      </c>
      <c r="G1176" s="197">
        <f>Tabla110[[#This Row],[Importe]]-Tabla110[[#This Row],[Pagado]]</f>
        <v>0</v>
      </c>
      <c r="H1176" s="194" t="s">
        <v>10</v>
      </c>
    </row>
    <row r="1177" spans="1:8" x14ac:dyDescent="0.25">
      <c r="A1177" s="127">
        <v>44814</v>
      </c>
      <c r="B1177" s="128" t="s">
        <v>29234</v>
      </c>
      <c r="C1177" s="194" t="s">
        <v>31</v>
      </c>
      <c r="D1177" s="195">
        <v>1287</v>
      </c>
      <c r="E1177" s="196">
        <v>44814</v>
      </c>
      <c r="F1177" s="195">
        <v>1287</v>
      </c>
      <c r="G1177" s="197">
        <f>Tabla110[[#This Row],[Importe]]-Tabla110[[#This Row],[Pagado]]</f>
        <v>0</v>
      </c>
      <c r="H1177" s="194" t="s">
        <v>10</v>
      </c>
    </row>
    <row r="1178" spans="1:8" x14ac:dyDescent="0.25">
      <c r="A1178" s="127">
        <v>44814</v>
      </c>
      <c r="B1178" s="128" t="s">
        <v>29235</v>
      </c>
      <c r="C1178" s="194" t="s">
        <v>1008</v>
      </c>
      <c r="D1178" s="195">
        <v>4162.2</v>
      </c>
      <c r="E1178" s="196">
        <v>44814</v>
      </c>
      <c r="F1178" s="195">
        <v>4162.2</v>
      </c>
      <c r="G1178" s="197">
        <f>Tabla110[[#This Row],[Importe]]-Tabla110[[#This Row],[Pagado]]</f>
        <v>0</v>
      </c>
      <c r="H1178" s="194" t="s">
        <v>10</v>
      </c>
    </row>
    <row r="1179" spans="1:8" x14ac:dyDescent="0.25">
      <c r="A1179" s="127">
        <v>44814</v>
      </c>
      <c r="B1179" s="128" t="s">
        <v>29236</v>
      </c>
      <c r="C1179" s="194" t="s">
        <v>31</v>
      </c>
      <c r="D1179" s="195">
        <v>2378</v>
      </c>
      <c r="E1179" s="196">
        <v>44814</v>
      </c>
      <c r="F1179" s="195">
        <v>2378</v>
      </c>
      <c r="G1179" s="197">
        <f>Tabla110[[#This Row],[Importe]]-Tabla110[[#This Row],[Pagado]]</f>
        <v>0</v>
      </c>
      <c r="H1179" s="194" t="s">
        <v>10</v>
      </c>
    </row>
    <row r="1180" spans="1:8" x14ac:dyDescent="0.25">
      <c r="A1180" s="127">
        <v>44814</v>
      </c>
      <c r="B1180" s="128" t="s">
        <v>29237</v>
      </c>
      <c r="C1180" s="194" t="s">
        <v>457</v>
      </c>
      <c r="D1180" s="195">
        <v>248</v>
      </c>
      <c r="E1180" s="196">
        <v>44815</v>
      </c>
      <c r="F1180" s="195">
        <v>248</v>
      </c>
      <c r="G1180" s="197">
        <f>Tabla110[[#This Row],[Importe]]-Tabla110[[#This Row],[Pagado]]</f>
        <v>0</v>
      </c>
      <c r="H1180" s="194" t="s">
        <v>10</v>
      </c>
    </row>
    <row r="1181" spans="1:8" x14ac:dyDescent="0.25">
      <c r="A1181" s="127">
        <v>44814</v>
      </c>
      <c r="B1181" s="128" t="s">
        <v>29238</v>
      </c>
      <c r="C1181" s="194" t="s">
        <v>452</v>
      </c>
      <c r="D1181" s="195">
        <v>3251.3</v>
      </c>
      <c r="E1181" s="196">
        <v>44814</v>
      </c>
      <c r="F1181" s="195">
        <v>3251.3</v>
      </c>
      <c r="G1181" s="197">
        <f>Tabla110[[#This Row],[Importe]]-Tabla110[[#This Row],[Pagado]]</f>
        <v>0</v>
      </c>
      <c r="H1181" s="194" t="s">
        <v>10</v>
      </c>
    </row>
    <row r="1182" spans="1:8" x14ac:dyDescent="0.25">
      <c r="A1182" s="127">
        <v>44814</v>
      </c>
      <c r="B1182" s="128" t="s">
        <v>29239</v>
      </c>
      <c r="C1182" s="194" t="s">
        <v>31</v>
      </c>
      <c r="D1182" s="195">
        <v>211.7</v>
      </c>
      <c r="E1182" s="196">
        <v>44814</v>
      </c>
      <c r="F1182" s="195">
        <v>211.7</v>
      </c>
      <c r="G1182" s="197">
        <f>Tabla110[[#This Row],[Importe]]-Tabla110[[#This Row],[Pagado]]</f>
        <v>0</v>
      </c>
      <c r="H1182" s="194" t="s">
        <v>10</v>
      </c>
    </row>
    <row r="1183" spans="1:8" x14ac:dyDescent="0.25">
      <c r="A1183" s="127">
        <v>44814</v>
      </c>
      <c r="B1183" s="128" t="s">
        <v>29240</v>
      </c>
      <c r="C1183" s="194" t="s">
        <v>135</v>
      </c>
      <c r="D1183" s="195">
        <v>1546.6</v>
      </c>
      <c r="E1183" s="196">
        <v>44815</v>
      </c>
      <c r="F1183" s="195">
        <v>1546.6</v>
      </c>
      <c r="G1183" s="197">
        <f>Tabla110[[#This Row],[Importe]]-Tabla110[[#This Row],[Pagado]]</f>
        <v>0</v>
      </c>
      <c r="H1183" s="194" t="s">
        <v>10</v>
      </c>
    </row>
    <row r="1184" spans="1:8" x14ac:dyDescent="0.25">
      <c r="A1184" s="127">
        <v>44814</v>
      </c>
      <c r="B1184" s="128" t="s">
        <v>29241</v>
      </c>
      <c r="C1184" s="194" t="s">
        <v>31</v>
      </c>
      <c r="D1184" s="195">
        <v>364.5</v>
      </c>
      <c r="E1184" s="196">
        <v>44814</v>
      </c>
      <c r="F1184" s="195">
        <v>364.5</v>
      </c>
      <c r="G1184" s="197">
        <f>Tabla110[[#This Row],[Importe]]-Tabla110[[#This Row],[Pagado]]</f>
        <v>0</v>
      </c>
      <c r="H1184" s="194" t="s">
        <v>10</v>
      </c>
    </row>
    <row r="1185" spans="1:8" x14ac:dyDescent="0.25">
      <c r="A1185" s="127">
        <v>44814</v>
      </c>
      <c r="B1185" s="128" t="s">
        <v>29242</v>
      </c>
      <c r="C1185" s="194" t="s">
        <v>9415</v>
      </c>
      <c r="D1185" s="195">
        <v>672</v>
      </c>
      <c r="E1185" s="196">
        <v>44815</v>
      </c>
      <c r="F1185" s="195">
        <v>672</v>
      </c>
      <c r="G1185" s="197">
        <f>Tabla110[[#This Row],[Importe]]-Tabla110[[#This Row],[Pagado]]</f>
        <v>0</v>
      </c>
      <c r="H1185" s="194" t="s">
        <v>10</v>
      </c>
    </row>
    <row r="1186" spans="1:8" x14ac:dyDescent="0.25">
      <c r="A1186" s="127">
        <v>44814</v>
      </c>
      <c r="B1186" s="128" t="s">
        <v>29243</v>
      </c>
      <c r="C1186" s="194" t="s">
        <v>224</v>
      </c>
      <c r="D1186" s="195">
        <v>1948.2</v>
      </c>
      <c r="E1186" s="196">
        <v>44815</v>
      </c>
      <c r="F1186" s="195">
        <v>1948.2</v>
      </c>
      <c r="G1186" s="197">
        <f>Tabla110[[#This Row],[Importe]]-Tabla110[[#This Row],[Pagado]]</f>
        <v>0</v>
      </c>
      <c r="H1186" s="194" t="s">
        <v>10</v>
      </c>
    </row>
    <row r="1187" spans="1:8" x14ac:dyDescent="0.25">
      <c r="A1187" s="127">
        <v>44814</v>
      </c>
      <c r="B1187" s="128" t="s">
        <v>29244</v>
      </c>
      <c r="C1187" s="194" t="s">
        <v>296</v>
      </c>
      <c r="D1187" s="195">
        <v>1124.8</v>
      </c>
      <c r="E1187" s="196">
        <v>44815</v>
      </c>
      <c r="F1187" s="195">
        <v>1124.8</v>
      </c>
      <c r="G1187" s="197">
        <f>Tabla110[[#This Row],[Importe]]-Tabla110[[#This Row],[Pagado]]</f>
        <v>0</v>
      </c>
      <c r="H1187" s="194" t="s">
        <v>10</v>
      </c>
    </row>
    <row r="1188" spans="1:8" x14ac:dyDescent="0.25">
      <c r="A1188" s="127">
        <v>44814</v>
      </c>
      <c r="B1188" s="128" t="s">
        <v>29245</v>
      </c>
      <c r="C1188" s="194" t="s">
        <v>9827</v>
      </c>
      <c r="D1188" s="195">
        <v>50017</v>
      </c>
      <c r="E1188" s="196">
        <v>44815</v>
      </c>
      <c r="F1188" s="195">
        <v>50017</v>
      </c>
      <c r="G1188" s="197">
        <f>Tabla110[[#This Row],[Importe]]-Tabla110[[#This Row],[Pagado]]</f>
        <v>0</v>
      </c>
      <c r="H1188" s="194" t="s">
        <v>10</v>
      </c>
    </row>
    <row r="1189" spans="1:8" x14ac:dyDescent="0.25">
      <c r="A1189" s="127">
        <v>44814</v>
      </c>
      <c r="B1189" s="128" t="s">
        <v>29246</v>
      </c>
      <c r="C1189" s="194" t="s">
        <v>31</v>
      </c>
      <c r="D1189" s="195">
        <v>612</v>
      </c>
      <c r="E1189" s="196">
        <v>44815</v>
      </c>
      <c r="F1189" s="195">
        <v>612</v>
      </c>
      <c r="G1189" s="197">
        <f>Tabla110[[#This Row],[Importe]]-Tabla110[[#This Row],[Pagado]]</f>
        <v>0</v>
      </c>
      <c r="H1189" s="194" t="s">
        <v>10</v>
      </c>
    </row>
    <row r="1190" spans="1:8" x14ac:dyDescent="0.25">
      <c r="A1190" s="127">
        <v>44814</v>
      </c>
      <c r="B1190" s="128" t="s">
        <v>29247</v>
      </c>
      <c r="C1190" s="194" t="s">
        <v>28087</v>
      </c>
      <c r="D1190" s="195">
        <v>104966.64</v>
      </c>
      <c r="E1190" s="196">
        <v>44893</v>
      </c>
      <c r="F1190" s="195">
        <v>104966.64</v>
      </c>
      <c r="G1190" s="197">
        <f>Tabla110[[#This Row],[Importe]]-Tabla110[[#This Row],[Pagado]]</f>
        <v>0</v>
      </c>
      <c r="H1190" s="78" t="s">
        <v>17776</v>
      </c>
    </row>
    <row r="1191" spans="1:8" x14ac:dyDescent="0.25">
      <c r="A1191" s="127">
        <v>44814</v>
      </c>
      <c r="B1191" s="128" t="s">
        <v>29248</v>
      </c>
      <c r="C1191" s="194" t="s">
        <v>459</v>
      </c>
      <c r="D1191" s="195">
        <v>213</v>
      </c>
      <c r="E1191" s="196">
        <v>44815</v>
      </c>
      <c r="F1191" s="195">
        <v>213</v>
      </c>
      <c r="G1191" s="197">
        <f>Tabla110[[#This Row],[Importe]]-Tabla110[[#This Row],[Pagado]]</f>
        <v>0</v>
      </c>
      <c r="H1191" s="194" t="s">
        <v>10</v>
      </c>
    </row>
    <row r="1192" spans="1:8" x14ac:dyDescent="0.25">
      <c r="A1192" s="127">
        <v>44814</v>
      </c>
      <c r="B1192" s="128" t="s">
        <v>29249</v>
      </c>
      <c r="C1192" s="194" t="s">
        <v>53</v>
      </c>
      <c r="D1192" s="195">
        <v>1196</v>
      </c>
      <c r="E1192" s="196">
        <v>44815</v>
      </c>
      <c r="F1192" s="195">
        <v>1196</v>
      </c>
      <c r="G1192" s="197">
        <f>Tabla110[[#This Row],[Importe]]-Tabla110[[#This Row],[Pagado]]</f>
        <v>0</v>
      </c>
      <c r="H1192" s="194" t="s">
        <v>10</v>
      </c>
    </row>
    <row r="1193" spans="1:8" x14ac:dyDescent="0.25">
      <c r="A1193" s="127">
        <v>44814</v>
      </c>
      <c r="B1193" s="128" t="s">
        <v>29250</v>
      </c>
      <c r="C1193" s="194" t="s">
        <v>8721</v>
      </c>
      <c r="D1193" s="195">
        <v>0</v>
      </c>
      <c r="E1193" s="199" t="s">
        <v>189</v>
      </c>
      <c r="F1193" s="195">
        <v>0</v>
      </c>
      <c r="G1193" s="197">
        <f>Tabla110[[#This Row],[Importe]]-Tabla110[[#This Row],[Pagado]]</f>
        <v>0</v>
      </c>
      <c r="H1193" s="200" t="s">
        <v>189</v>
      </c>
    </row>
    <row r="1194" spans="1:8" x14ac:dyDescent="0.25">
      <c r="A1194" s="127">
        <v>44814</v>
      </c>
      <c r="B1194" s="128" t="s">
        <v>29251</v>
      </c>
      <c r="C1194" s="194" t="s">
        <v>14</v>
      </c>
      <c r="D1194" s="195">
        <v>15318.7</v>
      </c>
      <c r="E1194" s="196">
        <v>44815</v>
      </c>
      <c r="F1194" s="195">
        <v>15318.7</v>
      </c>
      <c r="G1194" s="197">
        <f>Tabla110[[#This Row],[Importe]]-Tabla110[[#This Row],[Pagado]]</f>
        <v>0</v>
      </c>
      <c r="H1194" s="194" t="s">
        <v>10</v>
      </c>
    </row>
    <row r="1195" spans="1:8" x14ac:dyDescent="0.25">
      <c r="A1195" s="127">
        <v>44814</v>
      </c>
      <c r="B1195" s="128" t="s">
        <v>29252</v>
      </c>
      <c r="C1195" s="194" t="s">
        <v>14</v>
      </c>
      <c r="D1195" s="195">
        <v>2109.6</v>
      </c>
      <c r="E1195" s="196">
        <v>44815</v>
      </c>
      <c r="F1195" s="195">
        <v>2109.6</v>
      </c>
      <c r="G1195" s="197">
        <f>Tabla110[[#This Row],[Importe]]-Tabla110[[#This Row],[Pagado]]</f>
        <v>0</v>
      </c>
      <c r="H1195" s="194" t="s">
        <v>10</v>
      </c>
    </row>
    <row r="1196" spans="1:8" x14ac:dyDescent="0.25">
      <c r="A1196" s="127">
        <v>44815</v>
      </c>
      <c r="B1196" s="128" t="s">
        <v>29253</v>
      </c>
      <c r="C1196" s="194" t="s">
        <v>31</v>
      </c>
      <c r="D1196" s="195">
        <v>568.79999999999995</v>
      </c>
      <c r="E1196" s="196">
        <v>44815</v>
      </c>
      <c r="F1196" s="195">
        <v>568.79999999999995</v>
      </c>
      <c r="G1196" s="197">
        <f>Tabla110[[#This Row],[Importe]]-Tabla110[[#This Row],[Pagado]]</f>
        <v>0</v>
      </c>
      <c r="H1196" s="194" t="s">
        <v>10</v>
      </c>
    </row>
    <row r="1197" spans="1:8" x14ac:dyDescent="0.25">
      <c r="A1197" s="127">
        <v>44815</v>
      </c>
      <c r="B1197" s="128" t="s">
        <v>29254</v>
      </c>
      <c r="C1197" s="194" t="s">
        <v>9</v>
      </c>
      <c r="D1197" s="195">
        <v>7985.3</v>
      </c>
      <c r="E1197" s="196">
        <v>44815</v>
      </c>
      <c r="F1197" s="195">
        <v>7985.3</v>
      </c>
      <c r="G1197" s="197">
        <f>Tabla110[[#This Row],[Importe]]-Tabla110[[#This Row],[Pagado]]</f>
        <v>0</v>
      </c>
      <c r="H1197" s="194" t="s">
        <v>10</v>
      </c>
    </row>
    <row r="1198" spans="1:8" x14ac:dyDescent="0.25">
      <c r="A1198" s="127">
        <v>44815</v>
      </c>
      <c r="B1198" s="128" t="s">
        <v>29255</v>
      </c>
      <c r="C1198" s="194" t="s">
        <v>475</v>
      </c>
      <c r="D1198" s="195">
        <v>79602</v>
      </c>
      <c r="E1198" s="196">
        <v>44816</v>
      </c>
      <c r="F1198" s="195">
        <v>79602</v>
      </c>
      <c r="G1198" s="197">
        <f>Tabla110[[#This Row],[Importe]]-Tabla110[[#This Row],[Pagado]]</f>
        <v>0</v>
      </c>
      <c r="H1198" s="194" t="s">
        <v>10</v>
      </c>
    </row>
    <row r="1199" spans="1:8" x14ac:dyDescent="0.25">
      <c r="A1199" s="127">
        <v>44815</v>
      </c>
      <c r="B1199" s="128" t="s">
        <v>29256</v>
      </c>
      <c r="C1199" s="194" t="s">
        <v>20</v>
      </c>
      <c r="D1199" s="195">
        <v>13680</v>
      </c>
      <c r="E1199" s="196">
        <v>44815</v>
      </c>
      <c r="F1199" s="195">
        <v>13680</v>
      </c>
      <c r="G1199" s="197">
        <f>Tabla110[[#This Row],[Importe]]-Tabla110[[#This Row],[Pagado]]</f>
        <v>0</v>
      </c>
      <c r="H1199" s="194" t="s">
        <v>10</v>
      </c>
    </row>
    <row r="1200" spans="1:8" x14ac:dyDescent="0.25">
      <c r="A1200" s="127">
        <v>44815</v>
      </c>
      <c r="B1200" s="128" t="s">
        <v>29257</v>
      </c>
      <c r="C1200" s="194" t="s">
        <v>6170</v>
      </c>
      <c r="D1200" s="195">
        <v>0</v>
      </c>
      <c r="E1200" s="199" t="s">
        <v>189</v>
      </c>
      <c r="F1200" s="195">
        <v>0</v>
      </c>
      <c r="G1200" s="197">
        <f>Tabla110[[#This Row],[Importe]]-Tabla110[[#This Row],[Pagado]]</f>
        <v>0</v>
      </c>
      <c r="H1200" s="200" t="s">
        <v>29258</v>
      </c>
    </row>
    <row r="1201" spans="1:8" x14ac:dyDescent="0.25">
      <c r="A1201" s="127">
        <v>44815</v>
      </c>
      <c r="B1201" s="128" t="s">
        <v>29259</v>
      </c>
      <c r="C1201" s="194" t="s">
        <v>12</v>
      </c>
      <c r="D1201" s="195">
        <v>20451.400000000001</v>
      </c>
      <c r="E1201" s="196">
        <v>44815</v>
      </c>
      <c r="F1201" s="195">
        <v>20451.400000000001</v>
      </c>
      <c r="G1201" s="197">
        <f>Tabla110[[#This Row],[Importe]]-Tabla110[[#This Row],[Pagado]]</f>
        <v>0</v>
      </c>
      <c r="H1201" s="194" t="s">
        <v>10</v>
      </c>
    </row>
    <row r="1202" spans="1:8" x14ac:dyDescent="0.25">
      <c r="A1202" s="127">
        <v>44815</v>
      </c>
      <c r="B1202" s="128" t="s">
        <v>29260</v>
      </c>
      <c r="C1202" s="194" t="s">
        <v>1187</v>
      </c>
      <c r="D1202" s="195">
        <v>1794</v>
      </c>
      <c r="E1202" s="196">
        <v>44815</v>
      </c>
      <c r="F1202" s="195">
        <v>1794</v>
      </c>
      <c r="G1202" s="197">
        <f>Tabla110[[#This Row],[Importe]]-Tabla110[[#This Row],[Pagado]]</f>
        <v>0</v>
      </c>
      <c r="H1202" s="194" t="s">
        <v>10</v>
      </c>
    </row>
    <row r="1203" spans="1:8" x14ac:dyDescent="0.25">
      <c r="A1203" s="127">
        <v>44815</v>
      </c>
      <c r="B1203" s="128" t="s">
        <v>29261</v>
      </c>
      <c r="C1203" s="194" t="s">
        <v>31</v>
      </c>
      <c r="D1203" s="195">
        <v>2700</v>
      </c>
      <c r="E1203" s="196">
        <v>44815</v>
      </c>
      <c r="F1203" s="195">
        <v>2700</v>
      </c>
      <c r="G1203" s="197">
        <f>Tabla110[[#This Row],[Importe]]-Tabla110[[#This Row],[Pagado]]</f>
        <v>0</v>
      </c>
      <c r="H1203" s="194" t="s">
        <v>10</v>
      </c>
    </row>
    <row r="1204" spans="1:8" x14ac:dyDescent="0.25">
      <c r="A1204" s="127">
        <v>44815</v>
      </c>
      <c r="B1204" s="128" t="s">
        <v>29262</v>
      </c>
      <c r="C1204" s="194" t="s">
        <v>31</v>
      </c>
      <c r="D1204" s="195">
        <v>4000</v>
      </c>
      <c r="E1204" s="196">
        <v>44815</v>
      </c>
      <c r="F1204" s="195">
        <v>4000</v>
      </c>
      <c r="G1204" s="197">
        <f>Tabla110[[#This Row],[Importe]]-Tabla110[[#This Row],[Pagado]]</f>
        <v>0</v>
      </c>
      <c r="H1204" s="194" t="s">
        <v>10</v>
      </c>
    </row>
    <row r="1205" spans="1:8" x14ac:dyDescent="0.25">
      <c r="A1205" s="127">
        <v>44815</v>
      </c>
      <c r="B1205" s="128" t="s">
        <v>29263</v>
      </c>
      <c r="C1205" s="194" t="s">
        <v>16</v>
      </c>
      <c r="D1205" s="195">
        <v>12327</v>
      </c>
      <c r="E1205" s="196">
        <v>44815</v>
      </c>
      <c r="F1205" s="195">
        <v>12327</v>
      </c>
      <c r="G1205" s="197">
        <f>Tabla110[[#This Row],[Importe]]-Tabla110[[#This Row],[Pagado]]</f>
        <v>0</v>
      </c>
      <c r="H1205" s="194" t="s">
        <v>10</v>
      </c>
    </row>
    <row r="1206" spans="1:8" x14ac:dyDescent="0.25">
      <c r="A1206" s="127">
        <v>44815</v>
      </c>
      <c r="B1206" s="128" t="s">
        <v>29264</v>
      </c>
      <c r="C1206" s="194" t="s">
        <v>17556</v>
      </c>
      <c r="D1206" s="195">
        <v>3900</v>
      </c>
      <c r="E1206" s="196">
        <v>44815</v>
      </c>
      <c r="F1206" s="195">
        <v>3900</v>
      </c>
      <c r="G1206" s="197">
        <f>Tabla110[[#This Row],[Importe]]-Tabla110[[#This Row],[Pagado]]</f>
        <v>0</v>
      </c>
      <c r="H1206" s="194" t="s">
        <v>10</v>
      </c>
    </row>
    <row r="1207" spans="1:8" x14ac:dyDescent="0.25">
      <c r="A1207" s="127">
        <v>44815</v>
      </c>
      <c r="B1207" s="128" t="s">
        <v>29265</v>
      </c>
      <c r="C1207" s="194" t="s">
        <v>43</v>
      </c>
      <c r="D1207" s="195">
        <v>70437.7</v>
      </c>
      <c r="E1207" s="196">
        <v>44824</v>
      </c>
      <c r="F1207" s="195">
        <v>70437.7</v>
      </c>
      <c r="G1207" s="197">
        <f>Tabla110[[#This Row],[Importe]]-Tabla110[[#This Row],[Pagado]]</f>
        <v>0</v>
      </c>
      <c r="H1207" s="194" t="s">
        <v>10</v>
      </c>
    </row>
    <row r="1208" spans="1:8" x14ac:dyDescent="0.25">
      <c r="A1208" s="127">
        <v>44815</v>
      </c>
      <c r="B1208" s="128" t="s">
        <v>29266</v>
      </c>
      <c r="C1208" s="194" t="s">
        <v>31</v>
      </c>
      <c r="D1208" s="195">
        <v>1523.2</v>
      </c>
      <c r="E1208" s="196">
        <v>44815</v>
      </c>
      <c r="F1208" s="195">
        <v>1523.2</v>
      </c>
      <c r="G1208" s="197">
        <f>Tabla110[[#This Row],[Importe]]-Tabla110[[#This Row],[Pagado]]</f>
        <v>0</v>
      </c>
      <c r="H1208" s="194" t="s">
        <v>10</v>
      </c>
    </row>
    <row r="1209" spans="1:8" x14ac:dyDescent="0.25">
      <c r="A1209" s="127">
        <v>44815</v>
      </c>
      <c r="B1209" s="128" t="s">
        <v>29267</v>
      </c>
      <c r="C1209" s="194" t="s">
        <v>29</v>
      </c>
      <c r="D1209" s="195">
        <v>11490.2</v>
      </c>
      <c r="E1209" s="196">
        <v>44815</v>
      </c>
      <c r="F1209" s="195">
        <v>11490.2</v>
      </c>
      <c r="G1209" s="197">
        <f>Tabla110[[#This Row],[Importe]]-Tabla110[[#This Row],[Pagado]]</f>
        <v>0</v>
      </c>
      <c r="H1209" s="194" t="s">
        <v>10</v>
      </c>
    </row>
    <row r="1210" spans="1:8" x14ac:dyDescent="0.25">
      <c r="A1210" s="127">
        <v>44815</v>
      </c>
      <c r="B1210" s="128" t="s">
        <v>29268</v>
      </c>
      <c r="C1210" s="194" t="s">
        <v>196</v>
      </c>
      <c r="D1210" s="195">
        <v>43875.1</v>
      </c>
      <c r="E1210" s="196">
        <v>44819</v>
      </c>
      <c r="F1210" s="195">
        <v>43875.1</v>
      </c>
      <c r="G1210" s="197">
        <f>Tabla110[[#This Row],[Importe]]-Tabla110[[#This Row],[Pagado]]</f>
        <v>0</v>
      </c>
      <c r="H1210" s="194" t="s">
        <v>10</v>
      </c>
    </row>
    <row r="1211" spans="1:8" x14ac:dyDescent="0.25">
      <c r="A1211" s="127">
        <v>44815</v>
      </c>
      <c r="B1211" s="128" t="s">
        <v>29269</v>
      </c>
      <c r="C1211" s="194" t="s">
        <v>481</v>
      </c>
      <c r="D1211" s="195">
        <v>666.4</v>
      </c>
      <c r="E1211" s="196">
        <v>44815</v>
      </c>
      <c r="F1211" s="195">
        <v>666.4</v>
      </c>
      <c r="G1211" s="197">
        <f>Tabla110[[#This Row],[Importe]]-Tabla110[[#This Row],[Pagado]]</f>
        <v>0</v>
      </c>
      <c r="H1211" s="194" t="s">
        <v>10</v>
      </c>
    </row>
    <row r="1212" spans="1:8" x14ac:dyDescent="0.25">
      <c r="A1212" s="127">
        <v>44815</v>
      </c>
      <c r="B1212" s="128" t="s">
        <v>29270</v>
      </c>
      <c r="C1212" s="194" t="s">
        <v>224</v>
      </c>
      <c r="D1212" s="195">
        <v>5307.5</v>
      </c>
      <c r="E1212" s="196">
        <v>44815</v>
      </c>
      <c r="F1212" s="195">
        <v>5307.5</v>
      </c>
      <c r="G1212" s="197">
        <f>Tabla110[[#This Row],[Importe]]-Tabla110[[#This Row],[Pagado]]</f>
        <v>0</v>
      </c>
      <c r="H1212" s="194" t="s">
        <v>10</v>
      </c>
    </row>
    <row r="1213" spans="1:8" x14ac:dyDescent="0.25">
      <c r="A1213" s="127">
        <v>44815</v>
      </c>
      <c r="B1213" s="128" t="s">
        <v>29271</v>
      </c>
      <c r="C1213" s="194" t="s">
        <v>31</v>
      </c>
      <c r="D1213" s="195">
        <v>1162.5</v>
      </c>
      <c r="E1213" s="196">
        <v>44815</v>
      </c>
      <c r="F1213" s="195">
        <v>1162.5</v>
      </c>
      <c r="G1213" s="197">
        <f>Tabla110[[#This Row],[Importe]]-Tabla110[[#This Row],[Pagado]]</f>
        <v>0</v>
      </c>
      <c r="H1213" s="194" t="s">
        <v>10</v>
      </c>
    </row>
    <row r="1214" spans="1:8" x14ac:dyDescent="0.25">
      <c r="A1214" s="127">
        <v>44815</v>
      </c>
      <c r="B1214" s="128" t="s">
        <v>29272</v>
      </c>
      <c r="C1214" s="194" t="s">
        <v>37</v>
      </c>
      <c r="D1214" s="195">
        <v>2385</v>
      </c>
      <c r="E1214" s="196">
        <v>44815</v>
      </c>
      <c r="F1214" s="195">
        <v>2385</v>
      </c>
      <c r="G1214" s="197">
        <f>Tabla110[[#This Row],[Importe]]-Tabla110[[#This Row],[Pagado]]</f>
        <v>0</v>
      </c>
      <c r="H1214" s="194" t="s">
        <v>10</v>
      </c>
    </row>
    <row r="1215" spans="1:8" x14ac:dyDescent="0.25">
      <c r="A1215" s="127">
        <v>44815</v>
      </c>
      <c r="B1215" s="128" t="s">
        <v>29273</v>
      </c>
      <c r="C1215" s="194" t="s">
        <v>56</v>
      </c>
      <c r="D1215" s="195">
        <v>11274.4</v>
      </c>
      <c r="E1215" s="196">
        <v>44815</v>
      </c>
      <c r="F1215" s="195">
        <v>11274.4</v>
      </c>
      <c r="G1215" s="197">
        <f>Tabla110[[#This Row],[Importe]]-Tabla110[[#This Row],[Pagado]]</f>
        <v>0</v>
      </c>
      <c r="H1215" s="194" t="s">
        <v>10</v>
      </c>
    </row>
    <row r="1216" spans="1:8" x14ac:dyDescent="0.25">
      <c r="A1216" s="127">
        <v>44815</v>
      </c>
      <c r="B1216" s="128" t="s">
        <v>29274</v>
      </c>
      <c r="C1216" s="194" t="s">
        <v>49</v>
      </c>
      <c r="D1216" s="195">
        <v>3866.5</v>
      </c>
      <c r="E1216" s="196">
        <v>44815</v>
      </c>
      <c r="F1216" s="195">
        <v>3866.5</v>
      </c>
      <c r="G1216" s="197">
        <f>Tabla110[[#This Row],[Importe]]-Tabla110[[#This Row],[Pagado]]</f>
        <v>0</v>
      </c>
      <c r="H1216" s="194" t="s">
        <v>10</v>
      </c>
    </row>
    <row r="1217" spans="1:8" x14ac:dyDescent="0.25">
      <c r="A1217" s="127">
        <v>44815</v>
      </c>
      <c r="B1217" s="128" t="s">
        <v>29275</v>
      </c>
      <c r="C1217" s="194" t="s">
        <v>35</v>
      </c>
      <c r="D1217" s="195">
        <v>3179</v>
      </c>
      <c r="E1217" s="196">
        <v>44815</v>
      </c>
      <c r="F1217" s="195">
        <v>3179</v>
      </c>
      <c r="G1217" s="197">
        <f>Tabla110[[#This Row],[Importe]]-Tabla110[[#This Row],[Pagado]]</f>
        <v>0</v>
      </c>
      <c r="H1217" s="194" t="s">
        <v>10</v>
      </c>
    </row>
    <row r="1218" spans="1:8" x14ac:dyDescent="0.25">
      <c r="A1218" s="127">
        <v>44815</v>
      </c>
      <c r="B1218" s="128" t="s">
        <v>29276</v>
      </c>
      <c r="C1218" s="194" t="s">
        <v>45</v>
      </c>
      <c r="D1218" s="195">
        <v>8673.9</v>
      </c>
      <c r="E1218" s="196">
        <v>44815</v>
      </c>
      <c r="F1218" s="195">
        <v>8673.9</v>
      </c>
      <c r="G1218" s="197">
        <f>Tabla110[[#This Row],[Importe]]-Tabla110[[#This Row],[Pagado]]</f>
        <v>0</v>
      </c>
      <c r="H1218" s="194" t="s">
        <v>10</v>
      </c>
    </row>
    <row r="1219" spans="1:8" x14ac:dyDescent="0.25">
      <c r="A1219" s="127">
        <v>44815</v>
      </c>
      <c r="B1219" s="128" t="s">
        <v>29277</v>
      </c>
      <c r="C1219" s="194" t="s">
        <v>1421</v>
      </c>
      <c r="D1219" s="195">
        <v>32736</v>
      </c>
      <c r="E1219" s="196">
        <v>44815</v>
      </c>
      <c r="F1219" s="195">
        <v>32736</v>
      </c>
      <c r="G1219" s="197">
        <f>Tabla110[[#This Row],[Importe]]-Tabla110[[#This Row],[Pagado]]</f>
        <v>0</v>
      </c>
      <c r="H1219" s="194" t="s">
        <v>10</v>
      </c>
    </row>
    <row r="1220" spans="1:8" x14ac:dyDescent="0.25">
      <c r="A1220" s="127">
        <v>44815</v>
      </c>
      <c r="B1220" s="128" t="s">
        <v>29278</v>
      </c>
      <c r="C1220" s="194" t="s">
        <v>24</v>
      </c>
      <c r="D1220" s="195">
        <v>4357.3</v>
      </c>
      <c r="E1220" s="196">
        <v>44815</v>
      </c>
      <c r="F1220" s="195">
        <v>4357.3</v>
      </c>
      <c r="G1220" s="197">
        <f>Tabla110[[#This Row],[Importe]]-Tabla110[[#This Row],[Pagado]]</f>
        <v>0</v>
      </c>
      <c r="H1220" s="194" t="s">
        <v>10</v>
      </c>
    </row>
    <row r="1221" spans="1:8" x14ac:dyDescent="0.25">
      <c r="A1221" s="127">
        <v>44815</v>
      </c>
      <c r="B1221" s="128" t="s">
        <v>29279</v>
      </c>
      <c r="C1221" s="194" t="s">
        <v>1003</v>
      </c>
      <c r="D1221" s="195">
        <v>12428.8</v>
      </c>
      <c r="E1221" s="196">
        <v>44816</v>
      </c>
      <c r="F1221" s="195">
        <v>12428.8</v>
      </c>
      <c r="G1221" s="197">
        <f>Tabla110[[#This Row],[Importe]]-Tabla110[[#This Row],[Pagado]]</f>
        <v>0</v>
      </c>
      <c r="H1221" s="194" t="s">
        <v>10</v>
      </c>
    </row>
    <row r="1222" spans="1:8" x14ac:dyDescent="0.25">
      <c r="A1222" s="127">
        <v>44815</v>
      </c>
      <c r="B1222" s="128" t="s">
        <v>29280</v>
      </c>
      <c r="C1222" s="194" t="s">
        <v>58</v>
      </c>
      <c r="D1222" s="195">
        <v>3261.5</v>
      </c>
      <c r="E1222" s="196">
        <v>44815</v>
      </c>
      <c r="F1222" s="195">
        <v>3261.5</v>
      </c>
      <c r="G1222" s="197">
        <f>Tabla110[[#This Row],[Importe]]-Tabla110[[#This Row],[Pagado]]</f>
        <v>0</v>
      </c>
      <c r="H1222" s="194" t="s">
        <v>10</v>
      </c>
    </row>
    <row r="1223" spans="1:8" x14ac:dyDescent="0.25">
      <c r="A1223" s="127">
        <v>44815</v>
      </c>
      <c r="B1223" s="128" t="s">
        <v>29281</v>
      </c>
      <c r="C1223" s="194" t="s">
        <v>4136</v>
      </c>
      <c r="D1223" s="195">
        <v>665.5</v>
      </c>
      <c r="E1223" s="196">
        <v>44815</v>
      </c>
      <c r="F1223" s="195">
        <v>665.5</v>
      </c>
      <c r="G1223" s="197">
        <f>Tabla110[[#This Row],[Importe]]-Tabla110[[#This Row],[Pagado]]</f>
        <v>0</v>
      </c>
      <c r="H1223" s="194" t="s">
        <v>10</v>
      </c>
    </row>
    <row r="1224" spans="1:8" x14ac:dyDescent="0.25">
      <c r="A1224" s="127">
        <v>44815</v>
      </c>
      <c r="B1224" s="128" t="s">
        <v>29282</v>
      </c>
      <c r="C1224" s="194" t="s">
        <v>2151</v>
      </c>
      <c r="D1224" s="195">
        <v>10827.4</v>
      </c>
      <c r="E1224" s="196">
        <v>44815</v>
      </c>
      <c r="F1224" s="195">
        <v>10827.4</v>
      </c>
      <c r="G1224" s="197">
        <f>Tabla110[[#This Row],[Importe]]-Tabla110[[#This Row],[Pagado]]</f>
        <v>0</v>
      </c>
      <c r="H1224" s="194" t="s">
        <v>10</v>
      </c>
    </row>
    <row r="1225" spans="1:8" x14ac:dyDescent="0.25">
      <c r="A1225" s="127">
        <v>44815</v>
      </c>
      <c r="B1225" s="128" t="s">
        <v>29283</v>
      </c>
      <c r="C1225" s="194" t="s">
        <v>2151</v>
      </c>
      <c r="D1225" s="195">
        <v>450.5</v>
      </c>
      <c r="E1225" s="196">
        <v>44815</v>
      </c>
      <c r="F1225" s="195">
        <v>450.5</v>
      </c>
      <c r="G1225" s="197">
        <f>Tabla110[[#This Row],[Importe]]-Tabla110[[#This Row],[Pagado]]</f>
        <v>0</v>
      </c>
      <c r="H1225" s="194" t="s">
        <v>10</v>
      </c>
    </row>
    <row r="1226" spans="1:8" x14ac:dyDescent="0.25">
      <c r="A1226" s="127">
        <v>44815</v>
      </c>
      <c r="B1226" s="128" t="s">
        <v>29284</v>
      </c>
      <c r="C1226" s="194" t="s">
        <v>216</v>
      </c>
      <c r="D1226" s="195">
        <v>3051.4</v>
      </c>
      <c r="E1226" s="196">
        <v>44815</v>
      </c>
      <c r="F1226" s="195">
        <v>3051.4</v>
      </c>
      <c r="G1226" s="197">
        <f>Tabla110[[#This Row],[Importe]]-Tabla110[[#This Row],[Pagado]]</f>
        <v>0</v>
      </c>
      <c r="H1226" s="194" t="s">
        <v>10</v>
      </c>
    </row>
    <row r="1227" spans="1:8" x14ac:dyDescent="0.25">
      <c r="A1227" s="127">
        <v>44815</v>
      </c>
      <c r="B1227" s="128" t="s">
        <v>29285</v>
      </c>
      <c r="C1227" s="194" t="s">
        <v>407</v>
      </c>
      <c r="D1227" s="195">
        <v>27331.4</v>
      </c>
      <c r="E1227" s="196">
        <v>44844</v>
      </c>
      <c r="F1227" s="195">
        <v>27331.4</v>
      </c>
      <c r="G1227" s="197">
        <f>Tabla110[[#This Row],[Importe]]-Tabla110[[#This Row],[Pagado]]</f>
        <v>0</v>
      </c>
      <c r="H1227" s="194" t="s">
        <v>10</v>
      </c>
    </row>
    <row r="1228" spans="1:8" x14ac:dyDescent="0.25">
      <c r="A1228" s="127">
        <v>44815</v>
      </c>
      <c r="B1228" s="128" t="s">
        <v>29286</v>
      </c>
      <c r="C1228" s="194" t="s">
        <v>31</v>
      </c>
      <c r="D1228" s="195">
        <v>680</v>
      </c>
      <c r="E1228" s="196">
        <v>44815</v>
      </c>
      <c r="F1228" s="195">
        <v>680</v>
      </c>
      <c r="G1228" s="197">
        <f>Tabla110[[#This Row],[Importe]]-Tabla110[[#This Row],[Pagado]]</f>
        <v>0</v>
      </c>
      <c r="H1228" s="194" t="s">
        <v>10</v>
      </c>
    </row>
    <row r="1229" spans="1:8" x14ac:dyDescent="0.25">
      <c r="A1229" s="127">
        <v>44815</v>
      </c>
      <c r="B1229" s="128" t="s">
        <v>29287</v>
      </c>
      <c r="C1229" s="194" t="s">
        <v>28087</v>
      </c>
      <c r="D1229" s="195">
        <v>51248.4</v>
      </c>
      <c r="E1229" s="196">
        <v>44893</v>
      </c>
      <c r="F1229" s="195">
        <v>51248.4</v>
      </c>
      <c r="G1229" s="197">
        <f>Tabla110[[#This Row],[Importe]]-Tabla110[[#This Row],[Pagado]]</f>
        <v>0</v>
      </c>
      <c r="H1229" s="78" t="s">
        <v>17776</v>
      </c>
    </row>
    <row r="1230" spans="1:8" x14ac:dyDescent="0.25">
      <c r="A1230" s="127">
        <v>44815</v>
      </c>
      <c r="B1230" s="128" t="s">
        <v>29288</v>
      </c>
      <c r="C1230" s="194" t="s">
        <v>670</v>
      </c>
      <c r="D1230" s="195">
        <v>1160.7</v>
      </c>
      <c r="E1230" s="196">
        <v>44815</v>
      </c>
      <c r="F1230" s="195">
        <v>1160.7</v>
      </c>
      <c r="G1230" s="197">
        <f>Tabla110[[#This Row],[Importe]]-Tabla110[[#This Row],[Pagado]]</f>
        <v>0</v>
      </c>
      <c r="H1230" s="194" t="s">
        <v>10</v>
      </c>
    </row>
    <row r="1231" spans="1:8" x14ac:dyDescent="0.25">
      <c r="A1231" s="127">
        <v>44815</v>
      </c>
      <c r="B1231" s="128" t="s">
        <v>29289</v>
      </c>
      <c r="C1231" s="194" t="s">
        <v>9827</v>
      </c>
      <c r="D1231" s="195">
        <v>4686.6000000000004</v>
      </c>
      <c r="E1231" s="196">
        <v>44815</v>
      </c>
      <c r="F1231" s="195">
        <v>4686.6000000000004</v>
      </c>
      <c r="G1231" s="197">
        <f>Tabla110[[#This Row],[Importe]]-Tabla110[[#This Row],[Pagado]]</f>
        <v>0</v>
      </c>
      <c r="H1231" s="194" t="s">
        <v>10</v>
      </c>
    </row>
    <row r="1232" spans="1:8" x14ac:dyDescent="0.25">
      <c r="A1232" s="127">
        <v>44815</v>
      </c>
      <c r="B1232" s="128" t="s">
        <v>29290</v>
      </c>
      <c r="C1232" s="194" t="s">
        <v>29291</v>
      </c>
      <c r="D1232" s="195">
        <v>607.5</v>
      </c>
      <c r="E1232" s="196">
        <v>44815</v>
      </c>
      <c r="F1232" s="195">
        <v>607.5</v>
      </c>
      <c r="G1232" s="197">
        <f>Tabla110[[#This Row],[Importe]]-Tabla110[[#This Row],[Pagado]]</f>
        <v>0</v>
      </c>
      <c r="H1232" s="194" t="s">
        <v>10</v>
      </c>
    </row>
    <row r="1233" spans="1:8" x14ac:dyDescent="0.25">
      <c r="A1233" s="127">
        <v>44815</v>
      </c>
      <c r="B1233" s="128" t="s">
        <v>29292</v>
      </c>
      <c r="C1233" s="194" t="s">
        <v>16</v>
      </c>
      <c r="D1233" s="195">
        <v>1919.5</v>
      </c>
      <c r="E1233" s="196">
        <v>44815</v>
      </c>
      <c r="F1233" s="195">
        <v>1919.5</v>
      </c>
      <c r="G1233" s="197">
        <f>Tabla110[[#This Row],[Importe]]-Tabla110[[#This Row],[Pagado]]</f>
        <v>0</v>
      </c>
      <c r="H1233" s="194" t="s">
        <v>10</v>
      </c>
    </row>
    <row r="1234" spans="1:8" x14ac:dyDescent="0.25">
      <c r="A1234" s="127">
        <v>44815</v>
      </c>
      <c r="B1234" s="128" t="s">
        <v>29293</v>
      </c>
      <c r="C1234" s="194" t="s">
        <v>31</v>
      </c>
      <c r="D1234" s="195">
        <v>1883.4</v>
      </c>
      <c r="E1234" s="196">
        <v>44815</v>
      </c>
      <c r="F1234" s="195">
        <v>1883.4</v>
      </c>
      <c r="G1234" s="197">
        <f>Tabla110[[#This Row],[Importe]]-Tabla110[[#This Row],[Pagado]]</f>
        <v>0</v>
      </c>
      <c r="H1234" s="194" t="s">
        <v>10</v>
      </c>
    </row>
    <row r="1235" spans="1:8" x14ac:dyDescent="0.25">
      <c r="A1235" s="127">
        <v>44815</v>
      </c>
      <c r="B1235" s="128" t="s">
        <v>29294</v>
      </c>
      <c r="C1235" s="194" t="s">
        <v>296</v>
      </c>
      <c r="D1235" s="195">
        <v>1740</v>
      </c>
      <c r="E1235" s="196">
        <v>44815</v>
      </c>
      <c r="F1235" s="195">
        <v>1740</v>
      </c>
      <c r="G1235" s="197">
        <f>Tabla110[[#This Row],[Importe]]-Tabla110[[#This Row],[Pagado]]</f>
        <v>0</v>
      </c>
      <c r="H1235" s="194" t="s">
        <v>10</v>
      </c>
    </row>
    <row r="1236" spans="1:8" x14ac:dyDescent="0.25">
      <c r="A1236" s="127">
        <v>44815</v>
      </c>
      <c r="B1236" s="128" t="s">
        <v>29295</v>
      </c>
      <c r="C1236" s="194" t="s">
        <v>214</v>
      </c>
      <c r="D1236" s="195">
        <v>2452.8000000000002</v>
      </c>
      <c r="E1236" s="196">
        <v>44815</v>
      </c>
      <c r="F1236" s="195">
        <v>2452.8000000000002</v>
      </c>
      <c r="G1236" s="197">
        <f>Tabla110[[#This Row],[Importe]]-Tabla110[[#This Row],[Pagado]]</f>
        <v>0</v>
      </c>
      <c r="H1236" s="194" t="s">
        <v>10</v>
      </c>
    </row>
    <row r="1237" spans="1:8" x14ac:dyDescent="0.25">
      <c r="A1237" s="127">
        <v>44815</v>
      </c>
      <c r="B1237" s="128" t="s">
        <v>29296</v>
      </c>
      <c r="C1237" s="194" t="s">
        <v>67</v>
      </c>
      <c r="D1237" s="195">
        <v>3391.8</v>
      </c>
      <c r="E1237" s="196">
        <v>44815</v>
      </c>
      <c r="F1237" s="195">
        <v>3391.8</v>
      </c>
      <c r="G1237" s="197">
        <f>Tabla110[[#This Row],[Importe]]-Tabla110[[#This Row],[Pagado]]</f>
        <v>0</v>
      </c>
      <c r="H1237" s="194" t="s">
        <v>10</v>
      </c>
    </row>
    <row r="1238" spans="1:8" x14ac:dyDescent="0.25">
      <c r="A1238" s="127">
        <v>44815</v>
      </c>
      <c r="B1238" s="128" t="s">
        <v>29297</v>
      </c>
      <c r="C1238" s="194" t="s">
        <v>71</v>
      </c>
      <c r="D1238" s="195">
        <v>1837</v>
      </c>
      <c r="E1238" s="196">
        <v>44815</v>
      </c>
      <c r="F1238" s="195">
        <v>1837</v>
      </c>
      <c r="G1238" s="197">
        <f>Tabla110[[#This Row],[Importe]]-Tabla110[[#This Row],[Pagado]]</f>
        <v>0</v>
      </c>
      <c r="H1238" s="194" t="s">
        <v>10</v>
      </c>
    </row>
    <row r="1239" spans="1:8" x14ac:dyDescent="0.25">
      <c r="A1239" s="127">
        <v>44815</v>
      </c>
      <c r="B1239" s="128" t="s">
        <v>29298</v>
      </c>
      <c r="C1239" s="194" t="s">
        <v>31</v>
      </c>
      <c r="D1239" s="195">
        <v>1029.3</v>
      </c>
      <c r="E1239" s="196">
        <v>44815</v>
      </c>
      <c r="F1239" s="195">
        <v>1029.3</v>
      </c>
      <c r="G1239" s="197">
        <f>Tabla110[[#This Row],[Importe]]-Tabla110[[#This Row],[Pagado]]</f>
        <v>0</v>
      </c>
      <c r="H1239" s="194" t="s">
        <v>10</v>
      </c>
    </row>
    <row r="1240" spans="1:8" x14ac:dyDescent="0.25">
      <c r="A1240" s="127">
        <v>44815</v>
      </c>
      <c r="B1240" s="128" t="s">
        <v>29299</v>
      </c>
      <c r="C1240" s="194" t="s">
        <v>12</v>
      </c>
      <c r="D1240" s="195">
        <v>1322.4</v>
      </c>
      <c r="E1240" s="196">
        <v>44816</v>
      </c>
      <c r="F1240" s="195">
        <v>1322.4</v>
      </c>
      <c r="G1240" s="197">
        <f>Tabla110[[#This Row],[Importe]]-Tabla110[[#This Row],[Pagado]]</f>
        <v>0</v>
      </c>
      <c r="H1240" s="194" t="s">
        <v>10</v>
      </c>
    </row>
    <row r="1241" spans="1:8" x14ac:dyDescent="0.25">
      <c r="A1241" s="127">
        <v>44815</v>
      </c>
      <c r="B1241" s="128" t="s">
        <v>29300</v>
      </c>
      <c r="C1241" s="194" t="s">
        <v>69</v>
      </c>
      <c r="D1241" s="195">
        <v>1423.5</v>
      </c>
      <c r="E1241" s="196">
        <v>44815</v>
      </c>
      <c r="F1241" s="195">
        <v>1423.5</v>
      </c>
      <c r="G1241" s="197">
        <f>Tabla110[[#This Row],[Importe]]-Tabla110[[#This Row],[Pagado]]</f>
        <v>0</v>
      </c>
      <c r="H1241" s="194" t="s">
        <v>10</v>
      </c>
    </row>
    <row r="1242" spans="1:8" x14ac:dyDescent="0.25">
      <c r="A1242" s="127">
        <v>44815</v>
      </c>
      <c r="B1242" s="128" t="s">
        <v>29301</v>
      </c>
      <c r="C1242" s="194" t="s">
        <v>31</v>
      </c>
      <c r="D1242" s="195">
        <v>2582.1</v>
      </c>
      <c r="E1242" s="196">
        <v>44815</v>
      </c>
      <c r="F1242" s="195">
        <v>2582.1</v>
      </c>
      <c r="G1242" s="197">
        <f>Tabla110[[#This Row],[Importe]]-Tabla110[[#This Row],[Pagado]]</f>
        <v>0</v>
      </c>
      <c r="H1242" s="194" t="s">
        <v>10</v>
      </c>
    </row>
    <row r="1243" spans="1:8" x14ac:dyDescent="0.25">
      <c r="A1243" s="127">
        <v>44815</v>
      </c>
      <c r="B1243" s="128" t="s">
        <v>29302</v>
      </c>
      <c r="C1243" s="194" t="s">
        <v>296</v>
      </c>
      <c r="D1243" s="195">
        <v>3190</v>
      </c>
      <c r="E1243" s="196">
        <v>44815</v>
      </c>
      <c r="F1243" s="195">
        <v>3190</v>
      </c>
      <c r="G1243" s="197">
        <f>Tabla110[[#This Row],[Importe]]-Tabla110[[#This Row],[Pagado]]</f>
        <v>0</v>
      </c>
      <c r="H1243" s="194" t="s">
        <v>10</v>
      </c>
    </row>
    <row r="1244" spans="1:8" x14ac:dyDescent="0.25">
      <c r="A1244" s="127">
        <v>44815</v>
      </c>
      <c r="B1244" s="128" t="s">
        <v>29303</v>
      </c>
      <c r="C1244" s="194" t="s">
        <v>31</v>
      </c>
      <c r="D1244" s="195">
        <v>1856.8</v>
      </c>
      <c r="E1244" s="196">
        <v>44815</v>
      </c>
      <c r="F1244" s="195">
        <v>1856.8</v>
      </c>
      <c r="G1244" s="197">
        <f>Tabla110[[#This Row],[Importe]]-Tabla110[[#This Row],[Pagado]]</f>
        <v>0</v>
      </c>
      <c r="H1244" s="194" t="s">
        <v>10</v>
      </c>
    </row>
    <row r="1245" spans="1:8" x14ac:dyDescent="0.25">
      <c r="A1245" s="127">
        <v>44815</v>
      </c>
      <c r="B1245" s="128" t="s">
        <v>29304</v>
      </c>
      <c r="C1245" s="194" t="s">
        <v>31</v>
      </c>
      <c r="D1245" s="195">
        <v>1116.9000000000001</v>
      </c>
      <c r="E1245" s="196">
        <v>44815</v>
      </c>
      <c r="F1245" s="195">
        <v>1116.9000000000001</v>
      </c>
      <c r="G1245" s="197">
        <f>Tabla110[[#This Row],[Importe]]-Tabla110[[#This Row],[Pagado]]</f>
        <v>0</v>
      </c>
      <c r="H1245" s="194" t="s">
        <v>10</v>
      </c>
    </row>
    <row r="1246" spans="1:8" x14ac:dyDescent="0.25">
      <c r="A1246" s="127">
        <v>44815</v>
      </c>
      <c r="B1246" s="128" t="s">
        <v>29305</v>
      </c>
      <c r="C1246" s="194" t="s">
        <v>67</v>
      </c>
      <c r="D1246" s="195">
        <v>127.6</v>
      </c>
      <c r="E1246" s="196">
        <v>44815</v>
      </c>
      <c r="F1246" s="195">
        <v>127.6</v>
      </c>
      <c r="G1246" s="197">
        <f>Tabla110[[#This Row],[Importe]]-Tabla110[[#This Row],[Pagado]]</f>
        <v>0</v>
      </c>
      <c r="H1246" s="194" t="s">
        <v>10</v>
      </c>
    </row>
    <row r="1247" spans="1:8" x14ac:dyDescent="0.25">
      <c r="A1247" s="127">
        <v>44815</v>
      </c>
      <c r="B1247" s="128" t="s">
        <v>29306</v>
      </c>
      <c r="C1247" s="194" t="s">
        <v>365</v>
      </c>
      <c r="D1247" s="195">
        <v>246.4</v>
      </c>
      <c r="E1247" s="196">
        <v>44815</v>
      </c>
      <c r="F1247" s="195">
        <v>246.4</v>
      </c>
      <c r="G1247" s="197">
        <f>Tabla110[[#This Row],[Importe]]-Tabla110[[#This Row],[Pagado]]</f>
        <v>0</v>
      </c>
      <c r="H1247" s="194" t="s">
        <v>10</v>
      </c>
    </row>
    <row r="1248" spans="1:8" x14ac:dyDescent="0.25">
      <c r="A1248" s="127">
        <v>44815</v>
      </c>
      <c r="B1248" s="128" t="s">
        <v>29307</v>
      </c>
      <c r="C1248" s="194" t="s">
        <v>58</v>
      </c>
      <c r="D1248" s="195">
        <v>1276</v>
      </c>
      <c r="E1248" s="196">
        <v>44816</v>
      </c>
      <c r="F1248" s="195">
        <v>1276</v>
      </c>
      <c r="G1248" s="197">
        <f>Tabla110[[#This Row],[Importe]]-Tabla110[[#This Row],[Pagado]]</f>
        <v>0</v>
      </c>
      <c r="H1248" s="194" t="s">
        <v>10</v>
      </c>
    </row>
    <row r="1249" spans="1:8" x14ac:dyDescent="0.25">
      <c r="A1249" s="127">
        <v>44815</v>
      </c>
      <c r="B1249" s="128" t="s">
        <v>29308</v>
      </c>
      <c r="C1249" s="194" t="s">
        <v>75</v>
      </c>
      <c r="D1249" s="195">
        <v>5161.1000000000004</v>
      </c>
      <c r="E1249" s="196">
        <v>44816</v>
      </c>
      <c r="F1249" s="195">
        <v>5161.1000000000004</v>
      </c>
      <c r="G1249" s="197">
        <f>Tabla110[[#This Row],[Importe]]-Tabla110[[#This Row],[Pagado]]</f>
        <v>0</v>
      </c>
      <c r="H1249" s="194" t="s">
        <v>10</v>
      </c>
    </row>
    <row r="1250" spans="1:8" x14ac:dyDescent="0.25">
      <c r="A1250" s="127">
        <v>44816</v>
      </c>
      <c r="B1250" s="128" t="s">
        <v>29309</v>
      </c>
      <c r="C1250" s="194" t="s">
        <v>887</v>
      </c>
      <c r="D1250" s="195">
        <v>17325</v>
      </c>
      <c r="E1250" s="196">
        <v>44816</v>
      </c>
      <c r="F1250" s="195">
        <v>17325</v>
      </c>
      <c r="G1250" s="197">
        <f>Tabla110[[#This Row],[Importe]]-Tabla110[[#This Row],[Pagado]]</f>
        <v>0</v>
      </c>
      <c r="H1250" s="194" t="s">
        <v>10</v>
      </c>
    </row>
    <row r="1251" spans="1:8" x14ac:dyDescent="0.25">
      <c r="A1251" s="127">
        <v>44816</v>
      </c>
      <c r="B1251" s="128" t="s">
        <v>29310</v>
      </c>
      <c r="C1251" s="194" t="s">
        <v>12</v>
      </c>
      <c r="D1251" s="195">
        <v>26437.85</v>
      </c>
      <c r="E1251" s="196">
        <v>44817</v>
      </c>
      <c r="F1251" s="195">
        <v>26437.85</v>
      </c>
      <c r="G1251" s="197">
        <f>Tabla110[[#This Row],[Importe]]-Tabla110[[#This Row],[Pagado]]</f>
        <v>0</v>
      </c>
      <c r="H1251" s="194" t="s">
        <v>10</v>
      </c>
    </row>
    <row r="1252" spans="1:8" x14ac:dyDescent="0.25">
      <c r="A1252" s="127">
        <v>44816</v>
      </c>
      <c r="B1252" s="128" t="s">
        <v>29311</v>
      </c>
      <c r="C1252" s="194" t="s">
        <v>1187</v>
      </c>
      <c r="D1252" s="195">
        <v>2700.1</v>
      </c>
      <c r="E1252" s="196">
        <v>44816</v>
      </c>
      <c r="F1252" s="195">
        <v>2700.1</v>
      </c>
      <c r="G1252" s="197">
        <f>Tabla110[[#This Row],[Importe]]-Tabla110[[#This Row],[Pagado]]</f>
        <v>0</v>
      </c>
      <c r="H1252" s="194" t="s">
        <v>10</v>
      </c>
    </row>
    <row r="1253" spans="1:8" x14ac:dyDescent="0.25">
      <c r="A1253" s="127">
        <v>44816</v>
      </c>
      <c r="B1253" s="128" t="s">
        <v>29312</v>
      </c>
      <c r="C1253" s="194" t="s">
        <v>475</v>
      </c>
      <c r="D1253" s="195">
        <v>116664</v>
      </c>
      <c r="E1253" s="196">
        <v>44817</v>
      </c>
      <c r="F1253" s="195">
        <v>116664</v>
      </c>
      <c r="G1253" s="197">
        <f>Tabla110[[#This Row],[Importe]]-Tabla110[[#This Row],[Pagado]]</f>
        <v>0</v>
      </c>
      <c r="H1253" s="194" t="s">
        <v>10</v>
      </c>
    </row>
    <row r="1254" spans="1:8" x14ac:dyDescent="0.25">
      <c r="A1254" s="127">
        <v>44816</v>
      </c>
      <c r="B1254" s="128" t="s">
        <v>29313</v>
      </c>
      <c r="C1254" s="194" t="s">
        <v>9</v>
      </c>
      <c r="D1254" s="195">
        <v>8159.6</v>
      </c>
      <c r="E1254" s="196">
        <v>44816</v>
      </c>
      <c r="F1254" s="195">
        <v>8159.6</v>
      </c>
      <c r="G1254" s="197">
        <f>Tabla110[[#This Row],[Importe]]-Tabla110[[#This Row],[Pagado]]</f>
        <v>0</v>
      </c>
      <c r="H1254" s="194" t="s">
        <v>10</v>
      </c>
    </row>
    <row r="1255" spans="1:8" x14ac:dyDescent="0.25">
      <c r="A1255" s="127">
        <v>44816</v>
      </c>
      <c r="B1255" s="128" t="s">
        <v>29314</v>
      </c>
      <c r="C1255" s="194" t="s">
        <v>353</v>
      </c>
      <c r="D1255" s="195">
        <v>2064</v>
      </c>
      <c r="E1255" s="196">
        <v>44816</v>
      </c>
      <c r="F1255" s="195">
        <v>2064</v>
      </c>
      <c r="G1255" s="197">
        <f>Tabla110[[#This Row],[Importe]]-Tabla110[[#This Row],[Pagado]]</f>
        <v>0</v>
      </c>
      <c r="H1255" s="194" t="s">
        <v>10</v>
      </c>
    </row>
    <row r="1256" spans="1:8" x14ac:dyDescent="0.25">
      <c r="A1256" s="127">
        <v>44816</v>
      </c>
      <c r="B1256" s="128" t="s">
        <v>29315</v>
      </c>
      <c r="C1256" s="194" t="s">
        <v>348</v>
      </c>
      <c r="D1256" s="195">
        <v>7305.5</v>
      </c>
      <c r="E1256" s="196">
        <v>44816</v>
      </c>
      <c r="F1256" s="195">
        <v>7305.5</v>
      </c>
      <c r="G1256" s="197">
        <f>Tabla110[[#This Row],[Importe]]-Tabla110[[#This Row],[Pagado]]</f>
        <v>0</v>
      </c>
      <c r="H1256" s="194" t="s">
        <v>10</v>
      </c>
    </row>
    <row r="1257" spans="1:8" x14ac:dyDescent="0.25">
      <c r="A1257" s="127">
        <v>44816</v>
      </c>
      <c r="B1257" s="128" t="s">
        <v>29316</v>
      </c>
      <c r="C1257" s="194" t="s">
        <v>16</v>
      </c>
      <c r="D1257" s="195">
        <v>5781.9</v>
      </c>
      <c r="E1257" s="196">
        <v>44816</v>
      </c>
      <c r="F1257" s="195">
        <v>5781.9</v>
      </c>
      <c r="G1257" s="197">
        <f>Tabla110[[#This Row],[Importe]]-Tabla110[[#This Row],[Pagado]]</f>
        <v>0</v>
      </c>
      <c r="H1257" s="194" t="s">
        <v>10</v>
      </c>
    </row>
    <row r="1258" spans="1:8" x14ac:dyDescent="0.25">
      <c r="A1258" s="127">
        <v>44816</v>
      </c>
      <c r="B1258" s="128" t="s">
        <v>29317</v>
      </c>
      <c r="C1258" s="194" t="s">
        <v>450</v>
      </c>
      <c r="D1258" s="195">
        <v>8426.6</v>
      </c>
      <c r="E1258" s="196">
        <v>44816</v>
      </c>
      <c r="F1258" s="195">
        <v>8426.6</v>
      </c>
      <c r="G1258" s="197">
        <f>Tabla110[[#This Row],[Importe]]-Tabla110[[#This Row],[Pagado]]</f>
        <v>0</v>
      </c>
      <c r="H1258" s="194" t="s">
        <v>10</v>
      </c>
    </row>
    <row r="1259" spans="1:8" x14ac:dyDescent="0.25">
      <c r="A1259" s="127">
        <v>44816</v>
      </c>
      <c r="B1259" s="128" t="s">
        <v>29318</v>
      </c>
      <c r="C1259" s="194" t="s">
        <v>89</v>
      </c>
      <c r="D1259" s="195">
        <v>10702.5</v>
      </c>
      <c r="E1259" s="196">
        <v>44818</v>
      </c>
      <c r="F1259" s="195">
        <v>10702.5</v>
      </c>
      <c r="G1259" s="197">
        <f>Tabla110[[#This Row],[Importe]]-Tabla110[[#This Row],[Pagado]]</f>
        <v>0</v>
      </c>
      <c r="H1259" s="194" t="s">
        <v>10</v>
      </c>
    </row>
    <row r="1260" spans="1:8" x14ac:dyDescent="0.25">
      <c r="A1260" s="127">
        <v>44816</v>
      </c>
      <c r="B1260" s="128" t="s">
        <v>29319</v>
      </c>
      <c r="C1260" s="194" t="s">
        <v>345</v>
      </c>
      <c r="D1260" s="195">
        <v>1546.3</v>
      </c>
      <c r="E1260" s="196">
        <v>44816</v>
      </c>
      <c r="F1260" s="195">
        <v>1546.3</v>
      </c>
      <c r="G1260" s="197">
        <f>Tabla110[[#This Row],[Importe]]-Tabla110[[#This Row],[Pagado]]</f>
        <v>0</v>
      </c>
      <c r="H1260" s="194" t="s">
        <v>10</v>
      </c>
    </row>
    <row r="1261" spans="1:8" x14ac:dyDescent="0.25">
      <c r="A1261" s="127">
        <v>44816</v>
      </c>
      <c r="B1261" s="128" t="s">
        <v>29320</v>
      </c>
      <c r="C1261" s="194" t="s">
        <v>109</v>
      </c>
      <c r="D1261" s="195">
        <v>6104.7</v>
      </c>
      <c r="E1261" s="196">
        <v>44817</v>
      </c>
      <c r="F1261" s="195">
        <v>6104.7</v>
      </c>
      <c r="G1261" s="197">
        <f>Tabla110[[#This Row],[Importe]]-Tabla110[[#This Row],[Pagado]]</f>
        <v>0</v>
      </c>
      <c r="H1261" s="194" t="s">
        <v>10</v>
      </c>
    </row>
    <row r="1262" spans="1:8" x14ac:dyDescent="0.25">
      <c r="A1262" s="127">
        <v>44816</v>
      </c>
      <c r="B1262" s="128" t="s">
        <v>29321</v>
      </c>
      <c r="C1262" s="194" t="s">
        <v>2563</v>
      </c>
      <c r="D1262" s="195">
        <v>5174</v>
      </c>
      <c r="E1262" s="196">
        <v>44817</v>
      </c>
      <c r="F1262" s="195">
        <v>5174</v>
      </c>
      <c r="G1262" s="197">
        <f>Tabla110[[#This Row],[Importe]]-Tabla110[[#This Row],[Pagado]]</f>
        <v>0</v>
      </c>
      <c r="H1262" s="194" t="s">
        <v>10</v>
      </c>
    </row>
    <row r="1263" spans="1:8" x14ac:dyDescent="0.25">
      <c r="A1263" s="127">
        <v>44816</v>
      </c>
      <c r="B1263" s="128" t="s">
        <v>29322</v>
      </c>
      <c r="C1263" s="194" t="s">
        <v>64</v>
      </c>
      <c r="D1263" s="195">
        <v>5668</v>
      </c>
      <c r="E1263" s="196">
        <v>44817</v>
      </c>
      <c r="F1263" s="195">
        <v>5668</v>
      </c>
      <c r="G1263" s="197">
        <f>Tabla110[[#This Row],[Importe]]-Tabla110[[#This Row],[Pagado]]</f>
        <v>0</v>
      </c>
      <c r="H1263" s="194" t="s">
        <v>10</v>
      </c>
    </row>
    <row r="1264" spans="1:8" x14ac:dyDescent="0.25">
      <c r="A1264" s="127">
        <v>44816</v>
      </c>
      <c r="B1264" s="128" t="s">
        <v>29323</v>
      </c>
      <c r="C1264" s="194" t="s">
        <v>111</v>
      </c>
      <c r="D1264" s="195">
        <v>6411.7</v>
      </c>
      <c r="E1264" s="196">
        <v>44817</v>
      </c>
      <c r="F1264" s="195">
        <v>6411.7</v>
      </c>
      <c r="G1264" s="197">
        <f>Tabla110[[#This Row],[Importe]]-Tabla110[[#This Row],[Pagado]]</f>
        <v>0</v>
      </c>
      <c r="H1264" s="194" t="s">
        <v>10</v>
      </c>
    </row>
    <row r="1265" spans="1:8" x14ac:dyDescent="0.25">
      <c r="A1265" s="127">
        <v>44816</v>
      </c>
      <c r="B1265" s="128" t="s">
        <v>29324</v>
      </c>
      <c r="C1265" s="194" t="s">
        <v>105</v>
      </c>
      <c r="D1265" s="195">
        <v>9646.1</v>
      </c>
      <c r="E1265" s="196">
        <v>44817</v>
      </c>
      <c r="F1265" s="195">
        <v>9646.1</v>
      </c>
      <c r="G1265" s="197">
        <f>Tabla110[[#This Row],[Importe]]-Tabla110[[#This Row],[Pagado]]</f>
        <v>0</v>
      </c>
      <c r="H1265" s="194" t="s">
        <v>10</v>
      </c>
    </row>
    <row r="1266" spans="1:8" x14ac:dyDescent="0.25">
      <c r="A1266" s="127">
        <v>44816</v>
      </c>
      <c r="B1266" s="128" t="s">
        <v>29325</v>
      </c>
      <c r="C1266" s="194" t="s">
        <v>99</v>
      </c>
      <c r="D1266" s="195">
        <v>9633.6</v>
      </c>
      <c r="E1266" s="196">
        <v>44819</v>
      </c>
      <c r="F1266" s="195">
        <v>9633.6</v>
      </c>
      <c r="G1266" s="197">
        <f>Tabla110[[#This Row],[Importe]]-Tabla110[[#This Row],[Pagado]]</f>
        <v>0</v>
      </c>
      <c r="H1266" s="194" t="s">
        <v>10</v>
      </c>
    </row>
    <row r="1267" spans="1:8" x14ac:dyDescent="0.25">
      <c r="A1267" s="127">
        <v>44816</v>
      </c>
      <c r="B1267" s="128" t="s">
        <v>29326</v>
      </c>
      <c r="C1267" s="194" t="s">
        <v>2151</v>
      </c>
      <c r="D1267" s="195">
        <v>16323</v>
      </c>
      <c r="E1267" s="196">
        <v>44816</v>
      </c>
      <c r="F1267" s="195">
        <v>16323</v>
      </c>
      <c r="G1267" s="197">
        <f>Tabla110[[#This Row],[Importe]]-Tabla110[[#This Row],[Pagado]]</f>
        <v>0</v>
      </c>
      <c r="H1267" s="194" t="s">
        <v>10</v>
      </c>
    </row>
    <row r="1268" spans="1:8" x14ac:dyDescent="0.25">
      <c r="A1268" s="127">
        <v>44816</v>
      </c>
      <c r="B1268" s="128" t="s">
        <v>29327</v>
      </c>
      <c r="C1268" s="194" t="s">
        <v>17556</v>
      </c>
      <c r="D1268" s="195">
        <v>4155</v>
      </c>
      <c r="E1268" s="196">
        <v>44816</v>
      </c>
      <c r="F1268" s="195">
        <v>4155</v>
      </c>
      <c r="G1268" s="197">
        <f>Tabla110[[#This Row],[Importe]]-Tabla110[[#This Row],[Pagado]]</f>
        <v>0</v>
      </c>
      <c r="H1268" s="194" t="s">
        <v>10</v>
      </c>
    </row>
    <row r="1269" spans="1:8" x14ac:dyDescent="0.25">
      <c r="A1269" s="127">
        <v>44816</v>
      </c>
      <c r="B1269" s="128" t="s">
        <v>29328</v>
      </c>
      <c r="C1269" s="194" t="s">
        <v>326</v>
      </c>
      <c r="D1269" s="195">
        <v>7043.5</v>
      </c>
      <c r="E1269" s="196">
        <v>44817</v>
      </c>
      <c r="F1269" s="195">
        <v>7043.5</v>
      </c>
      <c r="G1269" s="197">
        <f>Tabla110[[#This Row],[Importe]]-Tabla110[[#This Row],[Pagado]]</f>
        <v>0</v>
      </c>
      <c r="H1269" s="194" t="s">
        <v>10</v>
      </c>
    </row>
    <row r="1270" spans="1:8" x14ac:dyDescent="0.25">
      <c r="A1270" s="127">
        <v>44816</v>
      </c>
      <c r="B1270" s="128" t="s">
        <v>29329</v>
      </c>
      <c r="C1270" s="194" t="s">
        <v>22</v>
      </c>
      <c r="D1270" s="195">
        <v>58607.3</v>
      </c>
      <c r="E1270" s="196">
        <v>44817</v>
      </c>
      <c r="F1270" s="195">
        <v>58607.3</v>
      </c>
      <c r="G1270" s="197">
        <f>Tabla110[[#This Row],[Importe]]-Tabla110[[#This Row],[Pagado]]</f>
        <v>0</v>
      </c>
      <c r="H1270" s="194" t="s">
        <v>10</v>
      </c>
    </row>
    <row r="1271" spans="1:8" x14ac:dyDescent="0.25">
      <c r="A1271" s="127">
        <v>44816</v>
      </c>
      <c r="B1271" s="128" t="s">
        <v>29330</v>
      </c>
      <c r="C1271" s="194" t="s">
        <v>114</v>
      </c>
      <c r="D1271" s="195">
        <v>14584.6</v>
      </c>
      <c r="E1271" s="196">
        <v>44817</v>
      </c>
      <c r="F1271" s="195">
        <v>14584.6</v>
      </c>
      <c r="G1271" s="197">
        <f>Tabla110[[#This Row],[Importe]]-Tabla110[[#This Row],[Pagado]]</f>
        <v>0</v>
      </c>
      <c r="H1271" s="194" t="s">
        <v>10</v>
      </c>
    </row>
    <row r="1272" spans="1:8" x14ac:dyDescent="0.25">
      <c r="A1272" s="127">
        <v>44816</v>
      </c>
      <c r="B1272" s="128" t="s">
        <v>29331</v>
      </c>
      <c r="C1272" s="194" t="s">
        <v>93</v>
      </c>
      <c r="D1272" s="195">
        <v>9842.7000000000007</v>
      </c>
      <c r="E1272" s="196">
        <v>44819</v>
      </c>
      <c r="F1272" s="195">
        <v>9842.7000000000007</v>
      </c>
      <c r="G1272" s="197">
        <f>Tabla110[[#This Row],[Importe]]-Tabla110[[#This Row],[Pagado]]</f>
        <v>0</v>
      </c>
      <c r="H1272" s="194" t="s">
        <v>10</v>
      </c>
    </row>
    <row r="1273" spans="1:8" x14ac:dyDescent="0.25">
      <c r="A1273" s="127">
        <v>44816</v>
      </c>
      <c r="B1273" s="128" t="s">
        <v>29332</v>
      </c>
      <c r="C1273" s="194" t="s">
        <v>53</v>
      </c>
      <c r="D1273" s="195">
        <v>1192.5</v>
      </c>
      <c r="E1273" s="196">
        <v>44816</v>
      </c>
      <c r="F1273" s="195">
        <v>1192.5</v>
      </c>
      <c r="G1273" s="197">
        <f>Tabla110[[#This Row],[Importe]]-Tabla110[[#This Row],[Pagado]]</f>
        <v>0</v>
      </c>
      <c r="H1273" s="194" t="s">
        <v>10</v>
      </c>
    </row>
    <row r="1274" spans="1:8" x14ac:dyDescent="0.25">
      <c r="A1274" s="127">
        <v>44816</v>
      </c>
      <c r="B1274" s="128" t="s">
        <v>29333</v>
      </c>
      <c r="C1274" s="194" t="s">
        <v>60</v>
      </c>
      <c r="D1274" s="195">
        <v>7128.5</v>
      </c>
      <c r="E1274" s="196">
        <v>44819</v>
      </c>
      <c r="F1274" s="195">
        <v>7128.5</v>
      </c>
      <c r="G1274" s="197">
        <f>Tabla110[[#This Row],[Importe]]-Tabla110[[#This Row],[Pagado]]</f>
        <v>0</v>
      </c>
      <c r="H1274" s="194" t="s">
        <v>10</v>
      </c>
    </row>
    <row r="1275" spans="1:8" x14ac:dyDescent="0.25">
      <c r="A1275" s="127">
        <v>44816</v>
      </c>
      <c r="B1275" s="128" t="s">
        <v>29334</v>
      </c>
      <c r="C1275" s="194" t="s">
        <v>97</v>
      </c>
      <c r="D1275" s="195">
        <v>12639</v>
      </c>
      <c r="E1275" s="196">
        <v>44817</v>
      </c>
      <c r="F1275" s="195">
        <v>12639</v>
      </c>
      <c r="G1275" s="197">
        <f>Tabla110[[#This Row],[Importe]]-Tabla110[[#This Row],[Pagado]]</f>
        <v>0</v>
      </c>
      <c r="H1275" s="194" t="s">
        <v>10</v>
      </c>
    </row>
    <row r="1276" spans="1:8" ht="31.5" x14ac:dyDescent="0.25">
      <c r="A1276" s="127">
        <v>44816</v>
      </c>
      <c r="B1276" s="128" t="s">
        <v>29335</v>
      </c>
      <c r="C1276" s="194" t="s">
        <v>39</v>
      </c>
      <c r="D1276" s="195">
        <v>6409</v>
      </c>
      <c r="E1276" s="198" t="s">
        <v>29126</v>
      </c>
      <c r="F1276" s="195">
        <f>3000+3409</f>
        <v>6409</v>
      </c>
      <c r="G1276" s="197">
        <f>Tabla110[[#This Row],[Importe]]-Tabla110[[#This Row],[Pagado]]</f>
        <v>0</v>
      </c>
      <c r="H1276" s="194" t="s">
        <v>10</v>
      </c>
    </row>
    <row r="1277" spans="1:8" x14ac:dyDescent="0.25">
      <c r="A1277" s="127">
        <v>44816</v>
      </c>
      <c r="B1277" s="128" t="s">
        <v>29336</v>
      </c>
      <c r="C1277" s="194" t="s">
        <v>924</v>
      </c>
      <c r="D1277" s="195">
        <v>22283.46</v>
      </c>
      <c r="E1277" s="196">
        <v>44816</v>
      </c>
      <c r="F1277" s="195">
        <v>22283.46</v>
      </c>
      <c r="G1277" s="197">
        <f>Tabla110[[#This Row],[Importe]]-Tabla110[[#This Row],[Pagado]]</f>
        <v>0</v>
      </c>
      <c r="H1277" s="194" t="s">
        <v>10</v>
      </c>
    </row>
    <row r="1278" spans="1:8" x14ac:dyDescent="0.25">
      <c r="A1278" s="127">
        <v>44816</v>
      </c>
      <c r="B1278" s="128" t="s">
        <v>29337</v>
      </c>
      <c r="C1278" s="194" t="s">
        <v>27</v>
      </c>
      <c r="D1278" s="195">
        <v>566</v>
      </c>
      <c r="E1278" s="196">
        <v>44816</v>
      </c>
      <c r="F1278" s="195">
        <v>566</v>
      </c>
      <c r="G1278" s="197">
        <f>Tabla110[[#This Row],[Importe]]-Tabla110[[#This Row],[Pagado]]</f>
        <v>0</v>
      </c>
      <c r="H1278" s="194" t="s">
        <v>10</v>
      </c>
    </row>
    <row r="1279" spans="1:8" x14ac:dyDescent="0.25">
      <c r="A1279" s="127">
        <v>44816</v>
      </c>
      <c r="B1279" s="128" t="s">
        <v>29338</v>
      </c>
      <c r="C1279" s="194" t="s">
        <v>27</v>
      </c>
      <c r="D1279" s="195">
        <v>4233.3999999999996</v>
      </c>
      <c r="E1279" s="196">
        <v>44816</v>
      </c>
      <c r="F1279" s="195">
        <v>4233.3999999999996</v>
      </c>
      <c r="G1279" s="197">
        <f>Tabla110[[#This Row],[Importe]]-Tabla110[[#This Row],[Pagado]]</f>
        <v>0</v>
      </c>
      <c r="H1279" s="194" t="s">
        <v>10</v>
      </c>
    </row>
    <row r="1280" spans="1:8" x14ac:dyDescent="0.25">
      <c r="A1280" s="127">
        <v>44816</v>
      </c>
      <c r="B1280" s="128" t="s">
        <v>29339</v>
      </c>
      <c r="C1280" s="194" t="s">
        <v>924</v>
      </c>
      <c r="D1280" s="195">
        <v>308</v>
      </c>
      <c r="E1280" s="196">
        <v>44816</v>
      </c>
      <c r="F1280" s="195">
        <v>308</v>
      </c>
      <c r="G1280" s="197">
        <f>Tabla110[[#This Row],[Importe]]-Tabla110[[#This Row],[Pagado]]</f>
        <v>0</v>
      </c>
      <c r="H1280" s="194" t="s">
        <v>10</v>
      </c>
    </row>
    <row r="1281" spans="1:8" x14ac:dyDescent="0.25">
      <c r="A1281" s="127">
        <v>44816</v>
      </c>
      <c r="B1281" s="128" t="s">
        <v>29340</v>
      </c>
      <c r="C1281" s="194" t="s">
        <v>29341</v>
      </c>
      <c r="D1281" s="195">
        <v>11704</v>
      </c>
      <c r="E1281" s="196">
        <v>44816</v>
      </c>
      <c r="F1281" s="195">
        <v>11704</v>
      </c>
      <c r="G1281" s="197">
        <f>Tabla110[[#This Row],[Importe]]-Tabla110[[#This Row],[Pagado]]</f>
        <v>0</v>
      </c>
      <c r="H1281" s="194" t="s">
        <v>10</v>
      </c>
    </row>
    <row r="1282" spans="1:8" x14ac:dyDescent="0.25">
      <c r="A1282" s="127">
        <v>44816</v>
      </c>
      <c r="B1282" s="128" t="s">
        <v>29342</v>
      </c>
      <c r="C1282" s="194" t="s">
        <v>222</v>
      </c>
      <c r="D1282" s="195">
        <v>13383.2</v>
      </c>
      <c r="E1282" s="196">
        <v>44816</v>
      </c>
      <c r="F1282" s="195">
        <v>13383.2</v>
      </c>
      <c r="G1282" s="197">
        <f>Tabla110[[#This Row],[Importe]]-Tabla110[[#This Row],[Pagado]]</f>
        <v>0</v>
      </c>
      <c r="H1282" s="194" t="s">
        <v>10</v>
      </c>
    </row>
    <row r="1283" spans="1:8" x14ac:dyDescent="0.25">
      <c r="A1283" s="127">
        <v>44816</v>
      </c>
      <c r="B1283" s="128" t="s">
        <v>29343</v>
      </c>
      <c r="C1283" s="194" t="s">
        <v>196</v>
      </c>
      <c r="D1283" s="195">
        <v>130202.7</v>
      </c>
      <c r="E1283" s="196">
        <v>44819</v>
      </c>
      <c r="F1283" s="195">
        <v>130202.7</v>
      </c>
      <c r="G1283" s="197">
        <f>Tabla110[[#This Row],[Importe]]-Tabla110[[#This Row],[Pagado]]</f>
        <v>0</v>
      </c>
      <c r="H1283" s="194" t="s">
        <v>10</v>
      </c>
    </row>
    <row r="1284" spans="1:8" x14ac:dyDescent="0.25">
      <c r="A1284" s="127">
        <v>44816</v>
      </c>
      <c r="B1284" s="128" t="s">
        <v>29344</v>
      </c>
      <c r="C1284" s="194" t="s">
        <v>131</v>
      </c>
      <c r="D1284" s="195">
        <v>6845.2</v>
      </c>
      <c r="E1284" s="196">
        <v>44816</v>
      </c>
      <c r="F1284" s="195">
        <v>6845.2</v>
      </c>
      <c r="G1284" s="197">
        <f>Tabla110[[#This Row],[Importe]]-Tabla110[[#This Row],[Pagado]]</f>
        <v>0</v>
      </c>
      <c r="H1284" s="194" t="s">
        <v>10</v>
      </c>
    </row>
    <row r="1285" spans="1:8" x14ac:dyDescent="0.25">
      <c r="A1285" s="127">
        <v>44816</v>
      </c>
      <c r="B1285" s="128" t="s">
        <v>29345</v>
      </c>
      <c r="C1285" s="194" t="s">
        <v>75</v>
      </c>
      <c r="D1285" s="195">
        <v>9526.5</v>
      </c>
      <c r="E1285" s="196">
        <v>44817</v>
      </c>
      <c r="F1285" s="195">
        <v>9526.5</v>
      </c>
      <c r="G1285" s="197">
        <f>Tabla110[[#This Row],[Importe]]-Tabla110[[#This Row],[Pagado]]</f>
        <v>0</v>
      </c>
      <c r="H1285" s="194" t="s">
        <v>10</v>
      </c>
    </row>
    <row r="1286" spans="1:8" x14ac:dyDescent="0.25">
      <c r="A1286" s="127">
        <v>44816</v>
      </c>
      <c r="B1286" s="128" t="s">
        <v>29346</v>
      </c>
      <c r="C1286" s="194" t="s">
        <v>670</v>
      </c>
      <c r="D1286" s="195">
        <v>2325</v>
      </c>
      <c r="E1286" s="196">
        <v>44816</v>
      </c>
      <c r="F1286" s="195">
        <v>2325</v>
      </c>
      <c r="G1286" s="197">
        <f>Tabla110[[#This Row],[Importe]]-Tabla110[[#This Row],[Pagado]]</f>
        <v>0</v>
      </c>
      <c r="H1286" s="194" t="s">
        <v>10</v>
      </c>
    </row>
    <row r="1287" spans="1:8" x14ac:dyDescent="0.25">
      <c r="A1287" s="127">
        <v>44816</v>
      </c>
      <c r="B1287" s="128" t="s">
        <v>29347</v>
      </c>
      <c r="C1287" s="194" t="s">
        <v>312</v>
      </c>
      <c r="D1287" s="195">
        <v>2178</v>
      </c>
      <c r="E1287" s="196">
        <v>44817</v>
      </c>
      <c r="F1287" s="195">
        <v>2178</v>
      </c>
      <c r="G1287" s="197">
        <f>Tabla110[[#This Row],[Importe]]-Tabla110[[#This Row],[Pagado]]</f>
        <v>0</v>
      </c>
      <c r="H1287" s="194" t="s">
        <v>10</v>
      </c>
    </row>
    <row r="1288" spans="1:8" x14ac:dyDescent="0.25">
      <c r="A1288" s="127">
        <v>44816</v>
      </c>
      <c r="B1288" s="128" t="s">
        <v>29348</v>
      </c>
      <c r="C1288" s="194" t="s">
        <v>198</v>
      </c>
      <c r="D1288" s="195">
        <v>6533</v>
      </c>
      <c r="E1288" s="196">
        <v>44817</v>
      </c>
      <c r="F1288" s="195">
        <v>6533</v>
      </c>
      <c r="G1288" s="197">
        <f>Tabla110[[#This Row],[Importe]]-Tabla110[[#This Row],[Pagado]]</f>
        <v>0</v>
      </c>
      <c r="H1288" s="194" t="s">
        <v>10</v>
      </c>
    </row>
    <row r="1289" spans="1:8" x14ac:dyDescent="0.25">
      <c r="A1289" s="127">
        <v>44816</v>
      </c>
      <c r="B1289" s="128" t="s">
        <v>29349</v>
      </c>
      <c r="C1289" s="194" t="s">
        <v>135</v>
      </c>
      <c r="D1289" s="195">
        <v>1476.7</v>
      </c>
      <c r="E1289" s="196">
        <v>44816</v>
      </c>
      <c r="F1289" s="195">
        <v>1476.7</v>
      </c>
      <c r="G1289" s="197">
        <f>Tabla110[[#This Row],[Importe]]-Tabla110[[#This Row],[Pagado]]</f>
        <v>0</v>
      </c>
      <c r="H1289" s="194" t="s">
        <v>10</v>
      </c>
    </row>
    <row r="1290" spans="1:8" x14ac:dyDescent="0.25">
      <c r="A1290" s="127">
        <v>44816</v>
      </c>
      <c r="B1290" s="128" t="s">
        <v>29350</v>
      </c>
      <c r="C1290" s="194" t="s">
        <v>49</v>
      </c>
      <c r="D1290" s="195">
        <v>5289.5</v>
      </c>
      <c r="E1290" s="196">
        <v>44816</v>
      </c>
      <c r="F1290" s="195">
        <v>5289.5</v>
      </c>
      <c r="G1290" s="197">
        <f>Tabla110[[#This Row],[Importe]]-Tabla110[[#This Row],[Pagado]]</f>
        <v>0</v>
      </c>
      <c r="H1290" s="194" t="s">
        <v>10</v>
      </c>
    </row>
    <row r="1291" spans="1:8" x14ac:dyDescent="0.25">
      <c r="A1291" s="127">
        <v>44816</v>
      </c>
      <c r="B1291" s="128" t="s">
        <v>29351</v>
      </c>
      <c r="C1291" s="194" t="s">
        <v>79</v>
      </c>
      <c r="D1291" s="195">
        <v>11127.2</v>
      </c>
      <c r="E1291" s="196">
        <v>44816</v>
      </c>
      <c r="F1291" s="195">
        <v>11127.2</v>
      </c>
      <c r="G1291" s="197">
        <f>Tabla110[[#This Row],[Importe]]-Tabla110[[#This Row],[Pagado]]</f>
        <v>0</v>
      </c>
      <c r="H1291" s="194" t="s">
        <v>10</v>
      </c>
    </row>
    <row r="1292" spans="1:8" x14ac:dyDescent="0.25">
      <c r="A1292" s="127">
        <v>44816</v>
      </c>
      <c r="B1292" s="128" t="s">
        <v>29352</v>
      </c>
      <c r="C1292" s="194" t="s">
        <v>212</v>
      </c>
      <c r="D1292" s="195">
        <v>16768.400000000001</v>
      </c>
      <c r="E1292" s="196">
        <v>44818</v>
      </c>
      <c r="F1292" s="195">
        <v>16768.400000000001</v>
      </c>
      <c r="G1292" s="197">
        <f>Tabla110[[#This Row],[Importe]]-Tabla110[[#This Row],[Pagado]]</f>
        <v>0</v>
      </c>
      <c r="H1292" s="194" t="s">
        <v>10</v>
      </c>
    </row>
    <row r="1293" spans="1:8" x14ac:dyDescent="0.25">
      <c r="A1293" s="127">
        <v>44816</v>
      </c>
      <c r="B1293" s="128" t="s">
        <v>29353</v>
      </c>
      <c r="C1293" s="194" t="s">
        <v>31</v>
      </c>
      <c r="D1293" s="195">
        <v>1369.2</v>
      </c>
      <c r="E1293" s="196">
        <v>44816</v>
      </c>
      <c r="F1293" s="195">
        <v>1369.2</v>
      </c>
      <c r="G1293" s="197">
        <f>Tabla110[[#This Row],[Importe]]-Tabla110[[#This Row],[Pagado]]</f>
        <v>0</v>
      </c>
      <c r="H1293" s="194" t="s">
        <v>10</v>
      </c>
    </row>
    <row r="1294" spans="1:8" x14ac:dyDescent="0.25">
      <c r="A1294" s="127">
        <v>44816</v>
      </c>
      <c r="B1294" s="128" t="s">
        <v>29354</v>
      </c>
      <c r="C1294" s="194" t="s">
        <v>204</v>
      </c>
      <c r="D1294" s="195">
        <v>4750.0600000000004</v>
      </c>
      <c r="E1294" s="196">
        <v>44816</v>
      </c>
      <c r="F1294" s="195">
        <v>4750.0600000000004</v>
      </c>
      <c r="G1294" s="197">
        <f>Tabla110[[#This Row],[Importe]]-Tabla110[[#This Row],[Pagado]]</f>
        <v>0</v>
      </c>
      <c r="H1294" s="194" t="s">
        <v>10</v>
      </c>
    </row>
    <row r="1295" spans="1:8" x14ac:dyDescent="0.25">
      <c r="A1295" s="127">
        <v>44816</v>
      </c>
      <c r="B1295" s="128" t="s">
        <v>29355</v>
      </c>
      <c r="C1295" s="194" t="s">
        <v>10819</v>
      </c>
      <c r="D1295" s="195">
        <v>1781.2</v>
      </c>
      <c r="E1295" s="196">
        <v>44817</v>
      </c>
      <c r="F1295" s="195">
        <v>1781.2</v>
      </c>
      <c r="G1295" s="197">
        <f>Tabla110[[#This Row],[Importe]]-Tabla110[[#This Row],[Pagado]]</f>
        <v>0</v>
      </c>
      <c r="H1295" s="194" t="s">
        <v>10</v>
      </c>
    </row>
    <row r="1296" spans="1:8" x14ac:dyDescent="0.25">
      <c r="A1296" s="127">
        <v>44816</v>
      </c>
      <c r="B1296" s="128" t="s">
        <v>29356</v>
      </c>
      <c r="C1296" s="194" t="s">
        <v>284</v>
      </c>
      <c r="D1296" s="195">
        <v>7832.9</v>
      </c>
      <c r="E1296" s="196">
        <v>44817</v>
      </c>
      <c r="F1296" s="195">
        <v>7832.9</v>
      </c>
      <c r="G1296" s="197">
        <f>Tabla110[[#This Row],[Importe]]-Tabla110[[#This Row],[Pagado]]</f>
        <v>0</v>
      </c>
      <c r="H1296" s="194" t="s">
        <v>10</v>
      </c>
    </row>
    <row r="1297" spans="1:8" x14ac:dyDescent="0.25">
      <c r="A1297" s="127">
        <v>44816</v>
      </c>
      <c r="B1297" s="128" t="s">
        <v>29357</v>
      </c>
      <c r="C1297" s="194" t="s">
        <v>45</v>
      </c>
      <c r="D1297" s="195">
        <v>10352.6</v>
      </c>
      <c r="E1297" s="196">
        <v>44816</v>
      </c>
      <c r="F1297" s="195">
        <v>10352.6</v>
      </c>
      <c r="G1297" s="197">
        <f>Tabla110[[#This Row],[Importe]]-Tabla110[[#This Row],[Pagado]]</f>
        <v>0</v>
      </c>
      <c r="H1297" s="194" t="s">
        <v>10</v>
      </c>
    </row>
    <row r="1298" spans="1:8" x14ac:dyDescent="0.25">
      <c r="A1298" s="127">
        <v>44816</v>
      </c>
      <c r="B1298" s="128" t="s">
        <v>29358</v>
      </c>
      <c r="C1298" s="194" t="s">
        <v>12</v>
      </c>
      <c r="D1298" s="195">
        <v>9039.6</v>
      </c>
      <c r="E1298" s="196">
        <v>44817</v>
      </c>
      <c r="F1298" s="195">
        <v>9039.6</v>
      </c>
      <c r="G1298" s="197">
        <f>Tabla110[[#This Row],[Importe]]-Tabla110[[#This Row],[Pagado]]</f>
        <v>0</v>
      </c>
      <c r="H1298" s="194" t="s">
        <v>10</v>
      </c>
    </row>
    <row r="1299" spans="1:8" x14ac:dyDescent="0.25">
      <c r="A1299" s="127">
        <v>44816</v>
      </c>
      <c r="B1299" s="128" t="s">
        <v>29359</v>
      </c>
      <c r="C1299" s="194" t="s">
        <v>5345</v>
      </c>
      <c r="D1299" s="195">
        <v>2387.1</v>
      </c>
      <c r="E1299" s="196">
        <v>44817</v>
      </c>
      <c r="F1299" s="195">
        <v>2387.1</v>
      </c>
      <c r="G1299" s="197">
        <f>Tabla110[[#This Row],[Importe]]-Tabla110[[#This Row],[Pagado]]</f>
        <v>0</v>
      </c>
      <c r="H1299" s="194" t="s">
        <v>10</v>
      </c>
    </row>
    <row r="1300" spans="1:8" x14ac:dyDescent="0.25">
      <c r="A1300" s="127">
        <v>44816</v>
      </c>
      <c r="B1300" s="128" t="s">
        <v>29360</v>
      </c>
      <c r="C1300" s="194" t="s">
        <v>35</v>
      </c>
      <c r="D1300" s="195">
        <v>1596</v>
      </c>
      <c r="E1300" s="196">
        <v>44816</v>
      </c>
      <c r="F1300" s="195">
        <v>1596</v>
      </c>
      <c r="G1300" s="197">
        <f>Tabla110[[#This Row],[Importe]]-Tabla110[[#This Row],[Pagado]]</f>
        <v>0</v>
      </c>
      <c r="H1300" s="194" t="s">
        <v>10</v>
      </c>
    </row>
    <row r="1301" spans="1:8" x14ac:dyDescent="0.25">
      <c r="A1301" s="127">
        <v>44816</v>
      </c>
      <c r="B1301" s="128" t="s">
        <v>29361</v>
      </c>
      <c r="C1301" s="194" t="s">
        <v>359</v>
      </c>
      <c r="D1301" s="195">
        <v>1464</v>
      </c>
      <c r="E1301" s="196">
        <v>44817</v>
      </c>
      <c r="F1301" s="195">
        <v>1464</v>
      </c>
      <c r="G1301" s="197">
        <f>Tabla110[[#This Row],[Importe]]-Tabla110[[#This Row],[Pagado]]</f>
        <v>0</v>
      </c>
      <c r="H1301" s="194" t="s">
        <v>10</v>
      </c>
    </row>
    <row r="1302" spans="1:8" x14ac:dyDescent="0.25">
      <c r="A1302" s="127">
        <v>44816</v>
      </c>
      <c r="B1302" s="128" t="s">
        <v>29362</v>
      </c>
      <c r="C1302" s="194" t="s">
        <v>414</v>
      </c>
      <c r="D1302" s="195">
        <v>30265.8</v>
      </c>
      <c r="E1302" s="196">
        <v>44823</v>
      </c>
      <c r="F1302" s="195">
        <v>30265.8</v>
      </c>
      <c r="G1302" s="197">
        <f>Tabla110[[#This Row],[Importe]]-Tabla110[[#This Row],[Pagado]]</f>
        <v>0</v>
      </c>
      <c r="H1302" s="194" t="s">
        <v>10</v>
      </c>
    </row>
    <row r="1303" spans="1:8" x14ac:dyDescent="0.25">
      <c r="A1303" s="127">
        <v>44816</v>
      </c>
      <c r="B1303" s="128" t="s">
        <v>29363</v>
      </c>
      <c r="C1303" s="194" t="s">
        <v>3971</v>
      </c>
      <c r="D1303" s="195">
        <v>1026.8</v>
      </c>
      <c r="E1303" s="196">
        <v>44816</v>
      </c>
      <c r="F1303" s="195">
        <v>1026.8</v>
      </c>
      <c r="G1303" s="197">
        <f>Tabla110[[#This Row],[Importe]]-Tabla110[[#This Row],[Pagado]]</f>
        <v>0</v>
      </c>
      <c r="H1303" s="194" t="s">
        <v>10</v>
      </c>
    </row>
    <row r="1304" spans="1:8" x14ac:dyDescent="0.25">
      <c r="A1304" s="127">
        <v>44816</v>
      </c>
      <c r="B1304" s="128" t="s">
        <v>29364</v>
      </c>
      <c r="C1304" s="194" t="s">
        <v>56</v>
      </c>
      <c r="D1304" s="195">
        <v>10100.200000000001</v>
      </c>
      <c r="E1304" s="196">
        <v>44816</v>
      </c>
      <c r="F1304" s="195">
        <v>10100.200000000001</v>
      </c>
      <c r="G1304" s="197">
        <f>Tabla110[[#This Row],[Importe]]-Tabla110[[#This Row],[Pagado]]</f>
        <v>0</v>
      </c>
      <c r="H1304" s="194" t="s">
        <v>10</v>
      </c>
    </row>
    <row r="1305" spans="1:8" x14ac:dyDescent="0.25">
      <c r="A1305" s="127">
        <v>44816</v>
      </c>
      <c r="B1305" s="128" t="s">
        <v>29365</v>
      </c>
      <c r="C1305" s="194" t="s">
        <v>426</v>
      </c>
      <c r="D1305" s="195">
        <v>4104</v>
      </c>
      <c r="E1305" s="196">
        <v>44817</v>
      </c>
      <c r="F1305" s="195">
        <v>4104</v>
      </c>
      <c r="G1305" s="197">
        <f>Tabla110[[#This Row],[Importe]]-Tabla110[[#This Row],[Pagado]]</f>
        <v>0</v>
      </c>
      <c r="H1305" s="194" t="s">
        <v>10</v>
      </c>
    </row>
    <row r="1306" spans="1:8" x14ac:dyDescent="0.25">
      <c r="A1306" s="127">
        <v>44816</v>
      </c>
      <c r="B1306" s="128" t="s">
        <v>29366</v>
      </c>
      <c r="C1306" s="194" t="s">
        <v>200</v>
      </c>
      <c r="D1306" s="195">
        <v>1226.4000000000001</v>
      </c>
      <c r="E1306" s="196">
        <v>44817</v>
      </c>
      <c r="F1306" s="195">
        <v>1226.4000000000001</v>
      </c>
      <c r="G1306" s="197">
        <f>Tabla110[[#This Row],[Importe]]-Tabla110[[#This Row],[Pagado]]</f>
        <v>0</v>
      </c>
      <c r="H1306" s="194" t="s">
        <v>10</v>
      </c>
    </row>
    <row r="1307" spans="1:8" x14ac:dyDescent="0.25">
      <c r="A1307" s="127">
        <v>44816</v>
      </c>
      <c r="B1307" s="128" t="s">
        <v>29367</v>
      </c>
      <c r="C1307" s="194" t="s">
        <v>181</v>
      </c>
      <c r="D1307" s="195">
        <v>7966.6</v>
      </c>
      <c r="E1307" s="196">
        <v>44817</v>
      </c>
      <c r="F1307" s="195">
        <v>7966.6</v>
      </c>
      <c r="G1307" s="197">
        <f>Tabla110[[#This Row],[Importe]]-Tabla110[[#This Row],[Pagado]]</f>
        <v>0</v>
      </c>
      <c r="H1307" s="194" t="s">
        <v>10</v>
      </c>
    </row>
    <row r="1308" spans="1:8" x14ac:dyDescent="0.25">
      <c r="A1308" s="127">
        <v>44816</v>
      </c>
      <c r="B1308" s="128" t="s">
        <v>29368</v>
      </c>
      <c r="C1308" s="194" t="s">
        <v>198</v>
      </c>
      <c r="D1308" s="195">
        <v>440</v>
      </c>
      <c r="E1308" s="196">
        <v>44817</v>
      </c>
      <c r="F1308" s="195">
        <v>440</v>
      </c>
      <c r="G1308" s="197">
        <f>Tabla110[[#This Row],[Importe]]-Tabla110[[#This Row],[Pagado]]</f>
        <v>0</v>
      </c>
      <c r="H1308" s="194" t="s">
        <v>10</v>
      </c>
    </row>
    <row r="1309" spans="1:8" x14ac:dyDescent="0.25">
      <c r="A1309" s="127">
        <v>44816</v>
      </c>
      <c r="B1309" s="128" t="s">
        <v>29369</v>
      </c>
      <c r="C1309" s="194" t="s">
        <v>312</v>
      </c>
      <c r="D1309" s="195">
        <v>440</v>
      </c>
      <c r="E1309" s="196">
        <v>44817</v>
      </c>
      <c r="F1309" s="195">
        <v>440</v>
      </c>
      <c r="G1309" s="197">
        <f>Tabla110[[#This Row],[Importe]]-Tabla110[[#This Row],[Pagado]]</f>
        <v>0</v>
      </c>
      <c r="H1309" s="194" t="s">
        <v>10</v>
      </c>
    </row>
    <row r="1310" spans="1:8" x14ac:dyDescent="0.25">
      <c r="A1310" s="127">
        <v>44816</v>
      </c>
      <c r="B1310" s="128" t="s">
        <v>29370</v>
      </c>
      <c r="C1310" s="194" t="s">
        <v>240</v>
      </c>
      <c r="D1310" s="195">
        <v>12040</v>
      </c>
      <c r="E1310" s="196">
        <v>44816</v>
      </c>
      <c r="F1310" s="195">
        <v>12040</v>
      </c>
      <c r="G1310" s="197">
        <f>Tabla110[[#This Row],[Importe]]-Tabla110[[#This Row],[Pagado]]</f>
        <v>0</v>
      </c>
      <c r="H1310" s="194" t="s">
        <v>10</v>
      </c>
    </row>
    <row r="1311" spans="1:8" x14ac:dyDescent="0.25">
      <c r="A1311" s="127">
        <v>44816</v>
      </c>
      <c r="B1311" s="128" t="s">
        <v>29371</v>
      </c>
      <c r="C1311" s="194" t="s">
        <v>175</v>
      </c>
      <c r="D1311" s="195">
        <v>15921.4</v>
      </c>
      <c r="E1311" s="196">
        <v>44817</v>
      </c>
      <c r="F1311" s="195">
        <v>15921.4</v>
      </c>
      <c r="G1311" s="197">
        <f>Tabla110[[#This Row],[Importe]]-Tabla110[[#This Row],[Pagado]]</f>
        <v>0</v>
      </c>
      <c r="H1311" s="194" t="s">
        <v>10</v>
      </c>
    </row>
    <row r="1312" spans="1:8" x14ac:dyDescent="0.25">
      <c r="A1312" s="127">
        <v>44816</v>
      </c>
      <c r="B1312" s="128" t="s">
        <v>29372</v>
      </c>
      <c r="C1312" s="194" t="s">
        <v>181</v>
      </c>
      <c r="D1312" s="195">
        <v>4200</v>
      </c>
      <c r="E1312" s="196">
        <v>44817</v>
      </c>
      <c r="F1312" s="195">
        <v>4200</v>
      </c>
      <c r="G1312" s="197">
        <f>Tabla110[[#This Row],[Importe]]-Tabla110[[#This Row],[Pagado]]</f>
        <v>0</v>
      </c>
      <c r="H1312" s="194" t="s">
        <v>10</v>
      </c>
    </row>
    <row r="1313" spans="1:8" x14ac:dyDescent="0.25">
      <c r="A1313" s="127">
        <v>44816</v>
      </c>
      <c r="B1313" s="128" t="s">
        <v>29373</v>
      </c>
      <c r="C1313" s="194" t="s">
        <v>51</v>
      </c>
      <c r="D1313" s="195">
        <v>1094.7</v>
      </c>
      <c r="E1313" s="196">
        <v>44816</v>
      </c>
      <c r="F1313" s="195">
        <v>1094.7</v>
      </c>
      <c r="G1313" s="197">
        <f>Tabla110[[#This Row],[Importe]]-Tabla110[[#This Row],[Pagado]]</f>
        <v>0</v>
      </c>
      <c r="H1313" s="194" t="s">
        <v>10</v>
      </c>
    </row>
    <row r="1314" spans="1:8" x14ac:dyDescent="0.25">
      <c r="A1314" s="127">
        <v>44816</v>
      </c>
      <c r="B1314" s="128" t="s">
        <v>29374</v>
      </c>
      <c r="C1314" s="194" t="s">
        <v>2139</v>
      </c>
      <c r="D1314" s="195">
        <v>6776.3</v>
      </c>
      <c r="E1314" s="196">
        <v>44816</v>
      </c>
      <c r="F1314" s="195">
        <v>6776.3</v>
      </c>
      <c r="G1314" s="197">
        <f>Tabla110[[#This Row],[Importe]]-Tabla110[[#This Row],[Pagado]]</f>
        <v>0</v>
      </c>
      <c r="H1314" s="194" t="s">
        <v>10</v>
      </c>
    </row>
    <row r="1315" spans="1:8" x14ac:dyDescent="0.25">
      <c r="A1315" s="127">
        <v>44816</v>
      </c>
      <c r="B1315" s="128" t="s">
        <v>29375</v>
      </c>
      <c r="C1315" s="194" t="s">
        <v>24</v>
      </c>
      <c r="D1315" s="195">
        <v>4201</v>
      </c>
      <c r="E1315" s="196">
        <v>44816</v>
      </c>
      <c r="F1315" s="195">
        <v>4201</v>
      </c>
      <c r="G1315" s="197">
        <f>Tabla110[[#This Row],[Importe]]-Tabla110[[#This Row],[Pagado]]</f>
        <v>0</v>
      </c>
      <c r="H1315" s="194" t="s">
        <v>10</v>
      </c>
    </row>
    <row r="1316" spans="1:8" x14ac:dyDescent="0.25">
      <c r="A1316" s="127">
        <v>44816</v>
      </c>
      <c r="B1316" s="128" t="s">
        <v>29376</v>
      </c>
      <c r="C1316" s="194" t="s">
        <v>484</v>
      </c>
      <c r="D1316" s="195">
        <v>5880</v>
      </c>
      <c r="E1316" s="196">
        <v>44816</v>
      </c>
      <c r="F1316" s="195">
        <v>5880</v>
      </c>
      <c r="G1316" s="197">
        <f>Tabla110[[#This Row],[Importe]]-Tabla110[[#This Row],[Pagado]]</f>
        <v>0</v>
      </c>
      <c r="H1316" s="194" t="s">
        <v>10</v>
      </c>
    </row>
    <row r="1317" spans="1:8" x14ac:dyDescent="0.25">
      <c r="A1317" s="127">
        <v>44816</v>
      </c>
      <c r="B1317" s="128" t="s">
        <v>29377</v>
      </c>
      <c r="C1317" s="194" t="s">
        <v>62</v>
      </c>
      <c r="D1317" s="195">
        <v>4736</v>
      </c>
      <c r="E1317" s="196">
        <v>44816</v>
      </c>
      <c r="F1317" s="195">
        <v>4736</v>
      </c>
      <c r="G1317" s="197">
        <f>Tabla110[[#This Row],[Importe]]-Tabla110[[#This Row],[Pagado]]</f>
        <v>0</v>
      </c>
      <c r="H1317" s="194" t="s">
        <v>10</v>
      </c>
    </row>
    <row r="1318" spans="1:8" x14ac:dyDescent="0.25">
      <c r="A1318" s="127">
        <v>44816</v>
      </c>
      <c r="B1318" s="128" t="s">
        <v>29378</v>
      </c>
      <c r="C1318" s="194" t="s">
        <v>154</v>
      </c>
      <c r="D1318" s="195">
        <v>37293.5</v>
      </c>
      <c r="E1318" s="196">
        <v>44823</v>
      </c>
      <c r="F1318" s="195">
        <v>37293.5</v>
      </c>
      <c r="G1318" s="197">
        <f>Tabla110[[#This Row],[Importe]]-Tabla110[[#This Row],[Pagado]]</f>
        <v>0</v>
      </c>
      <c r="H1318" s="194" t="s">
        <v>10</v>
      </c>
    </row>
    <row r="1319" spans="1:8" x14ac:dyDescent="0.25">
      <c r="A1319" s="127">
        <v>44816</v>
      </c>
      <c r="B1319" s="128" t="s">
        <v>29379</v>
      </c>
      <c r="C1319" s="194" t="s">
        <v>31</v>
      </c>
      <c r="D1319" s="195">
        <v>2820</v>
      </c>
      <c r="E1319" s="196">
        <v>44816</v>
      </c>
      <c r="F1319" s="195">
        <v>2820</v>
      </c>
      <c r="G1319" s="197">
        <f>Tabla110[[#This Row],[Importe]]-Tabla110[[#This Row],[Pagado]]</f>
        <v>0</v>
      </c>
      <c r="H1319" s="194" t="s">
        <v>10</v>
      </c>
    </row>
    <row r="1320" spans="1:8" x14ac:dyDescent="0.25">
      <c r="A1320" s="127">
        <v>44816</v>
      </c>
      <c r="B1320" s="128" t="s">
        <v>29380</v>
      </c>
      <c r="C1320" s="194" t="s">
        <v>31</v>
      </c>
      <c r="D1320" s="195">
        <v>817.6</v>
      </c>
      <c r="E1320" s="196">
        <v>44816</v>
      </c>
      <c r="F1320" s="195">
        <v>817.6</v>
      </c>
      <c r="G1320" s="197">
        <f>Tabla110[[#This Row],[Importe]]-Tabla110[[#This Row],[Pagado]]</f>
        <v>0</v>
      </c>
      <c r="H1320" s="194" t="s">
        <v>10</v>
      </c>
    </row>
    <row r="1321" spans="1:8" ht="31.5" x14ac:dyDescent="0.25">
      <c r="A1321" s="127">
        <v>44816</v>
      </c>
      <c r="B1321" s="128" t="s">
        <v>29381</v>
      </c>
      <c r="C1321" s="194" t="s">
        <v>142</v>
      </c>
      <c r="D1321" s="195">
        <v>132050.23999999999</v>
      </c>
      <c r="E1321" s="198" t="s">
        <v>31549</v>
      </c>
      <c r="F1321" s="195">
        <f>123269.63+8780.61</f>
        <v>132050.23999999999</v>
      </c>
      <c r="G1321" s="197">
        <f>Tabla110[[#This Row],[Importe]]-Tabla110[[#This Row],[Pagado]]</f>
        <v>0</v>
      </c>
      <c r="H1321" s="194" t="s">
        <v>10</v>
      </c>
    </row>
    <row r="1322" spans="1:8" x14ac:dyDescent="0.25">
      <c r="A1322" s="127">
        <v>44816</v>
      </c>
      <c r="B1322" s="128" t="s">
        <v>29382</v>
      </c>
      <c r="C1322" s="194" t="s">
        <v>206</v>
      </c>
      <c r="D1322" s="195">
        <v>23514.2</v>
      </c>
      <c r="E1322" s="196">
        <v>44821</v>
      </c>
      <c r="F1322" s="195">
        <v>23514.2</v>
      </c>
      <c r="G1322" s="197">
        <f>Tabla110[[#This Row],[Importe]]-Tabla110[[#This Row],[Pagado]]</f>
        <v>0</v>
      </c>
      <c r="H1322" s="194" t="s">
        <v>10</v>
      </c>
    </row>
    <row r="1323" spans="1:8" x14ac:dyDescent="0.25">
      <c r="A1323" s="127">
        <v>44816</v>
      </c>
      <c r="B1323" s="128" t="s">
        <v>29383</v>
      </c>
      <c r="C1323" s="194" t="s">
        <v>218</v>
      </c>
      <c r="D1323" s="195">
        <v>21488</v>
      </c>
      <c r="E1323" s="196">
        <v>44821</v>
      </c>
      <c r="F1323" s="195">
        <v>21488</v>
      </c>
      <c r="G1323" s="197">
        <f>Tabla110[[#This Row],[Importe]]-Tabla110[[#This Row],[Pagado]]</f>
        <v>0</v>
      </c>
      <c r="H1323" s="194" t="s">
        <v>10</v>
      </c>
    </row>
    <row r="1324" spans="1:8" x14ac:dyDescent="0.25">
      <c r="A1324" s="127">
        <v>44816</v>
      </c>
      <c r="B1324" s="128" t="s">
        <v>29384</v>
      </c>
      <c r="C1324" s="194" t="s">
        <v>31</v>
      </c>
      <c r="D1324" s="195">
        <v>5460</v>
      </c>
      <c r="E1324" s="196">
        <v>44816</v>
      </c>
      <c r="F1324" s="195">
        <v>5460</v>
      </c>
      <c r="G1324" s="197">
        <f>Tabla110[[#This Row],[Importe]]-Tabla110[[#This Row],[Pagado]]</f>
        <v>0</v>
      </c>
      <c r="H1324" s="194" t="s">
        <v>10</v>
      </c>
    </row>
    <row r="1325" spans="1:8" x14ac:dyDescent="0.25">
      <c r="A1325" s="127">
        <v>44816</v>
      </c>
      <c r="B1325" s="128" t="s">
        <v>29385</v>
      </c>
      <c r="C1325" s="194" t="s">
        <v>9827</v>
      </c>
      <c r="D1325" s="195">
        <v>1868.8</v>
      </c>
      <c r="E1325" s="196">
        <v>44816</v>
      </c>
      <c r="F1325" s="195">
        <v>1868.8</v>
      </c>
      <c r="G1325" s="197">
        <f>Tabla110[[#This Row],[Importe]]-Tabla110[[#This Row],[Pagado]]</f>
        <v>0</v>
      </c>
      <c r="H1325" s="194" t="s">
        <v>10</v>
      </c>
    </row>
    <row r="1326" spans="1:8" x14ac:dyDescent="0.25">
      <c r="A1326" s="127">
        <v>44816</v>
      </c>
      <c r="B1326" s="128" t="s">
        <v>29386</v>
      </c>
      <c r="C1326" s="194" t="s">
        <v>1003</v>
      </c>
      <c r="D1326" s="195">
        <v>13326.1</v>
      </c>
      <c r="E1326" s="196">
        <v>44817</v>
      </c>
      <c r="F1326" s="195">
        <v>13326.1</v>
      </c>
      <c r="G1326" s="197">
        <f>Tabla110[[#This Row],[Importe]]-Tabla110[[#This Row],[Pagado]]</f>
        <v>0</v>
      </c>
      <c r="H1326" s="194" t="s">
        <v>10</v>
      </c>
    </row>
    <row r="1327" spans="1:8" x14ac:dyDescent="0.25">
      <c r="A1327" s="127">
        <v>44816</v>
      </c>
      <c r="B1327" s="128" t="s">
        <v>29387</v>
      </c>
      <c r="C1327" s="194" t="s">
        <v>29388</v>
      </c>
      <c r="D1327" s="195">
        <v>0</v>
      </c>
      <c r="E1327" s="199" t="s">
        <v>189</v>
      </c>
      <c r="F1327" s="195">
        <v>0</v>
      </c>
      <c r="G1327" s="197">
        <f>Tabla110[[#This Row],[Importe]]-Tabla110[[#This Row],[Pagado]]</f>
        <v>0</v>
      </c>
      <c r="H1327" s="200" t="s">
        <v>29389</v>
      </c>
    </row>
    <row r="1328" spans="1:8" x14ac:dyDescent="0.25">
      <c r="A1328" s="127">
        <v>44816</v>
      </c>
      <c r="B1328" s="128" t="s">
        <v>29390</v>
      </c>
      <c r="C1328" s="194" t="s">
        <v>357</v>
      </c>
      <c r="D1328" s="195">
        <v>1216</v>
      </c>
      <c r="E1328" s="196">
        <v>44816</v>
      </c>
      <c r="F1328" s="195">
        <v>1216</v>
      </c>
      <c r="G1328" s="197">
        <f>Tabla110[[#This Row],[Importe]]-Tabla110[[#This Row],[Pagado]]</f>
        <v>0</v>
      </c>
      <c r="H1328" s="194" t="s">
        <v>10</v>
      </c>
    </row>
    <row r="1329" spans="1:8" x14ac:dyDescent="0.25">
      <c r="A1329" s="127">
        <v>44816</v>
      </c>
      <c r="B1329" s="128" t="s">
        <v>29391</v>
      </c>
      <c r="C1329" s="194" t="s">
        <v>140</v>
      </c>
      <c r="D1329" s="195">
        <v>5459.4</v>
      </c>
      <c r="E1329" s="196">
        <v>44816</v>
      </c>
      <c r="F1329" s="195">
        <v>5459.4</v>
      </c>
      <c r="G1329" s="197">
        <f>Tabla110[[#This Row],[Importe]]-Tabla110[[#This Row],[Pagado]]</f>
        <v>0</v>
      </c>
      <c r="H1329" s="194" t="s">
        <v>10</v>
      </c>
    </row>
    <row r="1330" spans="1:8" x14ac:dyDescent="0.25">
      <c r="A1330" s="127">
        <v>44816</v>
      </c>
      <c r="B1330" s="128" t="s">
        <v>29392</v>
      </c>
      <c r="C1330" s="194" t="s">
        <v>127</v>
      </c>
      <c r="D1330" s="195">
        <v>5665.9</v>
      </c>
      <c r="E1330" s="196">
        <v>44816</v>
      </c>
      <c r="F1330" s="195">
        <v>5665.9</v>
      </c>
      <c r="G1330" s="197">
        <f>Tabla110[[#This Row],[Importe]]-Tabla110[[#This Row],[Pagado]]</f>
        <v>0</v>
      </c>
      <c r="H1330" s="194" t="s">
        <v>10</v>
      </c>
    </row>
    <row r="1331" spans="1:8" x14ac:dyDescent="0.25">
      <c r="A1331" s="127">
        <v>44816</v>
      </c>
      <c r="B1331" s="128" t="s">
        <v>29393</v>
      </c>
      <c r="C1331" s="194" t="s">
        <v>58</v>
      </c>
      <c r="D1331" s="195">
        <v>3808</v>
      </c>
      <c r="E1331" s="196">
        <v>44816</v>
      </c>
      <c r="F1331" s="195">
        <v>3808</v>
      </c>
      <c r="G1331" s="197">
        <f>Tabla110[[#This Row],[Importe]]-Tabla110[[#This Row],[Pagado]]</f>
        <v>0</v>
      </c>
      <c r="H1331" s="194" t="s">
        <v>10</v>
      </c>
    </row>
    <row r="1332" spans="1:8" x14ac:dyDescent="0.25">
      <c r="A1332" s="127">
        <v>44816</v>
      </c>
      <c r="B1332" s="128" t="s">
        <v>29394</v>
      </c>
      <c r="C1332" s="194" t="s">
        <v>9993</v>
      </c>
      <c r="D1332" s="195">
        <v>45640</v>
      </c>
      <c r="E1332" s="196">
        <v>44816</v>
      </c>
      <c r="F1332" s="195">
        <v>45640</v>
      </c>
      <c r="G1332" s="197">
        <f>Tabla110[[#This Row],[Importe]]-Tabla110[[#This Row],[Pagado]]</f>
        <v>0</v>
      </c>
      <c r="H1332" s="194" t="s">
        <v>10</v>
      </c>
    </row>
    <row r="1333" spans="1:8" x14ac:dyDescent="0.25">
      <c r="A1333" s="127">
        <v>44816</v>
      </c>
      <c r="B1333" s="128" t="s">
        <v>29395</v>
      </c>
      <c r="C1333" s="194" t="s">
        <v>224</v>
      </c>
      <c r="D1333" s="195">
        <v>15503.8</v>
      </c>
      <c r="E1333" s="196">
        <v>44830</v>
      </c>
      <c r="F1333" s="195">
        <v>15503.8</v>
      </c>
      <c r="G1333" s="197">
        <f>Tabla110[[#This Row],[Importe]]-Tabla110[[#This Row],[Pagado]]</f>
        <v>0</v>
      </c>
      <c r="H1333" s="194" t="s">
        <v>10</v>
      </c>
    </row>
    <row r="1334" spans="1:8" x14ac:dyDescent="0.25">
      <c r="A1334" s="127">
        <v>44816</v>
      </c>
      <c r="B1334" s="128" t="s">
        <v>29396</v>
      </c>
      <c r="C1334" s="194" t="s">
        <v>698</v>
      </c>
      <c r="D1334" s="195">
        <v>7643</v>
      </c>
      <c r="E1334" s="196">
        <v>44816</v>
      </c>
      <c r="F1334" s="195">
        <v>7643</v>
      </c>
      <c r="G1334" s="197">
        <f>Tabla110[[#This Row],[Importe]]-Tabla110[[#This Row],[Pagado]]</f>
        <v>0</v>
      </c>
      <c r="H1334" s="194" t="s">
        <v>10</v>
      </c>
    </row>
    <row r="1335" spans="1:8" x14ac:dyDescent="0.25">
      <c r="A1335" s="127">
        <v>44816</v>
      </c>
      <c r="B1335" s="128" t="s">
        <v>29397</v>
      </c>
      <c r="C1335" s="194" t="s">
        <v>9993</v>
      </c>
      <c r="D1335" s="195">
        <v>6759.2</v>
      </c>
      <c r="E1335" s="196">
        <v>44816</v>
      </c>
      <c r="F1335" s="195">
        <v>6759.2</v>
      </c>
      <c r="G1335" s="197">
        <f>Tabla110[[#This Row],[Importe]]-Tabla110[[#This Row],[Pagado]]</f>
        <v>0</v>
      </c>
      <c r="H1335" s="194" t="s">
        <v>10</v>
      </c>
    </row>
    <row r="1336" spans="1:8" x14ac:dyDescent="0.25">
      <c r="A1336" s="127">
        <v>44816</v>
      </c>
      <c r="B1336" s="128" t="s">
        <v>29398</v>
      </c>
      <c r="C1336" s="194" t="s">
        <v>562</v>
      </c>
      <c r="D1336" s="195">
        <v>4481.3999999999996</v>
      </c>
      <c r="E1336" s="196">
        <v>44816</v>
      </c>
      <c r="F1336" s="195">
        <v>4481.3999999999996</v>
      </c>
      <c r="G1336" s="197">
        <f>Tabla110[[#This Row],[Importe]]-Tabla110[[#This Row],[Pagado]]</f>
        <v>0</v>
      </c>
      <c r="H1336" s="194" t="s">
        <v>10</v>
      </c>
    </row>
    <row r="1337" spans="1:8" x14ac:dyDescent="0.25">
      <c r="A1337" s="127">
        <v>44816</v>
      </c>
      <c r="B1337" s="128" t="s">
        <v>29399</v>
      </c>
      <c r="C1337" s="194" t="s">
        <v>562</v>
      </c>
      <c r="D1337" s="195">
        <v>201.3</v>
      </c>
      <c r="E1337" s="196">
        <v>44816</v>
      </c>
      <c r="F1337" s="195">
        <v>201.3</v>
      </c>
      <c r="G1337" s="197">
        <f>Tabla110[[#This Row],[Importe]]-Tabla110[[#This Row],[Pagado]]</f>
        <v>0</v>
      </c>
      <c r="H1337" s="194" t="s">
        <v>10</v>
      </c>
    </row>
    <row r="1338" spans="1:8" x14ac:dyDescent="0.25">
      <c r="A1338" s="127">
        <v>44816</v>
      </c>
      <c r="B1338" s="128" t="s">
        <v>29400</v>
      </c>
      <c r="C1338" s="194" t="s">
        <v>67</v>
      </c>
      <c r="D1338" s="195">
        <v>3311.8</v>
      </c>
      <c r="E1338" s="196">
        <v>44816</v>
      </c>
      <c r="F1338" s="195">
        <v>3311.8</v>
      </c>
      <c r="G1338" s="197">
        <f>Tabla110[[#This Row],[Importe]]-Tabla110[[#This Row],[Pagado]]</f>
        <v>0</v>
      </c>
      <c r="H1338" s="194" t="s">
        <v>10</v>
      </c>
    </row>
    <row r="1339" spans="1:8" x14ac:dyDescent="0.25">
      <c r="A1339" s="127">
        <v>44816</v>
      </c>
      <c r="B1339" s="128" t="s">
        <v>29401</v>
      </c>
      <c r="C1339" s="194" t="s">
        <v>296</v>
      </c>
      <c r="D1339" s="195">
        <v>8511.6</v>
      </c>
      <c r="E1339" s="196">
        <v>44816</v>
      </c>
      <c r="F1339" s="195">
        <v>8511.6</v>
      </c>
      <c r="G1339" s="197">
        <f>Tabla110[[#This Row],[Importe]]-Tabla110[[#This Row],[Pagado]]</f>
        <v>0</v>
      </c>
      <c r="H1339" s="194" t="s">
        <v>10</v>
      </c>
    </row>
    <row r="1340" spans="1:8" x14ac:dyDescent="0.25">
      <c r="A1340" s="127">
        <v>44816</v>
      </c>
      <c r="B1340" s="128" t="s">
        <v>29402</v>
      </c>
      <c r="C1340" s="194" t="s">
        <v>83</v>
      </c>
      <c r="D1340" s="195">
        <v>19936</v>
      </c>
      <c r="E1340" s="196">
        <v>44817</v>
      </c>
      <c r="F1340" s="195">
        <v>19936</v>
      </c>
      <c r="G1340" s="197">
        <f>Tabla110[[#This Row],[Importe]]-Tabla110[[#This Row],[Pagado]]</f>
        <v>0</v>
      </c>
      <c r="H1340" s="194" t="s">
        <v>10</v>
      </c>
    </row>
    <row r="1341" spans="1:8" x14ac:dyDescent="0.25">
      <c r="A1341" s="127">
        <v>44816</v>
      </c>
      <c r="B1341" s="128" t="s">
        <v>29403</v>
      </c>
      <c r="C1341" s="194" t="s">
        <v>146</v>
      </c>
      <c r="D1341" s="195">
        <v>2233.8000000000002</v>
      </c>
      <c r="E1341" s="196">
        <v>44817</v>
      </c>
      <c r="F1341" s="195">
        <v>2233.8000000000002</v>
      </c>
      <c r="G1341" s="197">
        <f>Tabla110[[#This Row],[Importe]]-Tabla110[[#This Row],[Pagado]]</f>
        <v>0</v>
      </c>
      <c r="H1341" s="194" t="s">
        <v>10</v>
      </c>
    </row>
    <row r="1342" spans="1:8" x14ac:dyDescent="0.25">
      <c r="A1342" s="127">
        <v>44816</v>
      </c>
      <c r="B1342" s="128" t="s">
        <v>29404</v>
      </c>
      <c r="C1342" s="194" t="s">
        <v>333</v>
      </c>
      <c r="D1342" s="195">
        <v>660</v>
      </c>
      <c r="E1342" s="196">
        <v>44817</v>
      </c>
      <c r="F1342" s="195">
        <v>660</v>
      </c>
      <c r="G1342" s="197">
        <f>Tabla110[[#This Row],[Importe]]-Tabla110[[#This Row],[Pagado]]</f>
        <v>0</v>
      </c>
      <c r="H1342" s="194" t="s">
        <v>10</v>
      </c>
    </row>
    <row r="1343" spans="1:8" x14ac:dyDescent="0.25">
      <c r="A1343" s="127">
        <v>44816</v>
      </c>
      <c r="B1343" s="128" t="s">
        <v>29405</v>
      </c>
      <c r="C1343" s="194" t="s">
        <v>142</v>
      </c>
      <c r="D1343" s="195">
        <v>6858</v>
      </c>
      <c r="E1343" s="196">
        <v>44848</v>
      </c>
      <c r="F1343" s="195">
        <v>6858</v>
      </c>
      <c r="G1343" s="197">
        <f>Tabla110[[#This Row],[Importe]]-Tabla110[[#This Row],[Pagado]]</f>
        <v>0</v>
      </c>
      <c r="H1343" s="194" t="s">
        <v>10</v>
      </c>
    </row>
    <row r="1344" spans="1:8" x14ac:dyDescent="0.25">
      <c r="A1344" s="127">
        <v>44816</v>
      </c>
      <c r="B1344" s="128" t="s">
        <v>29406</v>
      </c>
      <c r="C1344" s="194" t="s">
        <v>664</v>
      </c>
      <c r="D1344" s="195">
        <v>3075</v>
      </c>
      <c r="E1344" s="196">
        <v>44817</v>
      </c>
      <c r="F1344" s="195">
        <v>3075</v>
      </c>
      <c r="G1344" s="197">
        <f>Tabla110[[#This Row],[Importe]]-Tabla110[[#This Row],[Pagado]]</f>
        <v>0</v>
      </c>
      <c r="H1344" s="194" t="s">
        <v>10</v>
      </c>
    </row>
    <row r="1345" spans="1:8" x14ac:dyDescent="0.25">
      <c r="A1345" s="127">
        <v>44816</v>
      </c>
      <c r="B1345" s="128" t="s">
        <v>29407</v>
      </c>
      <c r="C1345" s="194" t="s">
        <v>144</v>
      </c>
      <c r="D1345" s="195">
        <v>3400</v>
      </c>
      <c r="E1345" s="196">
        <v>44817</v>
      </c>
      <c r="F1345" s="195">
        <v>3400</v>
      </c>
      <c r="G1345" s="197">
        <f>Tabla110[[#This Row],[Importe]]-Tabla110[[#This Row],[Pagado]]</f>
        <v>0</v>
      </c>
      <c r="H1345" s="194" t="s">
        <v>10</v>
      </c>
    </row>
    <row r="1346" spans="1:8" x14ac:dyDescent="0.25">
      <c r="A1346" s="127">
        <v>44816</v>
      </c>
      <c r="B1346" s="128" t="s">
        <v>29408</v>
      </c>
      <c r="C1346" s="194" t="s">
        <v>133</v>
      </c>
      <c r="D1346" s="195">
        <v>14673</v>
      </c>
      <c r="E1346" s="196">
        <v>44817</v>
      </c>
      <c r="F1346" s="195">
        <v>14673</v>
      </c>
      <c r="G1346" s="197">
        <f>Tabla110[[#This Row],[Importe]]-Tabla110[[#This Row],[Pagado]]</f>
        <v>0</v>
      </c>
      <c r="H1346" s="194" t="s">
        <v>10</v>
      </c>
    </row>
    <row r="1347" spans="1:8" x14ac:dyDescent="0.25">
      <c r="A1347" s="127">
        <v>44816</v>
      </c>
      <c r="B1347" s="128" t="s">
        <v>29409</v>
      </c>
      <c r="C1347" s="194" t="s">
        <v>214</v>
      </c>
      <c r="D1347" s="195">
        <v>7537.5</v>
      </c>
      <c r="E1347" s="196">
        <v>44817</v>
      </c>
      <c r="F1347" s="195">
        <v>7537.5</v>
      </c>
      <c r="G1347" s="197">
        <f>Tabla110[[#This Row],[Importe]]-Tabla110[[#This Row],[Pagado]]</f>
        <v>0</v>
      </c>
      <c r="H1347" s="194" t="s">
        <v>10</v>
      </c>
    </row>
    <row r="1348" spans="1:8" x14ac:dyDescent="0.25">
      <c r="A1348" s="127">
        <v>44816</v>
      </c>
      <c r="B1348" s="128" t="s">
        <v>29410</v>
      </c>
      <c r="C1348" s="194" t="s">
        <v>273</v>
      </c>
      <c r="D1348" s="195">
        <v>2892</v>
      </c>
      <c r="E1348" s="196">
        <v>44816</v>
      </c>
      <c r="F1348" s="195">
        <v>2892</v>
      </c>
      <c r="G1348" s="197">
        <f>Tabla110[[#This Row],[Importe]]-Tabla110[[#This Row],[Pagado]]</f>
        <v>0</v>
      </c>
      <c r="H1348" s="194" t="s">
        <v>10</v>
      </c>
    </row>
    <row r="1349" spans="1:8" x14ac:dyDescent="0.25">
      <c r="A1349" s="127">
        <v>44816</v>
      </c>
      <c r="B1349" s="128" t="s">
        <v>29411</v>
      </c>
      <c r="C1349" s="194" t="s">
        <v>1644</v>
      </c>
      <c r="D1349" s="195">
        <v>15656</v>
      </c>
      <c r="E1349" s="196">
        <v>44817</v>
      </c>
      <c r="F1349" s="195">
        <v>15656</v>
      </c>
      <c r="G1349" s="197">
        <f>Tabla110[[#This Row],[Importe]]-Tabla110[[#This Row],[Pagado]]</f>
        <v>0</v>
      </c>
      <c r="H1349" s="194" t="s">
        <v>10</v>
      </c>
    </row>
    <row r="1350" spans="1:8" x14ac:dyDescent="0.25">
      <c r="A1350" s="127">
        <v>44816</v>
      </c>
      <c r="B1350" s="128" t="s">
        <v>29412</v>
      </c>
      <c r="C1350" s="194" t="s">
        <v>314</v>
      </c>
      <c r="D1350" s="195">
        <v>1883.4</v>
      </c>
      <c r="E1350" s="196">
        <v>44817</v>
      </c>
      <c r="F1350" s="195">
        <v>1883.4</v>
      </c>
      <c r="G1350" s="197">
        <f>Tabla110[[#This Row],[Importe]]-Tabla110[[#This Row],[Pagado]]</f>
        <v>0</v>
      </c>
      <c r="H1350" s="194" t="s">
        <v>10</v>
      </c>
    </row>
    <row r="1351" spans="1:8" x14ac:dyDescent="0.25">
      <c r="A1351" s="127">
        <v>44816</v>
      </c>
      <c r="B1351" s="128" t="s">
        <v>29413</v>
      </c>
      <c r="C1351" s="194" t="s">
        <v>592</v>
      </c>
      <c r="D1351" s="195">
        <v>40014.5</v>
      </c>
      <c r="E1351" s="196">
        <v>44828</v>
      </c>
      <c r="F1351" s="195">
        <v>40014.5</v>
      </c>
      <c r="G1351" s="197">
        <f>Tabla110[[#This Row],[Importe]]-Tabla110[[#This Row],[Pagado]]</f>
        <v>0</v>
      </c>
      <c r="H1351" s="194" t="s">
        <v>10</v>
      </c>
    </row>
    <row r="1352" spans="1:8" x14ac:dyDescent="0.25">
      <c r="A1352" s="127">
        <v>44816</v>
      </c>
      <c r="B1352" s="128" t="s">
        <v>29414</v>
      </c>
      <c r="C1352" s="194" t="s">
        <v>1362</v>
      </c>
      <c r="D1352" s="195">
        <v>16344.8</v>
      </c>
      <c r="E1352" s="196">
        <v>44817</v>
      </c>
      <c r="F1352" s="195">
        <v>16344.8</v>
      </c>
      <c r="G1352" s="197">
        <f>Tabla110[[#This Row],[Importe]]-Tabla110[[#This Row],[Pagado]]</f>
        <v>0</v>
      </c>
      <c r="H1352" s="194" t="s">
        <v>10</v>
      </c>
    </row>
    <row r="1353" spans="1:8" x14ac:dyDescent="0.25">
      <c r="A1353" s="127">
        <v>44816</v>
      </c>
      <c r="B1353" s="128" t="s">
        <v>29415</v>
      </c>
      <c r="C1353" s="194" t="s">
        <v>450</v>
      </c>
      <c r="D1353" s="195">
        <v>8487</v>
      </c>
      <c r="E1353" s="196">
        <v>44816</v>
      </c>
      <c r="F1353" s="195">
        <v>8487</v>
      </c>
      <c r="G1353" s="197">
        <f>Tabla110[[#This Row],[Importe]]-Tabla110[[#This Row],[Pagado]]</f>
        <v>0</v>
      </c>
      <c r="H1353" s="194" t="s">
        <v>10</v>
      </c>
    </row>
    <row r="1354" spans="1:8" x14ac:dyDescent="0.25">
      <c r="A1354" s="127">
        <v>44816</v>
      </c>
      <c r="B1354" s="128" t="s">
        <v>29416</v>
      </c>
      <c r="C1354" s="194" t="s">
        <v>27154</v>
      </c>
      <c r="D1354" s="195">
        <v>15120</v>
      </c>
      <c r="E1354" s="196">
        <v>44817</v>
      </c>
      <c r="F1354" s="195">
        <v>15120</v>
      </c>
      <c r="G1354" s="197">
        <f>Tabla110[[#This Row],[Importe]]-Tabla110[[#This Row],[Pagado]]</f>
        <v>0</v>
      </c>
      <c r="H1354" s="194" t="s">
        <v>10</v>
      </c>
    </row>
    <row r="1355" spans="1:8" x14ac:dyDescent="0.25">
      <c r="A1355" s="127">
        <v>44816</v>
      </c>
      <c r="B1355" s="128" t="s">
        <v>29417</v>
      </c>
      <c r="C1355" s="194" t="s">
        <v>291</v>
      </c>
      <c r="D1355" s="195">
        <v>4561.6000000000004</v>
      </c>
      <c r="E1355" s="196">
        <v>44817</v>
      </c>
      <c r="F1355" s="195">
        <v>4561.6000000000004</v>
      </c>
      <c r="G1355" s="197">
        <f>Tabla110[[#This Row],[Importe]]-Tabla110[[#This Row],[Pagado]]</f>
        <v>0</v>
      </c>
      <c r="H1355" s="194" t="s">
        <v>10</v>
      </c>
    </row>
    <row r="1356" spans="1:8" x14ac:dyDescent="0.25">
      <c r="A1356" s="127">
        <v>44816</v>
      </c>
      <c r="B1356" s="128" t="s">
        <v>29418</v>
      </c>
      <c r="C1356" s="194" t="s">
        <v>31</v>
      </c>
      <c r="D1356" s="195">
        <v>5977.8</v>
      </c>
      <c r="E1356" s="196">
        <v>44816</v>
      </c>
      <c r="F1356" s="195">
        <v>5977.8</v>
      </c>
      <c r="G1356" s="197">
        <f>Tabla110[[#This Row],[Importe]]-Tabla110[[#This Row],[Pagado]]</f>
        <v>0</v>
      </c>
      <c r="H1356" s="194" t="s">
        <v>10</v>
      </c>
    </row>
    <row r="1357" spans="1:8" x14ac:dyDescent="0.25">
      <c r="A1357" s="127">
        <v>44816</v>
      </c>
      <c r="B1357" s="128" t="s">
        <v>29419</v>
      </c>
      <c r="C1357" s="194" t="s">
        <v>31</v>
      </c>
      <c r="D1357" s="195">
        <v>4147.2</v>
      </c>
      <c r="E1357" s="196">
        <v>44816</v>
      </c>
      <c r="F1357" s="195">
        <v>4147.2</v>
      </c>
      <c r="G1357" s="197">
        <f>Tabla110[[#This Row],[Importe]]-Tabla110[[#This Row],[Pagado]]</f>
        <v>0</v>
      </c>
      <c r="H1357" s="194" t="s">
        <v>10</v>
      </c>
    </row>
    <row r="1358" spans="1:8" x14ac:dyDescent="0.25">
      <c r="A1358" s="127">
        <v>44816</v>
      </c>
      <c r="B1358" s="128" t="s">
        <v>29420</v>
      </c>
      <c r="C1358" s="194" t="s">
        <v>9827</v>
      </c>
      <c r="D1358" s="195">
        <v>3095.2</v>
      </c>
      <c r="E1358" s="196">
        <v>44816</v>
      </c>
      <c r="F1358" s="195">
        <v>3095.2</v>
      </c>
      <c r="G1358" s="197">
        <f>Tabla110[[#This Row],[Importe]]-Tabla110[[#This Row],[Pagado]]</f>
        <v>0</v>
      </c>
      <c r="H1358" s="194" t="s">
        <v>10</v>
      </c>
    </row>
    <row r="1359" spans="1:8" x14ac:dyDescent="0.25">
      <c r="A1359" s="127">
        <v>44816</v>
      </c>
      <c r="B1359" s="128" t="s">
        <v>29421</v>
      </c>
      <c r="C1359" s="194" t="s">
        <v>107</v>
      </c>
      <c r="D1359" s="195">
        <v>16727.5</v>
      </c>
      <c r="E1359" s="196">
        <v>44816</v>
      </c>
      <c r="F1359" s="195">
        <v>16727.5</v>
      </c>
      <c r="G1359" s="197">
        <f>Tabla110[[#This Row],[Importe]]-Tabla110[[#This Row],[Pagado]]</f>
        <v>0</v>
      </c>
      <c r="H1359" s="194" t="s">
        <v>10</v>
      </c>
    </row>
    <row r="1360" spans="1:8" x14ac:dyDescent="0.25">
      <c r="A1360" s="127">
        <v>44816</v>
      </c>
      <c r="B1360" s="128" t="s">
        <v>29422</v>
      </c>
      <c r="C1360" s="194" t="s">
        <v>28087</v>
      </c>
      <c r="D1360" s="195">
        <v>182984.22</v>
      </c>
      <c r="E1360" s="196">
        <v>44893</v>
      </c>
      <c r="F1360" s="195">
        <v>182984.22</v>
      </c>
      <c r="G1360" s="197">
        <f>Tabla110[[#This Row],[Importe]]-Tabla110[[#This Row],[Pagado]]</f>
        <v>0</v>
      </c>
      <c r="H1360" s="78" t="s">
        <v>17776</v>
      </c>
    </row>
    <row r="1361" spans="1:8" x14ac:dyDescent="0.25">
      <c r="A1361" s="127">
        <v>44816</v>
      </c>
      <c r="B1361" s="128" t="s">
        <v>29423</v>
      </c>
      <c r="C1361" s="194" t="s">
        <v>31</v>
      </c>
      <c r="D1361" s="195">
        <v>1398.4</v>
      </c>
      <c r="E1361" s="196">
        <v>44816</v>
      </c>
      <c r="F1361" s="195">
        <v>1398.4</v>
      </c>
      <c r="G1361" s="197">
        <f>Tabla110[[#This Row],[Importe]]-Tabla110[[#This Row],[Pagado]]</f>
        <v>0</v>
      </c>
      <c r="H1361" s="194" t="s">
        <v>10</v>
      </c>
    </row>
    <row r="1362" spans="1:8" x14ac:dyDescent="0.25">
      <c r="A1362" s="127">
        <v>44816</v>
      </c>
      <c r="B1362" s="128" t="s">
        <v>29424</v>
      </c>
      <c r="C1362" s="194" t="s">
        <v>440</v>
      </c>
      <c r="D1362" s="195">
        <v>10598.96</v>
      </c>
      <c r="E1362" s="196">
        <v>44828</v>
      </c>
      <c r="F1362" s="195">
        <v>10598.96</v>
      </c>
      <c r="G1362" s="197">
        <f>Tabla110[[#This Row],[Importe]]-Tabla110[[#This Row],[Pagado]]</f>
        <v>0</v>
      </c>
      <c r="H1362" s="194" t="s">
        <v>10</v>
      </c>
    </row>
    <row r="1363" spans="1:8" x14ac:dyDescent="0.25">
      <c r="A1363" s="127">
        <v>44816</v>
      </c>
      <c r="B1363" s="128" t="s">
        <v>29425</v>
      </c>
      <c r="C1363" s="194" t="s">
        <v>29426</v>
      </c>
      <c r="D1363" s="195">
        <v>0</v>
      </c>
      <c r="E1363" s="199" t="s">
        <v>189</v>
      </c>
      <c r="F1363" s="195">
        <v>0</v>
      </c>
      <c r="G1363" s="197">
        <f>Tabla110[[#This Row],[Importe]]-Tabla110[[#This Row],[Pagado]]</f>
        <v>0</v>
      </c>
      <c r="H1363" s="200" t="s">
        <v>29427</v>
      </c>
    </row>
    <row r="1364" spans="1:8" x14ac:dyDescent="0.25">
      <c r="A1364" s="127">
        <v>44816</v>
      </c>
      <c r="B1364" s="128" t="s">
        <v>29428</v>
      </c>
      <c r="C1364" s="194" t="s">
        <v>31</v>
      </c>
      <c r="D1364" s="195">
        <v>6500</v>
      </c>
      <c r="E1364" s="196">
        <v>44816</v>
      </c>
      <c r="F1364" s="195">
        <v>6500</v>
      </c>
      <c r="G1364" s="197">
        <f>Tabla110[[#This Row],[Importe]]-Tabla110[[#This Row],[Pagado]]</f>
        <v>0</v>
      </c>
      <c r="H1364" s="194" t="s">
        <v>10</v>
      </c>
    </row>
    <row r="1365" spans="1:8" x14ac:dyDescent="0.25">
      <c r="A1365" s="127">
        <v>44816</v>
      </c>
      <c r="B1365" s="128" t="s">
        <v>29429</v>
      </c>
      <c r="C1365" s="194" t="s">
        <v>29430</v>
      </c>
      <c r="D1365" s="195">
        <v>28080</v>
      </c>
      <c r="E1365" s="196">
        <v>44816</v>
      </c>
      <c r="F1365" s="195">
        <v>28080</v>
      </c>
      <c r="G1365" s="197">
        <f>Tabla110[[#This Row],[Importe]]-Tabla110[[#This Row],[Pagado]]</f>
        <v>0</v>
      </c>
      <c r="H1365" s="194" t="s">
        <v>10</v>
      </c>
    </row>
    <row r="1366" spans="1:8" x14ac:dyDescent="0.25">
      <c r="A1366" s="127">
        <v>44816</v>
      </c>
      <c r="B1366" s="128" t="s">
        <v>29431</v>
      </c>
      <c r="C1366" s="194" t="s">
        <v>53</v>
      </c>
      <c r="D1366" s="195">
        <v>3577.5</v>
      </c>
      <c r="E1366" s="196">
        <v>44816</v>
      </c>
      <c r="F1366" s="195">
        <v>3577.5</v>
      </c>
      <c r="G1366" s="197">
        <f>Tabla110[[#This Row],[Importe]]-Tabla110[[#This Row],[Pagado]]</f>
        <v>0</v>
      </c>
      <c r="H1366" s="194" t="s">
        <v>10</v>
      </c>
    </row>
    <row r="1367" spans="1:8" x14ac:dyDescent="0.25">
      <c r="A1367" s="127">
        <v>44816</v>
      </c>
      <c r="B1367" s="128" t="s">
        <v>29432</v>
      </c>
      <c r="C1367" s="194" t="s">
        <v>419</v>
      </c>
      <c r="D1367" s="195">
        <v>14639.5</v>
      </c>
      <c r="E1367" s="196">
        <v>44816</v>
      </c>
      <c r="F1367" s="195">
        <v>14639.5</v>
      </c>
      <c r="G1367" s="197">
        <f>Tabla110[[#This Row],[Importe]]-Tabla110[[#This Row],[Pagado]]</f>
        <v>0</v>
      </c>
      <c r="H1367" s="194" t="s">
        <v>10</v>
      </c>
    </row>
    <row r="1368" spans="1:8" x14ac:dyDescent="0.25">
      <c r="A1368" s="127">
        <v>44816</v>
      </c>
      <c r="B1368" s="128" t="s">
        <v>29433</v>
      </c>
      <c r="C1368" s="194" t="s">
        <v>5126</v>
      </c>
      <c r="D1368" s="195">
        <v>50919</v>
      </c>
      <c r="E1368" s="196">
        <v>44817</v>
      </c>
      <c r="F1368" s="195">
        <v>50919</v>
      </c>
      <c r="G1368" s="197">
        <f>Tabla110[[#This Row],[Importe]]-Tabla110[[#This Row],[Pagado]]</f>
        <v>0</v>
      </c>
      <c r="H1368" s="194" t="s">
        <v>10</v>
      </c>
    </row>
    <row r="1369" spans="1:8" x14ac:dyDescent="0.25">
      <c r="A1369" s="127">
        <v>44816</v>
      </c>
      <c r="B1369" s="128" t="s">
        <v>29434</v>
      </c>
      <c r="C1369" s="194" t="s">
        <v>149</v>
      </c>
      <c r="D1369" s="195">
        <v>1674</v>
      </c>
      <c r="E1369" s="196">
        <v>44816</v>
      </c>
      <c r="F1369" s="195">
        <v>1674</v>
      </c>
      <c r="G1369" s="197">
        <f>Tabla110[[#This Row],[Importe]]-Tabla110[[#This Row],[Pagado]]</f>
        <v>0</v>
      </c>
      <c r="H1369" s="194" t="s">
        <v>10</v>
      </c>
    </row>
    <row r="1370" spans="1:8" x14ac:dyDescent="0.25">
      <c r="A1370" s="127">
        <v>44816</v>
      </c>
      <c r="B1370" s="128" t="s">
        <v>29435</v>
      </c>
      <c r="C1370" s="194" t="s">
        <v>31</v>
      </c>
      <c r="D1370" s="195">
        <v>744.6</v>
      </c>
      <c r="E1370" s="196">
        <v>44816</v>
      </c>
      <c r="F1370" s="195">
        <v>744.6</v>
      </c>
      <c r="G1370" s="197">
        <f>Tabla110[[#This Row],[Importe]]-Tabla110[[#This Row],[Pagado]]</f>
        <v>0</v>
      </c>
      <c r="H1370" s="194" t="s">
        <v>10</v>
      </c>
    </row>
    <row r="1371" spans="1:8" x14ac:dyDescent="0.25">
      <c r="A1371" s="127">
        <v>44816</v>
      </c>
      <c r="B1371" s="128" t="s">
        <v>29436</v>
      </c>
      <c r="C1371" s="194" t="s">
        <v>28087</v>
      </c>
      <c r="D1371" s="195">
        <v>37341.25</v>
      </c>
      <c r="E1371" s="196">
        <v>44893</v>
      </c>
      <c r="F1371" s="195">
        <v>37341.25</v>
      </c>
      <c r="G1371" s="197">
        <f>Tabla110[[#This Row],[Importe]]-Tabla110[[#This Row],[Pagado]]</f>
        <v>0</v>
      </c>
      <c r="H1371" s="78" t="s">
        <v>17776</v>
      </c>
    </row>
    <row r="1372" spans="1:8" x14ac:dyDescent="0.25">
      <c r="A1372" s="127">
        <v>44816</v>
      </c>
      <c r="B1372" s="128" t="s">
        <v>29437</v>
      </c>
      <c r="C1372" s="194" t="s">
        <v>69</v>
      </c>
      <c r="D1372" s="195">
        <v>7738</v>
      </c>
      <c r="E1372" s="196">
        <v>44816</v>
      </c>
      <c r="F1372" s="195">
        <v>7738</v>
      </c>
      <c r="G1372" s="197">
        <f>Tabla110[[#This Row],[Importe]]-Tabla110[[#This Row],[Pagado]]</f>
        <v>0</v>
      </c>
      <c r="H1372" s="194" t="s">
        <v>10</v>
      </c>
    </row>
    <row r="1373" spans="1:8" x14ac:dyDescent="0.25">
      <c r="A1373" s="127">
        <v>44816</v>
      </c>
      <c r="B1373" s="128" t="s">
        <v>29438</v>
      </c>
      <c r="C1373" s="194" t="s">
        <v>5694</v>
      </c>
      <c r="D1373" s="195">
        <v>3854.4</v>
      </c>
      <c r="E1373" s="196">
        <v>44816</v>
      </c>
      <c r="F1373" s="195">
        <v>3854.4</v>
      </c>
      <c r="G1373" s="197">
        <f>Tabla110[[#This Row],[Importe]]-Tabla110[[#This Row],[Pagado]]</f>
        <v>0</v>
      </c>
      <c r="H1373" s="194" t="s">
        <v>10</v>
      </c>
    </row>
    <row r="1374" spans="1:8" x14ac:dyDescent="0.25">
      <c r="A1374" s="127">
        <v>44816</v>
      </c>
      <c r="B1374" s="128" t="s">
        <v>29439</v>
      </c>
      <c r="C1374" s="194" t="s">
        <v>414</v>
      </c>
      <c r="D1374" s="195">
        <v>9.39</v>
      </c>
      <c r="E1374" s="196">
        <v>44825</v>
      </c>
      <c r="F1374" s="195">
        <v>9.39</v>
      </c>
      <c r="G1374" s="197">
        <f>Tabla110[[#This Row],[Importe]]-Tabla110[[#This Row],[Pagado]]</f>
        <v>0</v>
      </c>
      <c r="H1374" s="194" t="s">
        <v>10</v>
      </c>
    </row>
    <row r="1375" spans="1:8" x14ac:dyDescent="0.25">
      <c r="A1375" s="127">
        <v>44816</v>
      </c>
      <c r="B1375" s="128" t="s">
        <v>29440</v>
      </c>
      <c r="C1375" s="194" t="s">
        <v>670</v>
      </c>
      <c r="D1375" s="195">
        <v>4701.2</v>
      </c>
      <c r="E1375" s="196">
        <v>44816</v>
      </c>
      <c r="F1375" s="195">
        <v>4701.2</v>
      </c>
      <c r="G1375" s="197">
        <f>Tabla110[[#This Row],[Importe]]-Tabla110[[#This Row],[Pagado]]</f>
        <v>0</v>
      </c>
      <c r="H1375" s="194" t="s">
        <v>10</v>
      </c>
    </row>
    <row r="1376" spans="1:8" x14ac:dyDescent="0.25">
      <c r="A1376" s="127">
        <v>44816</v>
      </c>
      <c r="B1376" s="128" t="s">
        <v>29441</v>
      </c>
      <c r="C1376" s="194" t="s">
        <v>31</v>
      </c>
      <c r="D1376" s="195">
        <v>7500</v>
      </c>
      <c r="E1376" s="196">
        <v>44816</v>
      </c>
      <c r="F1376" s="195">
        <v>7500</v>
      </c>
      <c r="G1376" s="197">
        <f>Tabla110[[#This Row],[Importe]]-Tabla110[[#This Row],[Pagado]]</f>
        <v>0</v>
      </c>
      <c r="H1376" s="194" t="s">
        <v>10</v>
      </c>
    </row>
    <row r="1377" spans="1:8" ht="31.5" x14ac:dyDescent="0.25">
      <c r="A1377" s="127">
        <v>44816</v>
      </c>
      <c r="B1377" s="128" t="s">
        <v>29442</v>
      </c>
      <c r="C1377" s="194" t="s">
        <v>10840</v>
      </c>
      <c r="D1377" s="195">
        <v>47540.7</v>
      </c>
      <c r="E1377" s="198" t="s">
        <v>31540</v>
      </c>
      <c r="F1377" s="195">
        <f>39000+8540.7</f>
        <v>47540.7</v>
      </c>
      <c r="G1377" s="197">
        <f>Tabla110[[#This Row],[Importe]]-Tabla110[[#This Row],[Pagado]]</f>
        <v>0</v>
      </c>
      <c r="H1377" s="194" t="s">
        <v>10</v>
      </c>
    </row>
    <row r="1378" spans="1:8" x14ac:dyDescent="0.25">
      <c r="A1378" s="127">
        <v>44816</v>
      </c>
      <c r="B1378" s="128" t="s">
        <v>29443</v>
      </c>
      <c r="C1378" s="194" t="s">
        <v>459</v>
      </c>
      <c r="D1378" s="195">
        <v>384</v>
      </c>
      <c r="E1378" s="196">
        <v>44816</v>
      </c>
      <c r="F1378" s="195">
        <v>384</v>
      </c>
      <c r="G1378" s="197">
        <f>Tabla110[[#This Row],[Importe]]-Tabla110[[#This Row],[Pagado]]</f>
        <v>0</v>
      </c>
      <c r="H1378" s="194" t="s">
        <v>10</v>
      </c>
    </row>
    <row r="1379" spans="1:8" x14ac:dyDescent="0.25">
      <c r="A1379" s="127">
        <v>44816</v>
      </c>
      <c r="B1379" s="128" t="s">
        <v>29444</v>
      </c>
      <c r="C1379" s="194" t="s">
        <v>463</v>
      </c>
      <c r="D1379" s="195">
        <v>550</v>
      </c>
      <c r="E1379" s="196">
        <v>44817</v>
      </c>
      <c r="F1379" s="195">
        <v>550</v>
      </c>
      <c r="G1379" s="197">
        <f>Tabla110[[#This Row],[Importe]]-Tabla110[[#This Row],[Pagado]]</f>
        <v>0</v>
      </c>
      <c r="H1379" s="194" t="s">
        <v>10</v>
      </c>
    </row>
    <row r="1380" spans="1:8" x14ac:dyDescent="0.25">
      <c r="A1380" s="127">
        <v>44816</v>
      </c>
      <c r="B1380" s="128" t="s">
        <v>29445</v>
      </c>
      <c r="C1380" s="194" t="s">
        <v>7745</v>
      </c>
      <c r="D1380" s="195">
        <v>23512</v>
      </c>
      <c r="E1380" s="196">
        <v>44816</v>
      </c>
      <c r="F1380" s="195">
        <v>23512</v>
      </c>
      <c r="G1380" s="197">
        <f>Tabla110[[#This Row],[Importe]]-Tabla110[[#This Row],[Pagado]]</f>
        <v>0</v>
      </c>
      <c r="H1380" s="194" t="s">
        <v>10</v>
      </c>
    </row>
    <row r="1381" spans="1:8" x14ac:dyDescent="0.25">
      <c r="A1381" s="127">
        <v>44816</v>
      </c>
      <c r="B1381" s="128" t="s">
        <v>29446</v>
      </c>
      <c r="C1381" s="194" t="s">
        <v>31</v>
      </c>
      <c r="D1381" s="195">
        <v>87.5</v>
      </c>
      <c r="E1381" s="196">
        <v>44816</v>
      </c>
      <c r="F1381" s="195">
        <v>87.5</v>
      </c>
      <c r="G1381" s="197">
        <f>Tabla110[[#This Row],[Importe]]-Tabla110[[#This Row],[Pagado]]</f>
        <v>0</v>
      </c>
      <c r="H1381" s="194" t="s">
        <v>10</v>
      </c>
    </row>
    <row r="1382" spans="1:8" x14ac:dyDescent="0.25">
      <c r="A1382" s="127">
        <v>44816</v>
      </c>
      <c r="B1382" s="128" t="s">
        <v>29447</v>
      </c>
      <c r="C1382" s="194" t="s">
        <v>173</v>
      </c>
      <c r="D1382" s="195">
        <v>31164</v>
      </c>
      <c r="E1382" s="196">
        <v>44817</v>
      </c>
      <c r="F1382" s="195">
        <v>31164</v>
      </c>
      <c r="G1382" s="197">
        <f>Tabla110[[#This Row],[Importe]]-Tabla110[[#This Row],[Pagado]]</f>
        <v>0</v>
      </c>
      <c r="H1382" s="194" t="s">
        <v>10</v>
      </c>
    </row>
    <row r="1383" spans="1:8" x14ac:dyDescent="0.25">
      <c r="A1383" s="127">
        <v>44817</v>
      </c>
      <c r="B1383" s="128" t="s">
        <v>29448</v>
      </c>
      <c r="C1383" s="194" t="s">
        <v>887</v>
      </c>
      <c r="D1383" s="195">
        <v>18579</v>
      </c>
      <c r="E1383" s="196">
        <v>44817</v>
      </c>
      <c r="F1383" s="195">
        <v>18579</v>
      </c>
      <c r="G1383" s="197">
        <f>Tabla110[[#This Row],[Importe]]-Tabla110[[#This Row],[Pagado]]</f>
        <v>0</v>
      </c>
      <c r="H1383" s="194" t="s">
        <v>10</v>
      </c>
    </row>
    <row r="1384" spans="1:8" ht="31.5" x14ac:dyDescent="0.25">
      <c r="A1384" s="127">
        <v>44817</v>
      </c>
      <c r="B1384" s="128" t="s">
        <v>29449</v>
      </c>
      <c r="C1384" s="194" t="s">
        <v>12</v>
      </c>
      <c r="D1384" s="195">
        <v>32497.1</v>
      </c>
      <c r="E1384" s="198" t="s">
        <v>29111</v>
      </c>
      <c r="F1384" s="195">
        <f>7560+24937.1</f>
        <v>32497.1</v>
      </c>
      <c r="G1384" s="197">
        <f>Tabla110[[#This Row],[Importe]]-Tabla110[[#This Row],[Pagado]]</f>
        <v>0</v>
      </c>
      <c r="H1384" s="194" t="s">
        <v>10</v>
      </c>
    </row>
    <row r="1385" spans="1:8" x14ac:dyDescent="0.25">
      <c r="A1385" s="127">
        <v>44817</v>
      </c>
      <c r="B1385" s="128" t="s">
        <v>29450</v>
      </c>
      <c r="C1385" s="194" t="s">
        <v>887</v>
      </c>
      <c r="D1385" s="195">
        <v>2556</v>
      </c>
      <c r="E1385" s="196">
        <v>44817</v>
      </c>
      <c r="F1385" s="195">
        <v>2556</v>
      </c>
      <c r="G1385" s="197">
        <f>Tabla110[[#This Row],[Importe]]-Tabla110[[#This Row],[Pagado]]</f>
        <v>0</v>
      </c>
      <c r="H1385" s="194" t="s">
        <v>10</v>
      </c>
    </row>
    <row r="1386" spans="1:8" x14ac:dyDescent="0.25">
      <c r="A1386" s="127">
        <v>44817</v>
      </c>
      <c r="B1386" s="128" t="s">
        <v>29451</v>
      </c>
      <c r="C1386" s="194" t="s">
        <v>475</v>
      </c>
      <c r="D1386" s="195">
        <v>86151.4</v>
      </c>
      <c r="E1386" s="196">
        <v>44819</v>
      </c>
      <c r="F1386" s="195">
        <v>86151.4</v>
      </c>
      <c r="G1386" s="197">
        <f>Tabla110[[#This Row],[Importe]]-Tabla110[[#This Row],[Pagado]]</f>
        <v>0</v>
      </c>
      <c r="H1386" s="194" t="s">
        <v>10</v>
      </c>
    </row>
    <row r="1387" spans="1:8" x14ac:dyDescent="0.25">
      <c r="A1387" s="127">
        <v>44817</v>
      </c>
      <c r="B1387" s="128" t="s">
        <v>29452</v>
      </c>
      <c r="C1387" s="194" t="s">
        <v>1187</v>
      </c>
      <c r="D1387" s="195">
        <v>2729.5</v>
      </c>
      <c r="E1387" s="196">
        <v>44817</v>
      </c>
      <c r="F1387" s="195">
        <v>2729.5</v>
      </c>
      <c r="G1387" s="197">
        <f>Tabla110[[#This Row],[Importe]]-Tabla110[[#This Row],[Pagado]]</f>
        <v>0</v>
      </c>
      <c r="H1387" s="194" t="s">
        <v>10</v>
      </c>
    </row>
    <row r="1388" spans="1:8" x14ac:dyDescent="0.25">
      <c r="A1388" s="127">
        <v>44817</v>
      </c>
      <c r="B1388" s="128" t="s">
        <v>29453</v>
      </c>
      <c r="C1388" s="194" t="s">
        <v>353</v>
      </c>
      <c r="D1388" s="195">
        <v>1653.2</v>
      </c>
      <c r="E1388" s="196">
        <v>44817</v>
      </c>
      <c r="F1388" s="195">
        <v>1653.2</v>
      </c>
      <c r="G1388" s="197">
        <f>Tabla110[[#This Row],[Importe]]-Tabla110[[#This Row],[Pagado]]</f>
        <v>0</v>
      </c>
      <c r="H1388" s="194" t="s">
        <v>10</v>
      </c>
    </row>
    <row r="1389" spans="1:8" x14ac:dyDescent="0.25">
      <c r="A1389" s="127">
        <v>44817</v>
      </c>
      <c r="B1389" s="128" t="s">
        <v>29454</v>
      </c>
      <c r="C1389" s="194" t="s">
        <v>353</v>
      </c>
      <c r="D1389" s="195">
        <v>486</v>
      </c>
      <c r="E1389" s="196">
        <v>44817</v>
      </c>
      <c r="F1389" s="195">
        <v>486</v>
      </c>
      <c r="G1389" s="197">
        <f>Tabla110[[#This Row],[Importe]]-Tabla110[[#This Row],[Pagado]]</f>
        <v>0</v>
      </c>
      <c r="H1389" s="194" t="s">
        <v>10</v>
      </c>
    </row>
    <row r="1390" spans="1:8" x14ac:dyDescent="0.25">
      <c r="A1390" s="127">
        <v>44817</v>
      </c>
      <c r="B1390" s="128" t="s">
        <v>29455</v>
      </c>
      <c r="C1390" s="194" t="s">
        <v>31</v>
      </c>
      <c r="D1390" s="195">
        <v>4884.3</v>
      </c>
      <c r="E1390" s="196">
        <v>44817</v>
      </c>
      <c r="F1390" s="195">
        <v>4884.3</v>
      </c>
      <c r="G1390" s="197">
        <f>Tabla110[[#This Row],[Importe]]-Tabla110[[#This Row],[Pagado]]</f>
        <v>0</v>
      </c>
      <c r="H1390" s="194" t="s">
        <v>10</v>
      </c>
    </row>
    <row r="1391" spans="1:8" x14ac:dyDescent="0.25">
      <c r="A1391" s="127">
        <v>44817</v>
      </c>
      <c r="B1391" s="128" t="s">
        <v>29456</v>
      </c>
      <c r="C1391" s="194" t="s">
        <v>31</v>
      </c>
      <c r="D1391" s="195">
        <v>70</v>
      </c>
      <c r="E1391" s="196">
        <v>44817</v>
      </c>
      <c r="F1391" s="195">
        <v>70</v>
      </c>
      <c r="G1391" s="197">
        <f>Tabla110[[#This Row],[Importe]]-Tabla110[[#This Row],[Pagado]]</f>
        <v>0</v>
      </c>
      <c r="H1391" s="194" t="s">
        <v>10</v>
      </c>
    </row>
    <row r="1392" spans="1:8" x14ac:dyDescent="0.25">
      <c r="A1392" s="127">
        <v>44817</v>
      </c>
      <c r="B1392" s="128" t="s">
        <v>29457</v>
      </c>
      <c r="C1392" s="194" t="s">
        <v>918</v>
      </c>
      <c r="D1392" s="195">
        <v>976</v>
      </c>
      <c r="E1392" s="196">
        <v>44818</v>
      </c>
      <c r="F1392" s="195">
        <v>976</v>
      </c>
      <c r="G1392" s="197">
        <f>Tabla110[[#This Row],[Importe]]-Tabla110[[#This Row],[Pagado]]</f>
        <v>0</v>
      </c>
      <c r="H1392" s="194" t="s">
        <v>10</v>
      </c>
    </row>
    <row r="1393" spans="1:8" x14ac:dyDescent="0.25">
      <c r="A1393" s="127">
        <v>44817</v>
      </c>
      <c r="B1393" s="128" t="s">
        <v>29458</v>
      </c>
      <c r="C1393" s="194" t="s">
        <v>16</v>
      </c>
      <c r="D1393" s="195">
        <v>6012.4</v>
      </c>
      <c r="E1393" s="196">
        <v>44817</v>
      </c>
      <c r="F1393" s="195">
        <v>6012.4</v>
      </c>
      <c r="G1393" s="197">
        <f>Tabla110[[#This Row],[Importe]]-Tabla110[[#This Row],[Pagado]]</f>
        <v>0</v>
      </c>
      <c r="H1393" s="194" t="s">
        <v>10</v>
      </c>
    </row>
    <row r="1394" spans="1:8" x14ac:dyDescent="0.25">
      <c r="A1394" s="127">
        <v>44817</v>
      </c>
      <c r="B1394" s="128" t="s">
        <v>29459</v>
      </c>
      <c r="C1394" s="194" t="s">
        <v>647</v>
      </c>
      <c r="D1394" s="195">
        <v>2378</v>
      </c>
      <c r="E1394" s="196">
        <v>44817</v>
      </c>
      <c r="F1394" s="195">
        <v>2378</v>
      </c>
      <c r="G1394" s="197">
        <f>Tabla110[[#This Row],[Importe]]-Tabla110[[#This Row],[Pagado]]</f>
        <v>0</v>
      </c>
      <c r="H1394" s="194" t="s">
        <v>10</v>
      </c>
    </row>
    <row r="1395" spans="1:8" x14ac:dyDescent="0.25">
      <c r="A1395" s="127">
        <v>44817</v>
      </c>
      <c r="B1395" s="128" t="s">
        <v>29460</v>
      </c>
      <c r="C1395" s="194" t="s">
        <v>647</v>
      </c>
      <c r="D1395" s="195">
        <v>441</v>
      </c>
      <c r="E1395" s="196">
        <v>44817</v>
      </c>
      <c r="F1395" s="195">
        <v>441</v>
      </c>
      <c r="G1395" s="197">
        <f>Tabla110[[#This Row],[Importe]]-Tabla110[[#This Row],[Pagado]]</f>
        <v>0</v>
      </c>
      <c r="H1395" s="194" t="s">
        <v>10</v>
      </c>
    </row>
    <row r="1396" spans="1:8" x14ac:dyDescent="0.25">
      <c r="A1396" s="127">
        <v>44817</v>
      </c>
      <c r="B1396" s="128" t="s">
        <v>29461</v>
      </c>
      <c r="C1396" s="194" t="s">
        <v>83</v>
      </c>
      <c r="D1396" s="195">
        <v>8256</v>
      </c>
      <c r="E1396" s="196">
        <v>44817</v>
      </c>
      <c r="F1396" s="195">
        <v>8256</v>
      </c>
      <c r="G1396" s="197">
        <f>Tabla110[[#This Row],[Importe]]-Tabla110[[#This Row],[Pagado]]</f>
        <v>0</v>
      </c>
      <c r="H1396" s="194" t="s">
        <v>10</v>
      </c>
    </row>
    <row r="1397" spans="1:8" x14ac:dyDescent="0.25">
      <c r="A1397" s="127">
        <v>44817</v>
      </c>
      <c r="B1397" s="128" t="s">
        <v>29462</v>
      </c>
      <c r="C1397" s="194" t="s">
        <v>87</v>
      </c>
      <c r="D1397" s="195">
        <v>3735</v>
      </c>
      <c r="E1397" s="196">
        <v>44817</v>
      </c>
      <c r="F1397" s="195">
        <v>3735</v>
      </c>
      <c r="G1397" s="197">
        <f>Tabla110[[#This Row],[Importe]]-Tabla110[[#This Row],[Pagado]]</f>
        <v>0</v>
      </c>
      <c r="H1397" s="194" t="s">
        <v>10</v>
      </c>
    </row>
    <row r="1398" spans="1:8" x14ac:dyDescent="0.25">
      <c r="A1398" s="127">
        <v>44817</v>
      </c>
      <c r="B1398" s="128" t="s">
        <v>29463</v>
      </c>
      <c r="C1398" s="194" t="s">
        <v>9</v>
      </c>
      <c r="D1398" s="195">
        <v>9800.9</v>
      </c>
      <c r="E1398" s="196">
        <v>44817</v>
      </c>
      <c r="F1398" s="195">
        <v>9800.9</v>
      </c>
      <c r="G1398" s="197">
        <f>Tabla110[[#This Row],[Importe]]-Tabla110[[#This Row],[Pagado]]</f>
        <v>0</v>
      </c>
      <c r="H1398" s="194" t="s">
        <v>10</v>
      </c>
    </row>
    <row r="1399" spans="1:8" x14ac:dyDescent="0.25">
      <c r="A1399" s="127">
        <v>44817</v>
      </c>
      <c r="B1399" s="128" t="s">
        <v>29464</v>
      </c>
      <c r="C1399" s="194" t="s">
        <v>481</v>
      </c>
      <c r="D1399" s="195">
        <v>2007.6</v>
      </c>
      <c r="E1399" s="196">
        <v>44817</v>
      </c>
      <c r="F1399" s="195">
        <v>2007.6</v>
      </c>
      <c r="G1399" s="197">
        <f>Tabla110[[#This Row],[Importe]]-Tabla110[[#This Row],[Pagado]]</f>
        <v>0</v>
      </c>
      <c r="H1399" s="194" t="s">
        <v>10</v>
      </c>
    </row>
    <row r="1400" spans="1:8" x14ac:dyDescent="0.25">
      <c r="A1400" s="127">
        <v>44817</v>
      </c>
      <c r="B1400" s="128" t="s">
        <v>29465</v>
      </c>
      <c r="C1400" s="194" t="s">
        <v>9415</v>
      </c>
      <c r="D1400" s="195">
        <v>20091.599999999999</v>
      </c>
      <c r="E1400" s="196">
        <v>44818</v>
      </c>
      <c r="F1400" s="195">
        <v>20091.599999999999</v>
      </c>
      <c r="G1400" s="197">
        <f>Tabla110[[#This Row],[Importe]]-Tabla110[[#This Row],[Pagado]]</f>
        <v>0</v>
      </c>
      <c r="H1400" s="194" t="s">
        <v>10</v>
      </c>
    </row>
    <row r="1401" spans="1:8" x14ac:dyDescent="0.25">
      <c r="A1401" s="127">
        <v>44817</v>
      </c>
      <c r="B1401" s="128" t="s">
        <v>29466</v>
      </c>
      <c r="C1401" s="194" t="s">
        <v>64</v>
      </c>
      <c r="D1401" s="195">
        <v>4897.2</v>
      </c>
      <c r="E1401" s="196">
        <v>44818</v>
      </c>
      <c r="F1401" s="195">
        <v>4897.2</v>
      </c>
      <c r="G1401" s="197">
        <f>Tabla110[[#This Row],[Importe]]-Tabla110[[#This Row],[Pagado]]</f>
        <v>0</v>
      </c>
      <c r="H1401" s="194" t="s">
        <v>10</v>
      </c>
    </row>
    <row r="1402" spans="1:8" x14ac:dyDescent="0.25">
      <c r="A1402" s="127">
        <v>44817</v>
      </c>
      <c r="B1402" s="128" t="s">
        <v>29467</v>
      </c>
      <c r="C1402" s="194" t="s">
        <v>109</v>
      </c>
      <c r="D1402" s="195">
        <v>10489.6</v>
      </c>
      <c r="E1402" s="196">
        <v>44818</v>
      </c>
      <c r="F1402" s="195">
        <v>10489.6</v>
      </c>
      <c r="G1402" s="197">
        <f>Tabla110[[#This Row],[Importe]]-Tabla110[[#This Row],[Pagado]]</f>
        <v>0</v>
      </c>
      <c r="H1402" s="194" t="s">
        <v>10</v>
      </c>
    </row>
    <row r="1403" spans="1:8" x14ac:dyDescent="0.25">
      <c r="A1403" s="127">
        <v>44817</v>
      </c>
      <c r="B1403" s="128" t="s">
        <v>29468</v>
      </c>
      <c r="C1403" s="194" t="s">
        <v>314</v>
      </c>
      <c r="D1403" s="195">
        <v>2323.6</v>
      </c>
      <c r="E1403" s="196">
        <v>44817</v>
      </c>
      <c r="F1403" s="195">
        <v>2323.6</v>
      </c>
      <c r="G1403" s="197">
        <f>Tabla110[[#This Row],[Importe]]-Tabla110[[#This Row],[Pagado]]</f>
        <v>0</v>
      </c>
      <c r="H1403" s="194" t="s">
        <v>10</v>
      </c>
    </row>
    <row r="1404" spans="1:8" x14ac:dyDescent="0.25">
      <c r="A1404" s="127">
        <v>44817</v>
      </c>
      <c r="B1404" s="128" t="s">
        <v>29469</v>
      </c>
      <c r="C1404" s="194" t="s">
        <v>2151</v>
      </c>
      <c r="D1404" s="195">
        <v>960</v>
      </c>
      <c r="E1404" s="196">
        <v>44817</v>
      </c>
      <c r="F1404" s="195">
        <v>960</v>
      </c>
      <c r="G1404" s="197">
        <f>Tabla110[[#This Row],[Importe]]-Tabla110[[#This Row],[Pagado]]</f>
        <v>0</v>
      </c>
      <c r="H1404" s="194" t="s">
        <v>10</v>
      </c>
    </row>
    <row r="1405" spans="1:8" x14ac:dyDescent="0.25">
      <c r="A1405" s="127">
        <v>44817</v>
      </c>
      <c r="B1405" s="128" t="s">
        <v>29470</v>
      </c>
      <c r="C1405" s="194" t="s">
        <v>27</v>
      </c>
      <c r="D1405" s="195">
        <v>3100.6</v>
      </c>
      <c r="E1405" s="196">
        <v>44817</v>
      </c>
      <c r="F1405" s="195">
        <v>3100.6</v>
      </c>
      <c r="G1405" s="197">
        <f>Tabla110[[#This Row],[Importe]]-Tabla110[[#This Row],[Pagado]]</f>
        <v>0</v>
      </c>
      <c r="H1405" s="194" t="s">
        <v>10</v>
      </c>
    </row>
    <row r="1406" spans="1:8" x14ac:dyDescent="0.25">
      <c r="A1406" s="127">
        <v>44817</v>
      </c>
      <c r="B1406" s="128" t="s">
        <v>29471</v>
      </c>
      <c r="C1406" s="194" t="s">
        <v>18133</v>
      </c>
      <c r="D1406" s="195">
        <v>0</v>
      </c>
      <c r="E1406" s="199" t="s">
        <v>189</v>
      </c>
      <c r="F1406" s="195">
        <v>0</v>
      </c>
      <c r="G1406" s="197">
        <f>Tabla110[[#This Row],[Importe]]-Tabla110[[#This Row],[Pagado]]</f>
        <v>0</v>
      </c>
      <c r="H1406" s="194" t="s">
        <v>189</v>
      </c>
    </row>
    <row r="1407" spans="1:8" x14ac:dyDescent="0.25">
      <c r="A1407" s="127">
        <v>44817</v>
      </c>
      <c r="B1407" s="128" t="s">
        <v>29472</v>
      </c>
      <c r="C1407" s="194" t="s">
        <v>97</v>
      </c>
      <c r="D1407" s="195">
        <v>5196.8</v>
      </c>
      <c r="E1407" s="196">
        <v>44818</v>
      </c>
      <c r="F1407" s="195">
        <v>5196.8</v>
      </c>
      <c r="G1407" s="197">
        <f>Tabla110[[#This Row],[Importe]]-Tabla110[[#This Row],[Pagado]]</f>
        <v>0</v>
      </c>
      <c r="H1407" s="194" t="s">
        <v>10</v>
      </c>
    </row>
    <row r="1408" spans="1:8" x14ac:dyDescent="0.25">
      <c r="A1408" s="127">
        <v>44817</v>
      </c>
      <c r="B1408" s="128" t="s">
        <v>29473</v>
      </c>
      <c r="C1408" s="194" t="s">
        <v>39</v>
      </c>
      <c r="D1408" s="195">
        <v>5504.4</v>
      </c>
      <c r="E1408" s="196">
        <v>44818</v>
      </c>
      <c r="F1408" s="195">
        <v>5504.4</v>
      </c>
      <c r="G1408" s="197">
        <f>Tabla110[[#This Row],[Importe]]-Tabla110[[#This Row],[Pagado]]</f>
        <v>0</v>
      </c>
      <c r="H1408" s="194" t="s">
        <v>10</v>
      </c>
    </row>
    <row r="1409" spans="1:8" x14ac:dyDescent="0.25">
      <c r="A1409" s="127">
        <v>44817</v>
      </c>
      <c r="B1409" s="128" t="s">
        <v>29474</v>
      </c>
      <c r="C1409" s="194" t="s">
        <v>111</v>
      </c>
      <c r="D1409" s="195">
        <v>4832</v>
      </c>
      <c r="E1409" s="196">
        <v>44818</v>
      </c>
      <c r="F1409" s="195">
        <v>4832</v>
      </c>
      <c r="G1409" s="197">
        <f>Tabla110[[#This Row],[Importe]]-Tabla110[[#This Row],[Pagado]]</f>
        <v>0</v>
      </c>
      <c r="H1409" s="194" t="s">
        <v>10</v>
      </c>
    </row>
    <row r="1410" spans="1:8" x14ac:dyDescent="0.25">
      <c r="A1410" s="127">
        <v>44817</v>
      </c>
      <c r="B1410" s="128" t="s">
        <v>29475</v>
      </c>
      <c r="C1410" s="194" t="s">
        <v>105</v>
      </c>
      <c r="D1410" s="195">
        <v>9572.5</v>
      </c>
      <c r="E1410" s="196">
        <v>44818</v>
      </c>
      <c r="F1410" s="195">
        <v>9572.5</v>
      </c>
      <c r="G1410" s="197">
        <f>Tabla110[[#This Row],[Importe]]-Tabla110[[#This Row],[Pagado]]</f>
        <v>0</v>
      </c>
      <c r="H1410" s="194" t="s">
        <v>10</v>
      </c>
    </row>
    <row r="1411" spans="1:8" ht="75" x14ac:dyDescent="0.25">
      <c r="A1411" s="127">
        <v>44817</v>
      </c>
      <c r="B1411" s="128" t="s">
        <v>29476</v>
      </c>
      <c r="C1411" s="194" t="s">
        <v>99</v>
      </c>
      <c r="D1411" s="195">
        <v>10878.1</v>
      </c>
      <c r="E1411" s="201" t="s">
        <v>29477</v>
      </c>
      <c r="F1411" s="195">
        <f>2200+2000+3000+2500+1178.1</f>
        <v>10878.1</v>
      </c>
      <c r="G1411" s="197">
        <f>Tabla110[[#This Row],[Importe]]-Tabla110[[#This Row],[Pagado]]</f>
        <v>0</v>
      </c>
      <c r="H1411" s="194" t="s">
        <v>10</v>
      </c>
    </row>
    <row r="1412" spans="1:8" x14ac:dyDescent="0.25">
      <c r="A1412" s="127">
        <v>44817</v>
      </c>
      <c r="B1412" s="128" t="s">
        <v>29478</v>
      </c>
      <c r="C1412" s="194" t="s">
        <v>93</v>
      </c>
      <c r="D1412" s="195">
        <v>10692.8</v>
      </c>
      <c r="E1412" s="196">
        <v>44821</v>
      </c>
      <c r="F1412" s="195">
        <v>10692.8</v>
      </c>
      <c r="G1412" s="197">
        <f>Tabla110[[#This Row],[Importe]]-Tabla110[[#This Row],[Pagado]]</f>
        <v>0</v>
      </c>
      <c r="H1412" s="194" t="s">
        <v>10</v>
      </c>
    </row>
    <row r="1413" spans="1:8" x14ac:dyDescent="0.25">
      <c r="A1413" s="127">
        <v>44817</v>
      </c>
      <c r="B1413" s="128" t="s">
        <v>29479</v>
      </c>
      <c r="C1413" s="194" t="s">
        <v>22</v>
      </c>
      <c r="D1413" s="195">
        <v>46355.199999999997</v>
      </c>
      <c r="E1413" s="196">
        <v>44818</v>
      </c>
      <c r="F1413" s="195">
        <v>46355.199999999997</v>
      </c>
      <c r="G1413" s="197">
        <f>Tabla110[[#This Row],[Importe]]-Tabla110[[#This Row],[Pagado]]</f>
        <v>0</v>
      </c>
      <c r="H1413" s="194" t="s">
        <v>10</v>
      </c>
    </row>
    <row r="1414" spans="1:8" x14ac:dyDescent="0.25">
      <c r="A1414" s="127">
        <v>44817</v>
      </c>
      <c r="B1414" s="128" t="s">
        <v>29480</v>
      </c>
      <c r="C1414" s="194" t="s">
        <v>17556</v>
      </c>
      <c r="D1414" s="195">
        <v>5558.2</v>
      </c>
      <c r="E1414" s="196">
        <v>44817</v>
      </c>
      <c r="F1414" s="195">
        <v>5558.2</v>
      </c>
      <c r="G1414" s="197">
        <f>Tabla110[[#This Row],[Importe]]-Tabla110[[#This Row],[Pagado]]</f>
        <v>0</v>
      </c>
      <c r="H1414" s="194" t="s">
        <v>10</v>
      </c>
    </row>
    <row r="1415" spans="1:8" x14ac:dyDescent="0.25">
      <c r="A1415" s="127">
        <v>44817</v>
      </c>
      <c r="B1415" s="128" t="s">
        <v>29481</v>
      </c>
      <c r="C1415" s="194" t="s">
        <v>348</v>
      </c>
      <c r="D1415" s="195">
        <v>13144.3</v>
      </c>
      <c r="E1415" s="196">
        <v>44817</v>
      </c>
      <c r="F1415" s="195">
        <v>13144.3</v>
      </c>
      <c r="G1415" s="197">
        <f>Tabla110[[#This Row],[Importe]]-Tabla110[[#This Row],[Pagado]]</f>
        <v>0</v>
      </c>
      <c r="H1415" s="194" t="s">
        <v>10</v>
      </c>
    </row>
    <row r="1416" spans="1:8" x14ac:dyDescent="0.25">
      <c r="A1416" s="127">
        <v>44817</v>
      </c>
      <c r="B1416" s="128" t="s">
        <v>29482</v>
      </c>
      <c r="C1416" s="194" t="s">
        <v>345</v>
      </c>
      <c r="D1416" s="195">
        <v>935.7</v>
      </c>
      <c r="E1416" s="196">
        <v>44817</v>
      </c>
      <c r="F1416" s="195">
        <v>935.7</v>
      </c>
      <c r="G1416" s="197">
        <f>Tabla110[[#This Row],[Importe]]-Tabla110[[#This Row],[Pagado]]</f>
        <v>0</v>
      </c>
      <c r="H1416" s="194" t="s">
        <v>10</v>
      </c>
    </row>
    <row r="1417" spans="1:8" x14ac:dyDescent="0.25">
      <c r="A1417" s="127">
        <v>44817</v>
      </c>
      <c r="B1417" s="128" t="s">
        <v>29483</v>
      </c>
      <c r="C1417" s="194" t="s">
        <v>804</v>
      </c>
      <c r="D1417" s="195">
        <v>22965.3</v>
      </c>
      <c r="E1417" s="196">
        <v>44817</v>
      </c>
      <c r="F1417" s="195">
        <v>22965.3</v>
      </c>
      <c r="G1417" s="197">
        <f>Tabla110[[#This Row],[Importe]]-Tabla110[[#This Row],[Pagado]]</f>
        <v>0</v>
      </c>
      <c r="H1417" s="194" t="s">
        <v>10</v>
      </c>
    </row>
    <row r="1418" spans="1:8" x14ac:dyDescent="0.25">
      <c r="A1418" s="127">
        <v>44817</v>
      </c>
      <c r="B1418" s="128" t="s">
        <v>29484</v>
      </c>
      <c r="C1418" s="194" t="s">
        <v>89</v>
      </c>
      <c r="D1418" s="195">
        <v>9068.7000000000007</v>
      </c>
      <c r="E1418" s="196">
        <v>44818</v>
      </c>
      <c r="F1418" s="195">
        <v>9068.7000000000007</v>
      </c>
      <c r="G1418" s="197">
        <f>Tabla110[[#This Row],[Importe]]-Tabla110[[#This Row],[Pagado]]</f>
        <v>0</v>
      </c>
      <c r="H1418" s="194" t="s">
        <v>10</v>
      </c>
    </row>
    <row r="1419" spans="1:8" x14ac:dyDescent="0.25">
      <c r="A1419" s="127">
        <v>44817</v>
      </c>
      <c r="B1419" s="128" t="s">
        <v>29485</v>
      </c>
      <c r="C1419" s="194" t="s">
        <v>131</v>
      </c>
      <c r="D1419" s="195">
        <v>3621</v>
      </c>
      <c r="E1419" s="196">
        <v>44817</v>
      </c>
      <c r="F1419" s="195">
        <v>3621</v>
      </c>
      <c r="G1419" s="197">
        <f>Tabla110[[#This Row],[Importe]]-Tabla110[[#This Row],[Pagado]]</f>
        <v>0</v>
      </c>
      <c r="H1419" s="194" t="s">
        <v>10</v>
      </c>
    </row>
    <row r="1420" spans="1:8" x14ac:dyDescent="0.25">
      <c r="A1420" s="127">
        <v>44817</v>
      </c>
      <c r="B1420" s="128" t="s">
        <v>29486</v>
      </c>
      <c r="C1420" s="194" t="s">
        <v>24</v>
      </c>
      <c r="D1420" s="195">
        <v>4878.2</v>
      </c>
      <c r="E1420" s="196">
        <v>44817</v>
      </c>
      <c r="F1420" s="195">
        <v>4878.2</v>
      </c>
      <c r="G1420" s="197">
        <f>Tabla110[[#This Row],[Importe]]-Tabla110[[#This Row],[Pagado]]</f>
        <v>0</v>
      </c>
      <c r="H1420" s="194" t="s">
        <v>10</v>
      </c>
    </row>
    <row r="1421" spans="1:8" x14ac:dyDescent="0.25">
      <c r="A1421" s="127">
        <v>44817</v>
      </c>
      <c r="B1421" s="128" t="s">
        <v>29487</v>
      </c>
      <c r="C1421" s="194" t="s">
        <v>466</v>
      </c>
      <c r="D1421" s="195">
        <v>24750</v>
      </c>
      <c r="E1421" s="196">
        <v>44817</v>
      </c>
      <c r="F1421" s="195">
        <v>24750</v>
      </c>
      <c r="G1421" s="197">
        <f>Tabla110[[#This Row],[Importe]]-Tabla110[[#This Row],[Pagado]]</f>
        <v>0</v>
      </c>
      <c r="H1421" s="194" t="s">
        <v>10</v>
      </c>
    </row>
    <row r="1422" spans="1:8" x14ac:dyDescent="0.25">
      <c r="A1422" s="127">
        <v>44817</v>
      </c>
      <c r="B1422" s="128" t="s">
        <v>29488</v>
      </c>
      <c r="C1422" s="194" t="s">
        <v>804</v>
      </c>
      <c r="D1422" s="195">
        <v>5752.4</v>
      </c>
      <c r="E1422" s="196">
        <v>44817</v>
      </c>
      <c r="F1422" s="195">
        <v>5752.4</v>
      </c>
      <c r="G1422" s="197">
        <f>Tabla110[[#This Row],[Importe]]-Tabla110[[#This Row],[Pagado]]</f>
        <v>0</v>
      </c>
      <c r="H1422" s="194" t="s">
        <v>10</v>
      </c>
    </row>
    <row r="1423" spans="1:8" x14ac:dyDescent="0.25">
      <c r="A1423" s="127">
        <v>44817</v>
      </c>
      <c r="B1423" s="128" t="s">
        <v>29489</v>
      </c>
      <c r="C1423" s="194" t="s">
        <v>473</v>
      </c>
      <c r="D1423" s="195">
        <v>12903.3</v>
      </c>
      <c r="E1423" s="196">
        <v>44817</v>
      </c>
      <c r="F1423" s="195">
        <v>12903.3</v>
      </c>
      <c r="G1423" s="197">
        <f>Tabla110[[#This Row],[Importe]]-Tabla110[[#This Row],[Pagado]]</f>
        <v>0</v>
      </c>
      <c r="H1423" s="194" t="s">
        <v>10</v>
      </c>
    </row>
    <row r="1424" spans="1:8" x14ac:dyDescent="0.25">
      <c r="A1424" s="127">
        <v>44817</v>
      </c>
      <c r="B1424" s="128" t="s">
        <v>29490</v>
      </c>
      <c r="C1424" s="194" t="s">
        <v>31</v>
      </c>
      <c r="D1424" s="195">
        <v>255</v>
      </c>
      <c r="E1424" s="196">
        <v>44817</v>
      </c>
      <c r="F1424" s="195">
        <v>255</v>
      </c>
      <c r="G1424" s="197">
        <f>Tabla110[[#This Row],[Importe]]-Tabla110[[#This Row],[Pagado]]</f>
        <v>0</v>
      </c>
      <c r="H1424" s="194" t="s">
        <v>10</v>
      </c>
    </row>
    <row r="1425" spans="1:8" x14ac:dyDescent="0.25">
      <c r="A1425" s="127">
        <v>44817</v>
      </c>
      <c r="B1425" s="128" t="s">
        <v>29491</v>
      </c>
      <c r="C1425" s="194" t="s">
        <v>312</v>
      </c>
      <c r="D1425" s="195">
        <v>670.8</v>
      </c>
      <c r="E1425" s="196">
        <v>44817</v>
      </c>
      <c r="F1425" s="195">
        <v>670.8</v>
      </c>
      <c r="G1425" s="197">
        <f>Tabla110[[#This Row],[Importe]]-Tabla110[[#This Row],[Pagado]]</f>
        <v>0</v>
      </c>
      <c r="H1425" s="194" t="s">
        <v>10</v>
      </c>
    </row>
    <row r="1426" spans="1:8" x14ac:dyDescent="0.25">
      <c r="A1426" s="127">
        <v>44817</v>
      </c>
      <c r="B1426" s="128" t="s">
        <v>29492</v>
      </c>
      <c r="C1426" s="194" t="s">
        <v>75</v>
      </c>
      <c r="D1426" s="195">
        <v>6956</v>
      </c>
      <c r="E1426" s="196">
        <v>44817</v>
      </c>
      <c r="F1426" s="195">
        <v>6956</v>
      </c>
      <c r="G1426" s="197">
        <f>Tabla110[[#This Row],[Importe]]-Tabla110[[#This Row],[Pagado]]</f>
        <v>0</v>
      </c>
      <c r="H1426" s="194" t="s">
        <v>10</v>
      </c>
    </row>
    <row r="1427" spans="1:8" x14ac:dyDescent="0.25">
      <c r="A1427" s="127">
        <v>44817</v>
      </c>
      <c r="B1427" s="128" t="s">
        <v>29493</v>
      </c>
      <c r="C1427" s="194" t="s">
        <v>618</v>
      </c>
      <c r="D1427" s="195">
        <v>12979.2</v>
      </c>
      <c r="E1427" s="196">
        <v>44817</v>
      </c>
      <c r="F1427" s="195">
        <v>12979.2</v>
      </c>
      <c r="G1427" s="197">
        <f>Tabla110[[#This Row],[Importe]]-Tabla110[[#This Row],[Pagado]]</f>
        <v>0</v>
      </c>
      <c r="H1427" s="194" t="s">
        <v>10</v>
      </c>
    </row>
    <row r="1428" spans="1:8" x14ac:dyDescent="0.25">
      <c r="A1428" s="127">
        <v>44817</v>
      </c>
      <c r="B1428" s="128" t="s">
        <v>29494</v>
      </c>
      <c r="C1428" s="194" t="s">
        <v>58</v>
      </c>
      <c r="D1428" s="195">
        <v>2017.8</v>
      </c>
      <c r="E1428" s="196">
        <v>44817</v>
      </c>
      <c r="F1428" s="195">
        <v>2017.8</v>
      </c>
      <c r="G1428" s="197">
        <f>Tabla110[[#This Row],[Importe]]-Tabla110[[#This Row],[Pagado]]</f>
        <v>0</v>
      </c>
      <c r="H1428" s="194" t="s">
        <v>10</v>
      </c>
    </row>
    <row r="1429" spans="1:8" x14ac:dyDescent="0.25">
      <c r="A1429" s="127">
        <v>44817</v>
      </c>
      <c r="B1429" s="128" t="s">
        <v>29495</v>
      </c>
      <c r="C1429" s="194" t="s">
        <v>29496</v>
      </c>
      <c r="D1429" s="195">
        <v>0</v>
      </c>
      <c r="E1429" s="199" t="s">
        <v>189</v>
      </c>
      <c r="F1429" s="195">
        <v>0</v>
      </c>
      <c r="G1429" s="197">
        <f>Tabla110[[#This Row],[Importe]]-Tabla110[[#This Row],[Pagado]]</f>
        <v>0</v>
      </c>
      <c r="H1429" s="200" t="s">
        <v>29497</v>
      </c>
    </row>
    <row r="1430" spans="1:8" x14ac:dyDescent="0.25">
      <c r="A1430" s="127">
        <v>44817</v>
      </c>
      <c r="B1430" s="128" t="s">
        <v>29498</v>
      </c>
      <c r="C1430" s="194" t="s">
        <v>53</v>
      </c>
      <c r="D1430" s="195">
        <v>2715</v>
      </c>
      <c r="E1430" s="196">
        <v>44817</v>
      </c>
      <c r="F1430" s="195">
        <v>2715</v>
      </c>
      <c r="G1430" s="197">
        <f>Tabla110[[#This Row],[Importe]]-Tabla110[[#This Row],[Pagado]]</f>
        <v>0</v>
      </c>
      <c r="H1430" s="194" t="s">
        <v>10</v>
      </c>
    </row>
    <row r="1431" spans="1:8" x14ac:dyDescent="0.25">
      <c r="A1431" s="127">
        <v>44817</v>
      </c>
      <c r="B1431" s="128" t="s">
        <v>29499</v>
      </c>
      <c r="C1431" s="194" t="s">
        <v>161</v>
      </c>
      <c r="D1431" s="195">
        <v>8234.4</v>
      </c>
      <c r="E1431" s="196">
        <v>44817</v>
      </c>
      <c r="F1431" s="195">
        <v>8234.4</v>
      </c>
      <c r="G1431" s="197">
        <f>Tabla110[[#This Row],[Importe]]-Tabla110[[#This Row],[Pagado]]</f>
        <v>0</v>
      </c>
      <c r="H1431" s="194" t="s">
        <v>10</v>
      </c>
    </row>
    <row r="1432" spans="1:8" x14ac:dyDescent="0.25">
      <c r="A1432" s="127">
        <v>44817</v>
      </c>
      <c r="B1432" s="128" t="s">
        <v>29500</v>
      </c>
      <c r="C1432" s="194" t="s">
        <v>200</v>
      </c>
      <c r="D1432" s="195">
        <v>1243.2</v>
      </c>
      <c r="E1432" s="196">
        <v>44817</v>
      </c>
      <c r="F1432" s="195">
        <v>1243.2</v>
      </c>
      <c r="G1432" s="197">
        <f>Tabla110[[#This Row],[Importe]]-Tabla110[[#This Row],[Pagado]]</f>
        <v>0</v>
      </c>
      <c r="H1432" s="194" t="s">
        <v>10</v>
      </c>
    </row>
    <row r="1433" spans="1:8" x14ac:dyDescent="0.25">
      <c r="A1433" s="127">
        <v>44817</v>
      </c>
      <c r="B1433" s="128" t="s">
        <v>29501</v>
      </c>
      <c r="C1433" s="194" t="s">
        <v>359</v>
      </c>
      <c r="D1433" s="195">
        <v>1771.5</v>
      </c>
      <c r="E1433" s="196">
        <v>44817</v>
      </c>
      <c r="F1433" s="195">
        <v>1771.5</v>
      </c>
      <c r="G1433" s="197">
        <f>Tabla110[[#This Row],[Importe]]-Tabla110[[#This Row],[Pagado]]</f>
        <v>0</v>
      </c>
      <c r="H1433" s="194" t="s">
        <v>10</v>
      </c>
    </row>
    <row r="1434" spans="1:8" x14ac:dyDescent="0.25">
      <c r="A1434" s="127">
        <v>44817</v>
      </c>
      <c r="B1434" s="128" t="s">
        <v>29502</v>
      </c>
      <c r="C1434" s="194" t="s">
        <v>426</v>
      </c>
      <c r="D1434" s="195">
        <v>4537.5</v>
      </c>
      <c r="E1434" s="196">
        <v>44817</v>
      </c>
      <c r="F1434" s="195">
        <v>4537.5</v>
      </c>
      <c r="G1434" s="197">
        <f>Tabla110[[#This Row],[Importe]]-Tabla110[[#This Row],[Pagado]]</f>
        <v>0</v>
      </c>
      <c r="H1434" s="194" t="s">
        <v>10</v>
      </c>
    </row>
    <row r="1435" spans="1:8" x14ac:dyDescent="0.25">
      <c r="A1435" s="127">
        <v>44817</v>
      </c>
      <c r="B1435" s="128" t="s">
        <v>29503</v>
      </c>
      <c r="C1435" s="194" t="s">
        <v>49</v>
      </c>
      <c r="D1435" s="195">
        <v>3815.4</v>
      </c>
      <c r="E1435" s="196">
        <v>44817</v>
      </c>
      <c r="F1435" s="195">
        <v>3815.4</v>
      </c>
      <c r="G1435" s="197">
        <f>Tabla110[[#This Row],[Importe]]-Tabla110[[#This Row],[Pagado]]</f>
        <v>0</v>
      </c>
      <c r="H1435" s="194" t="s">
        <v>10</v>
      </c>
    </row>
    <row r="1436" spans="1:8" x14ac:dyDescent="0.25">
      <c r="A1436" s="127">
        <v>44817</v>
      </c>
      <c r="B1436" s="128" t="s">
        <v>29504</v>
      </c>
      <c r="C1436" s="194" t="s">
        <v>289</v>
      </c>
      <c r="D1436" s="195">
        <v>17213.599999999999</v>
      </c>
      <c r="E1436" s="196">
        <v>44817</v>
      </c>
      <c r="F1436" s="195">
        <v>17213.599999999999</v>
      </c>
      <c r="G1436" s="197">
        <f>Tabla110[[#This Row],[Importe]]-Tabla110[[#This Row],[Pagado]]</f>
        <v>0</v>
      </c>
      <c r="H1436" s="194" t="s">
        <v>10</v>
      </c>
    </row>
    <row r="1437" spans="1:8" x14ac:dyDescent="0.25">
      <c r="A1437" s="127">
        <v>44817</v>
      </c>
      <c r="B1437" s="128" t="s">
        <v>29505</v>
      </c>
      <c r="C1437" s="194" t="s">
        <v>226</v>
      </c>
      <c r="D1437" s="195">
        <v>4446</v>
      </c>
      <c r="E1437" s="196">
        <v>44817</v>
      </c>
      <c r="F1437" s="195">
        <v>4446</v>
      </c>
      <c r="G1437" s="197">
        <f>Tabla110[[#This Row],[Importe]]-Tabla110[[#This Row],[Pagado]]</f>
        <v>0</v>
      </c>
      <c r="H1437" s="194" t="s">
        <v>10</v>
      </c>
    </row>
    <row r="1438" spans="1:8" x14ac:dyDescent="0.25">
      <c r="A1438" s="127">
        <v>44817</v>
      </c>
      <c r="B1438" s="128" t="s">
        <v>29506</v>
      </c>
      <c r="C1438" s="194" t="s">
        <v>181</v>
      </c>
      <c r="D1438" s="195">
        <v>2956.8</v>
      </c>
      <c r="E1438" s="196">
        <v>44817</v>
      </c>
      <c r="F1438" s="195">
        <v>2956.8</v>
      </c>
      <c r="G1438" s="197">
        <f>Tabla110[[#This Row],[Importe]]-Tabla110[[#This Row],[Pagado]]</f>
        <v>0</v>
      </c>
      <c r="H1438" s="194" t="s">
        <v>10</v>
      </c>
    </row>
    <row r="1439" spans="1:8" x14ac:dyDescent="0.25">
      <c r="A1439" s="127">
        <v>44817</v>
      </c>
      <c r="B1439" s="128" t="s">
        <v>29507</v>
      </c>
      <c r="C1439" s="194" t="s">
        <v>12543</v>
      </c>
      <c r="D1439" s="195">
        <v>100794.4</v>
      </c>
      <c r="E1439" s="196">
        <v>44817</v>
      </c>
      <c r="F1439" s="195">
        <v>100794.4</v>
      </c>
      <c r="G1439" s="197">
        <f>Tabla110[[#This Row],[Importe]]-Tabla110[[#This Row],[Pagado]]</f>
        <v>0</v>
      </c>
      <c r="H1439" s="194" t="s">
        <v>10</v>
      </c>
    </row>
    <row r="1440" spans="1:8" x14ac:dyDescent="0.25">
      <c r="A1440" s="127">
        <v>44817</v>
      </c>
      <c r="B1440" s="128" t="s">
        <v>29508</v>
      </c>
      <c r="C1440" s="194" t="s">
        <v>31</v>
      </c>
      <c r="D1440" s="195">
        <v>300</v>
      </c>
      <c r="E1440" s="196">
        <v>44817</v>
      </c>
      <c r="F1440" s="195">
        <v>300</v>
      </c>
      <c r="G1440" s="197">
        <f>Tabla110[[#This Row],[Importe]]-Tabla110[[#This Row],[Pagado]]</f>
        <v>0</v>
      </c>
      <c r="H1440" s="194" t="s">
        <v>10</v>
      </c>
    </row>
    <row r="1441" spans="1:8" x14ac:dyDescent="0.25">
      <c r="A1441" s="127">
        <v>44817</v>
      </c>
      <c r="B1441" s="128" t="s">
        <v>29509</v>
      </c>
      <c r="C1441" s="194" t="s">
        <v>9587</v>
      </c>
      <c r="D1441" s="195">
        <v>3862.6</v>
      </c>
      <c r="E1441" s="196">
        <v>44817</v>
      </c>
      <c r="F1441" s="195">
        <v>3862.6</v>
      </c>
      <c r="G1441" s="197">
        <f>Tabla110[[#This Row],[Importe]]-Tabla110[[#This Row],[Pagado]]</f>
        <v>0</v>
      </c>
      <c r="H1441" s="194" t="s">
        <v>10</v>
      </c>
    </row>
    <row r="1442" spans="1:8" x14ac:dyDescent="0.25">
      <c r="A1442" s="127">
        <v>44817</v>
      </c>
      <c r="B1442" s="128" t="s">
        <v>29510</v>
      </c>
      <c r="C1442" s="194" t="s">
        <v>3747</v>
      </c>
      <c r="D1442" s="195">
        <v>12480</v>
      </c>
      <c r="E1442" s="196">
        <v>44817</v>
      </c>
      <c r="F1442" s="195">
        <v>12480</v>
      </c>
      <c r="G1442" s="197">
        <f>Tabla110[[#This Row],[Importe]]-Tabla110[[#This Row],[Pagado]]</f>
        <v>0</v>
      </c>
      <c r="H1442" s="194" t="s">
        <v>10</v>
      </c>
    </row>
    <row r="1443" spans="1:8" x14ac:dyDescent="0.25">
      <c r="A1443" s="127">
        <v>44817</v>
      </c>
      <c r="B1443" s="128" t="s">
        <v>29511</v>
      </c>
      <c r="C1443" s="194" t="s">
        <v>31</v>
      </c>
      <c r="D1443" s="195">
        <v>2613</v>
      </c>
      <c r="E1443" s="196">
        <v>44817</v>
      </c>
      <c r="F1443" s="195">
        <v>2613</v>
      </c>
      <c r="G1443" s="197">
        <f>Tabla110[[#This Row],[Importe]]-Tabla110[[#This Row],[Pagado]]</f>
        <v>0</v>
      </c>
      <c r="H1443" s="194" t="s">
        <v>10</v>
      </c>
    </row>
    <row r="1444" spans="1:8" x14ac:dyDescent="0.25">
      <c r="A1444" s="127">
        <v>44817</v>
      </c>
      <c r="B1444" s="128" t="s">
        <v>29512</v>
      </c>
      <c r="C1444" s="194" t="s">
        <v>2151</v>
      </c>
      <c r="D1444" s="195">
        <v>1309</v>
      </c>
      <c r="E1444" s="196">
        <v>44817</v>
      </c>
      <c r="F1444" s="195">
        <v>1309</v>
      </c>
      <c r="G1444" s="197">
        <f>Tabla110[[#This Row],[Importe]]-Tabla110[[#This Row],[Pagado]]</f>
        <v>0</v>
      </c>
      <c r="H1444" s="194" t="s">
        <v>10</v>
      </c>
    </row>
    <row r="1445" spans="1:8" x14ac:dyDescent="0.25">
      <c r="A1445" s="127">
        <v>44817</v>
      </c>
      <c r="B1445" s="128" t="s">
        <v>29513</v>
      </c>
      <c r="C1445" s="194" t="s">
        <v>924</v>
      </c>
      <c r="D1445" s="195">
        <v>2965.2</v>
      </c>
      <c r="E1445" s="196">
        <v>44817</v>
      </c>
      <c r="F1445" s="195">
        <v>2965.2</v>
      </c>
      <c r="G1445" s="197">
        <f>Tabla110[[#This Row],[Importe]]-Tabla110[[#This Row],[Pagado]]</f>
        <v>0</v>
      </c>
      <c r="H1445" s="194" t="s">
        <v>10</v>
      </c>
    </row>
    <row r="1446" spans="1:8" ht="31.5" x14ac:dyDescent="0.25">
      <c r="A1446" s="127">
        <v>44817</v>
      </c>
      <c r="B1446" s="128" t="s">
        <v>29514</v>
      </c>
      <c r="C1446" s="120" t="s">
        <v>4341</v>
      </c>
      <c r="D1446" s="195">
        <v>0</v>
      </c>
      <c r="E1446" s="199" t="s">
        <v>189</v>
      </c>
      <c r="F1446" s="195">
        <v>0</v>
      </c>
      <c r="G1446" s="197">
        <f>Tabla110[[#This Row],[Importe]]-Tabla110[[#This Row],[Pagado]]</f>
        <v>0</v>
      </c>
      <c r="H1446" s="200" t="s">
        <v>29515</v>
      </c>
    </row>
    <row r="1447" spans="1:8" x14ac:dyDescent="0.25">
      <c r="A1447" s="127">
        <v>44817</v>
      </c>
      <c r="B1447" s="128" t="s">
        <v>29516</v>
      </c>
      <c r="C1447" s="194" t="s">
        <v>31</v>
      </c>
      <c r="D1447" s="195">
        <v>1949.4</v>
      </c>
      <c r="E1447" s="196">
        <v>44817</v>
      </c>
      <c r="F1447" s="195">
        <v>1949.4</v>
      </c>
      <c r="G1447" s="197">
        <f>Tabla110[[#This Row],[Importe]]-Tabla110[[#This Row],[Pagado]]</f>
        <v>0</v>
      </c>
      <c r="H1447" s="194" t="s">
        <v>10</v>
      </c>
    </row>
    <row r="1448" spans="1:8" x14ac:dyDescent="0.25">
      <c r="A1448" s="127">
        <v>44817</v>
      </c>
      <c r="B1448" s="128" t="s">
        <v>29517</v>
      </c>
      <c r="C1448" s="194" t="s">
        <v>382</v>
      </c>
      <c r="D1448" s="195">
        <v>25541</v>
      </c>
      <c r="E1448" s="196">
        <v>44817</v>
      </c>
      <c r="F1448" s="195">
        <v>25541</v>
      </c>
      <c r="G1448" s="197">
        <f>Tabla110[[#This Row],[Importe]]-Tabla110[[#This Row],[Pagado]]</f>
        <v>0</v>
      </c>
      <c r="H1448" s="194" t="s">
        <v>10</v>
      </c>
    </row>
    <row r="1449" spans="1:8" ht="31.5" x14ac:dyDescent="0.25">
      <c r="A1449" s="127">
        <v>44817</v>
      </c>
      <c r="B1449" s="128" t="s">
        <v>29518</v>
      </c>
      <c r="C1449" s="120" t="s">
        <v>4341</v>
      </c>
      <c r="D1449" s="195">
        <v>0</v>
      </c>
      <c r="E1449" s="199" t="s">
        <v>189</v>
      </c>
      <c r="F1449" s="195">
        <v>0</v>
      </c>
      <c r="G1449" s="197">
        <f>Tabla110[[#This Row],[Importe]]-Tabla110[[#This Row],[Pagado]]</f>
        <v>0</v>
      </c>
      <c r="H1449" s="194" t="s">
        <v>189</v>
      </c>
    </row>
    <row r="1450" spans="1:8" x14ac:dyDescent="0.25">
      <c r="A1450" s="127">
        <v>44817</v>
      </c>
      <c r="B1450" s="128" t="s">
        <v>29519</v>
      </c>
      <c r="C1450" s="194" t="s">
        <v>56</v>
      </c>
      <c r="D1450" s="195">
        <v>9375</v>
      </c>
      <c r="E1450" s="196">
        <v>44817</v>
      </c>
      <c r="F1450" s="195">
        <v>9375</v>
      </c>
      <c r="G1450" s="197">
        <f>Tabla110[[#This Row],[Importe]]-Tabla110[[#This Row],[Pagado]]</f>
        <v>0</v>
      </c>
      <c r="H1450" s="194" t="s">
        <v>10</v>
      </c>
    </row>
    <row r="1451" spans="1:8" x14ac:dyDescent="0.25">
      <c r="A1451" s="127">
        <v>44817</v>
      </c>
      <c r="B1451" s="128" t="s">
        <v>29520</v>
      </c>
      <c r="C1451" s="194" t="s">
        <v>45</v>
      </c>
      <c r="D1451" s="195">
        <v>12459.6</v>
      </c>
      <c r="E1451" s="196">
        <v>44817</v>
      </c>
      <c r="F1451" s="195">
        <v>12459.6</v>
      </c>
      <c r="G1451" s="197">
        <f>Tabla110[[#This Row],[Importe]]-Tabla110[[#This Row],[Pagado]]</f>
        <v>0</v>
      </c>
      <c r="H1451" s="194" t="s">
        <v>10</v>
      </c>
    </row>
    <row r="1452" spans="1:8" x14ac:dyDescent="0.25">
      <c r="A1452" s="127">
        <v>44817</v>
      </c>
      <c r="B1452" s="128" t="s">
        <v>29521</v>
      </c>
      <c r="C1452" s="194" t="s">
        <v>214</v>
      </c>
      <c r="D1452" s="195">
        <v>1428.2</v>
      </c>
      <c r="E1452" s="196">
        <v>44817</v>
      </c>
      <c r="F1452" s="195">
        <v>1428.2</v>
      </c>
      <c r="G1452" s="197">
        <f>Tabla110[[#This Row],[Importe]]-Tabla110[[#This Row],[Pagado]]</f>
        <v>0</v>
      </c>
      <c r="H1452" s="194" t="s">
        <v>10</v>
      </c>
    </row>
    <row r="1453" spans="1:8" x14ac:dyDescent="0.25">
      <c r="A1453" s="127">
        <v>44817</v>
      </c>
      <c r="B1453" s="128" t="s">
        <v>29522</v>
      </c>
      <c r="C1453" s="194" t="s">
        <v>12</v>
      </c>
      <c r="D1453" s="195">
        <v>9105</v>
      </c>
      <c r="E1453" s="196">
        <v>44818</v>
      </c>
      <c r="F1453" s="195">
        <v>9105</v>
      </c>
      <c r="G1453" s="197">
        <f>Tabla110[[#This Row],[Importe]]-Tabla110[[#This Row],[Pagado]]</f>
        <v>0</v>
      </c>
      <c r="H1453" s="194" t="s">
        <v>10</v>
      </c>
    </row>
    <row r="1454" spans="1:8" x14ac:dyDescent="0.25">
      <c r="A1454" s="127">
        <v>44817</v>
      </c>
      <c r="B1454" s="128" t="s">
        <v>29523</v>
      </c>
      <c r="C1454" s="194" t="s">
        <v>31</v>
      </c>
      <c r="D1454" s="195">
        <v>4696.8</v>
      </c>
      <c r="E1454" s="196">
        <v>44817</v>
      </c>
      <c r="F1454" s="195">
        <v>4696.8</v>
      </c>
      <c r="G1454" s="197">
        <f>Tabla110[[#This Row],[Importe]]-Tabla110[[#This Row],[Pagado]]</f>
        <v>0</v>
      </c>
      <c r="H1454" s="194" t="s">
        <v>10</v>
      </c>
    </row>
    <row r="1455" spans="1:8" x14ac:dyDescent="0.25">
      <c r="A1455" s="127">
        <v>44817</v>
      </c>
      <c r="B1455" s="128" t="s">
        <v>29524</v>
      </c>
      <c r="C1455" s="194" t="s">
        <v>9827</v>
      </c>
      <c r="D1455" s="195">
        <v>2205.1999999999998</v>
      </c>
      <c r="E1455" s="196">
        <v>44817</v>
      </c>
      <c r="F1455" s="195">
        <v>2205.1999999999998</v>
      </c>
      <c r="G1455" s="197">
        <f>Tabla110[[#This Row],[Importe]]-Tabla110[[#This Row],[Pagado]]</f>
        <v>0</v>
      </c>
      <c r="H1455" s="194" t="s">
        <v>10</v>
      </c>
    </row>
    <row r="1456" spans="1:8" x14ac:dyDescent="0.25">
      <c r="A1456" s="127">
        <v>44817</v>
      </c>
      <c r="B1456" s="128" t="s">
        <v>29525</v>
      </c>
      <c r="C1456" s="194" t="s">
        <v>191</v>
      </c>
      <c r="D1456" s="195">
        <v>2246.4</v>
      </c>
      <c r="E1456" s="196">
        <v>44817</v>
      </c>
      <c r="F1456" s="195">
        <v>2246.4</v>
      </c>
      <c r="G1456" s="197">
        <f>Tabla110[[#This Row],[Importe]]-Tabla110[[#This Row],[Pagado]]</f>
        <v>0</v>
      </c>
      <c r="H1456" s="194" t="s">
        <v>10</v>
      </c>
    </row>
    <row r="1457" spans="1:8" x14ac:dyDescent="0.25">
      <c r="A1457" s="127">
        <v>44817</v>
      </c>
      <c r="B1457" s="128" t="s">
        <v>29526</v>
      </c>
      <c r="C1457" s="194" t="s">
        <v>31</v>
      </c>
      <c r="D1457" s="195">
        <v>658.6</v>
      </c>
      <c r="E1457" s="196">
        <v>44817</v>
      </c>
      <c r="F1457" s="195">
        <v>658.6</v>
      </c>
      <c r="G1457" s="197">
        <f>Tabla110[[#This Row],[Importe]]-Tabla110[[#This Row],[Pagado]]</f>
        <v>0</v>
      </c>
      <c r="H1457" s="194" t="s">
        <v>10</v>
      </c>
    </row>
    <row r="1458" spans="1:8" x14ac:dyDescent="0.25">
      <c r="A1458" s="127">
        <v>44817</v>
      </c>
      <c r="B1458" s="128" t="s">
        <v>29527</v>
      </c>
      <c r="C1458" s="194" t="s">
        <v>1003</v>
      </c>
      <c r="D1458" s="195">
        <v>15458.8</v>
      </c>
      <c r="E1458" s="196">
        <v>44818</v>
      </c>
      <c r="F1458" s="195">
        <v>15458.8</v>
      </c>
      <c r="G1458" s="197">
        <f>Tabla110[[#This Row],[Importe]]-Tabla110[[#This Row],[Pagado]]</f>
        <v>0</v>
      </c>
      <c r="H1458" s="194" t="s">
        <v>10</v>
      </c>
    </row>
    <row r="1459" spans="1:8" x14ac:dyDescent="0.25">
      <c r="A1459" s="127">
        <v>44817</v>
      </c>
      <c r="B1459" s="128" t="s">
        <v>29528</v>
      </c>
      <c r="C1459" s="194" t="s">
        <v>31</v>
      </c>
      <c r="D1459" s="195">
        <v>1560.5</v>
      </c>
      <c r="E1459" s="196">
        <v>44817</v>
      </c>
      <c r="F1459" s="195">
        <v>1560.5</v>
      </c>
      <c r="G1459" s="197">
        <f>Tabla110[[#This Row],[Importe]]-Tabla110[[#This Row],[Pagado]]</f>
        <v>0</v>
      </c>
      <c r="H1459" s="194" t="s">
        <v>10</v>
      </c>
    </row>
    <row r="1460" spans="1:8" x14ac:dyDescent="0.25">
      <c r="A1460" s="127">
        <v>44817</v>
      </c>
      <c r="B1460" s="128" t="s">
        <v>29529</v>
      </c>
      <c r="C1460" s="194" t="s">
        <v>31</v>
      </c>
      <c r="D1460" s="195">
        <v>666</v>
      </c>
      <c r="E1460" s="196">
        <v>44817</v>
      </c>
      <c r="F1460" s="195">
        <v>666</v>
      </c>
      <c r="G1460" s="197">
        <f>Tabla110[[#This Row],[Importe]]-Tabla110[[#This Row],[Pagado]]</f>
        <v>0</v>
      </c>
      <c r="H1460" s="194" t="s">
        <v>10</v>
      </c>
    </row>
    <row r="1461" spans="1:8" x14ac:dyDescent="0.25">
      <c r="A1461" s="127">
        <v>44817</v>
      </c>
      <c r="B1461" s="128" t="s">
        <v>29530</v>
      </c>
      <c r="C1461" s="194" t="s">
        <v>233</v>
      </c>
      <c r="D1461" s="195">
        <v>5757.2</v>
      </c>
      <c r="E1461" s="196">
        <v>44817</v>
      </c>
      <c r="F1461" s="195">
        <v>5757.2</v>
      </c>
      <c r="G1461" s="197">
        <f>Tabla110[[#This Row],[Importe]]-Tabla110[[#This Row],[Pagado]]</f>
        <v>0</v>
      </c>
      <c r="H1461" s="194" t="s">
        <v>10</v>
      </c>
    </row>
    <row r="1462" spans="1:8" x14ac:dyDescent="0.25">
      <c r="A1462" s="127">
        <v>44817</v>
      </c>
      <c r="B1462" s="128" t="s">
        <v>29531</v>
      </c>
      <c r="C1462" s="194" t="s">
        <v>31</v>
      </c>
      <c r="D1462" s="195">
        <v>688.2</v>
      </c>
      <c r="E1462" s="196">
        <v>44817</v>
      </c>
      <c r="F1462" s="195">
        <v>688.2</v>
      </c>
      <c r="G1462" s="197">
        <f>Tabla110[[#This Row],[Importe]]-Tabla110[[#This Row],[Pagado]]</f>
        <v>0</v>
      </c>
      <c r="H1462" s="194" t="s">
        <v>10</v>
      </c>
    </row>
    <row r="1463" spans="1:8" x14ac:dyDescent="0.25">
      <c r="A1463" s="127">
        <v>44817</v>
      </c>
      <c r="B1463" s="128" t="s">
        <v>29532</v>
      </c>
      <c r="C1463" s="194" t="s">
        <v>196</v>
      </c>
      <c r="D1463" s="195">
        <v>143921.60000000001</v>
      </c>
      <c r="E1463" s="196">
        <v>44827</v>
      </c>
      <c r="F1463" s="195">
        <v>143921.60000000001</v>
      </c>
      <c r="G1463" s="197">
        <f>Tabla110[[#This Row],[Importe]]-Tabla110[[#This Row],[Pagado]]</f>
        <v>0</v>
      </c>
      <c r="H1463" s="194" t="s">
        <v>10</v>
      </c>
    </row>
    <row r="1464" spans="1:8" x14ac:dyDescent="0.25">
      <c r="A1464" s="127">
        <v>44817</v>
      </c>
      <c r="B1464" s="128" t="s">
        <v>29533</v>
      </c>
      <c r="C1464" s="194" t="s">
        <v>857</v>
      </c>
      <c r="D1464" s="195">
        <v>515.5</v>
      </c>
      <c r="E1464" s="196">
        <v>44817</v>
      </c>
      <c r="F1464" s="195">
        <v>515.5</v>
      </c>
      <c r="G1464" s="197">
        <f>Tabla110[[#This Row],[Importe]]-Tabla110[[#This Row],[Pagado]]</f>
        <v>0</v>
      </c>
      <c r="H1464" s="194" t="s">
        <v>10</v>
      </c>
    </row>
    <row r="1465" spans="1:8" x14ac:dyDescent="0.25">
      <c r="A1465" s="127">
        <v>44817</v>
      </c>
      <c r="B1465" s="128" t="s">
        <v>29534</v>
      </c>
      <c r="C1465" s="194" t="s">
        <v>698</v>
      </c>
      <c r="D1465" s="195">
        <v>8697.9</v>
      </c>
      <c r="E1465" s="196">
        <v>44817</v>
      </c>
      <c r="F1465" s="195">
        <v>8697.9</v>
      </c>
      <c r="G1465" s="197">
        <f>Tabla110[[#This Row],[Importe]]-Tabla110[[#This Row],[Pagado]]</f>
        <v>0</v>
      </c>
      <c r="H1465" s="194" t="s">
        <v>10</v>
      </c>
    </row>
    <row r="1466" spans="1:8" x14ac:dyDescent="0.25">
      <c r="A1466" s="127">
        <v>44817</v>
      </c>
      <c r="B1466" s="128" t="s">
        <v>29535</v>
      </c>
      <c r="C1466" s="194" t="s">
        <v>4136</v>
      </c>
      <c r="D1466" s="195">
        <v>3108.2</v>
      </c>
      <c r="E1466" s="196">
        <v>44817</v>
      </c>
      <c r="F1466" s="195">
        <v>3108.2</v>
      </c>
      <c r="G1466" s="197">
        <f>Tabla110[[#This Row],[Importe]]-Tabla110[[#This Row],[Pagado]]</f>
        <v>0</v>
      </c>
      <c r="H1466" s="194" t="s">
        <v>10</v>
      </c>
    </row>
    <row r="1467" spans="1:8" x14ac:dyDescent="0.25">
      <c r="A1467" s="127">
        <v>44817</v>
      </c>
      <c r="B1467" s="128" t="s">
        <v>29536</v>
      </c>
      <c r="C1467" s="194" t="s">
        <v>365</v>
      </c>
      <c r="D1467" s="195">
        <v>1518</v>
      </c>
      <c r="E1467" s="196">
        <v>44817</v>
      </c>
      <c r="F1467" s="195">
        <v>1518</v>
      </c>
      <c r="G1467" s="197">
        <f>Tabla110[[#This Row],[Importe]]-Tabla110[[#This Row],[Pagado]]</f>
        <v>0</v>
      </c>
      <c r="H1467" s="194" t="s">
        <v>10</v>
      </c>
    </row>
    <row r="1468" spans="1:8" x14ac:dyDescent="0.25">
      <c r="A1468" s="127">
        <v>44817</v>
      </c>
      <c r="B1468" s="128" t="s">
        <v>29537</v>
      </c>
      <c r="C1468" s="194" t="s">
        <v>28087</v>
      </c>
      <c r="D1468" s="195">
        <v>115019</v>
      </c>
      <c r="E1468" s="196">
        <v>44893</v>
      </c>
      <c r="F1468" s="195">
        <v>115019</v>
      </c>
      <c r="G1468" s="197">
        <f>Tabla110[[#This Row],[Importe]]-Tabla110[[#This Row],[Pagado]]</f>
        <v>0</v>
      </c>
      <c r="H1468" s="78" t="s">
        <v>17776</v>
      </c>
    </row>
    <row r="1469" spans="1:8" x14ac:dyDescent="0.25">
      <c r="A1469" s="127">
        <v>44817</v>
      </c>
      <c r="B1469" s="128" t="s">
        <v>29538</v>
      </c>
      <c r="C1469" s="194" t="s">
        <v>107</v>
      </c>
      <c r="D1469" s="195">
        <v>15406.8</v>
      </c>
      <c r="E1469" s="196">
        <v>44818</v>
      </c>
      <c r="F1469" s="195">
        <v>15406.8</v>
      </c>
      <c r="G1469" s="197">
        <f>Tabla110[[#This Row],[Importe]]-Tabla110[[#This Row],[Pagado]]</f>
        <v>0</v>
      </c>
      <c r="H1469" s="194" t="s">
        <v>10</v>
      </c>
    </row>
    <row r="1470" spans="1:8" x14ac:dyDescent="0.25">
      <c r="A1470" s="127">
        <v>44817</v>
      </c>
      <c r="B1470" s="128" t="s">
        <v>29539</v>
      </c>
      <c r="C1470" s="194" t="s">
        <v>9827</v>
      </c>
      <c r="D1470" s="195">
        <v>7466.6</v>
      </c>
      <c r="E1470" s="196">
        <v>44817</v>
      </c>
      <c r="F1470" s="195">
        <v>7466.6</v>
      </c>
      <c r="G1470" s="197">
        <f>Tabla110[[#This Row],[Importe]]-Tabla110[[#This Row],[Pagado]]</f>
        <v>0</v>
      </c>
      <c r="H1470" s="194" t="s">
        <v>10</v>
      </c>
    </row>
    <row r="1471" spans="1:8" x14ac:dyDescent="0.25">
      <c r="A1471" s="127">
        <v>44817</v>
      </c>
      <c r="B1471" s="128" t="s">
        <v>29540</v>
      </c>
      <c r="C1471" s="194" t="s">
        <v>296</v>
      </c>
      <c r="D1471" s="195">
        <v>10199.299999999999</v>
      </c>
      <c r="E1471" s="196">
        <v>44817</v>
      </c>
      <c r="F1471" s="195">
        <v>10199.299999999999</v>
      </c>
      <c r="G1471" s="197">
        <f>Tabla110[[#This Row],[Importe]]-Tabla110[[#This Row],[Pagado]]</f>
        <v>0</v>
      </c>
      <c r="H1471" s="194" t="s">
        <v>10</v>
      </c>
    </row>
    <row r="1472" spans="1:8" x14ac:dyDescent="0.25">
      <c r="A1472" s="127">
        <v>44817</v>
      </c>
      <c r="B1472" s="128" t="s">
        <v>29541</v>
      </c>
      <c r="C1472" s="194" t="s">
        <v>146</v>
      </c>
      <c r="D1472" s="195">
        <v>5990.4</v>
      </c>
      <c r="E1472" s="196">
        <v>44818</v>
      </c>
      <c r="F1472" s="195">
        <v>5990.4</v>
      </c>
      <c r="G1472" s="197">
        <f>Tabla110[[#This Row],[Importe]]-Tabla110[[#This Row],[Pagado]]</f>
        <v>0</v>
      </c>
      <c r="H1472" s="194" t="s">
        <v>10</v>
      </c>
    </row>
    <row r="1473" spans="1:8" x14ac:dyDescent="0.25">
      <c r="A1473" s="127">
        <v>44817</v>
      </c>
      <c r="B1473" s="128" t="s">
        <v>29542</v>
      </c>
      <c r="C1473" s="194" t="s">
        <v>9827</v>
      </c>
      <c r="D1473" s="195">
        <v>777</v>
      </c>
      <c r="E1473" s="196">
        <v>44817</v>
      </c>
      <c r="F1473" s="195">
        <v>777</v>
      </c>
      <c r="G1473" s="197">
        <f>Tabla110[[#This Row],[Importe]]-Tabla110[[#This Row],[Pagado]]</f>
        <v>0</v>
      </c>
      <c r="H1473" s="194" t="s">
        <v>10</v>
      </c>
    </row>
    <row r="1474" spans="1:8" x14ac:dyDescent="0.25">
      <c r="A1474" s="127">
        <v>44817</v>
      </c>
      <c r="B1474" s="128" t="s">
        <v>29543</v>
      </c>
      <c r="C1474" s="194" t="s">
        <v>664</v>
      </c>
      <c r="D1474" s="195">
        <v>315</v>
      </c>
      <c r="E1474" s="196">
        <v>44818</v>
      </c>
      <c r="F1474" s="195">
        <v>315</v>
      </c>
      <c r="G1474" s="197">
        <f>Tabla110[[#This Row],[Importe]]-Tabla110[[#This Row],[Pagado]]</f>
        <v>0</v>
      </c>
      <c r="H1474" s="194" t="s">
        <v>10</v>
      </c>
    </row>
    <row r="1475" spans="1:8" x14ac:dyDescent="0.25">
      <c r="A1475" s="127">
        <v>44817</v>
      </c>
      <c r="B1475" s="128" t="s">
        <v>29544</v>
      </c>
      <c r="C1475" s="194" t="s">
        <v>157</v>
      </c>
      <c r="D1475" s="195">
        <v>6238.1</v>
      </c>
      <c r="E1475" s="196">
        <v>44818</v>
      </c>
      <c r="F1475" s="195">
        <v>6238.1</v>
      </c>
      <c r="G1475" s="197">
        <f>Tabla110[[#This Row],[Importe]]-Tabla110[[#This Row],[Pagado]]</f>
        <v>0</v>
      </c>
      <c r="H1475" s="194" t="s">
        <v>10</v>
      </c>
    </row>
    <row r="1476" spans="1:8" x14ac:dyDescent="0.25">
      <c r="A1476" s="127">
        <v>44817</v>
      </c>
      <c r="B1476" s="128" t="s">
        <v>29545</v>
      </c>
      <c r="C1476" s="194" t="s">
        <v>518</v>
      </c>
      <c r="D1476" s="195">
        <v>3174.9</v>
      </c>
      <c r="E1476" s="196">
        <v>44818</v>
      </c>
      <c r="F1476" s="195">
        <v>3174.9</v>
      </c>
      <c r="G1476" s="197">
        <f>Tabla110[[#This Row],[Importe]]-Tabla110[[#This Row],[Pagado]]</f>
        <v>0</v>
      </c>
      <c r="H1476" s="194" t="s">
        <v>10</v>
      </c>
    </row>
    <row r="1477" spans="1:8" x14ac:dyDescent="0.25">
      <c r="A1477" s="127">
        <v>44817</v>
      </c>
      <c r="B1477" s="128" t="s">
        <v>29546</v>
      </c>
      <c r="C1477" s="194" t="s">
        <v>151</v>
      </c>
      <c r="D1477" s="195">
        <v>23796.9</v>
      </c>
      <c r="E1477" s="196">
        <v>44818</v>
      </c>
      <c r="F1477" s="195">
        <v>23796.9</v>
      </c>
      <c r="G1477" s="197">
        <f>Tabla110[[#This Row],[Importe]]-Tabla110[[#This Row],[Pagado]]</f>
        <v>0</v>
      </c>
      <c r="H1477" s="194" t="s">
        <v>10</v>
      </c>
    </row>
    <row r="1478" spans="1:8" x14ac:dyDescent="0.25">
      <c r="A1478" s="127">
        <v>44817</v>
      </c>
      <c r="B1478" s="128" t="s">
        <v>29547</v>
      </c>
      <c r="C1478" s="194" t="s">
        <v>520</v>
      </c>
      <c r="D1478" s="195">
        <v>31178.7</v>
      </c>
      <c r="E1478" s="196">
        <v>44818</v>
      </c>
      <c r="F1478" s="195">
        <v>31178.7</v>
      </c>
      <c r="G1478" s="197">
        <f>Tabla110[[#This Row],[Importe]]-Tabla110[[#This Row],[Pagado]]</f>
        <v>0</v>
      </c>
      <c r="H1478" s="194" t="s">
        <v>10</v>
      </c>
    </row>
    <row r="1479" spans="1:8" x14ac:dyDescent="0.25">
      <c r="A1479" s="127">
        <v>44817</v>
      </c>
      <c r="B1479" s="128" t="s">
        <v>29548</v>
      </c>
      <c r="C1479" s="194" t="s">
        <v>525</v>
      </c>
      <c r="D1479" s="195">
        <v>1468.5</v>
      </c>
      <c r="E1479" s="196">
        <v>44818</v>
      </c>
      <c r="F1479" s="195">
        <v>1468.5</v>
      </c>
      <c r="G1479" s="197">
        <f>Tabla110[[#This Row],[Importe]]-Tabla110[[#This Row],[Pagado]]</f>
        <v>0</v>
      </c>
      <c r="H1479" s="194" t="s">
        <v>10</v>
      </c>
    </row>
    <row r="1480" spans="1:8" x14ac:dyDescent="0.25">
      <c r="A1480" s="127">
        <v>44817</v>
      </c>
      <c r="B1480" s="128" t="s">
        <v>29549</v>
      </c>
      <c r="C1480" s="194" t="s">
        <v>319</v>
      </c>
      <c r="D1480" s="195">
        <v>25144.400000000001</v>
      </c>
      <c r="E1480" s="196">
        <v>44818</v>
      </c>
      <c r="F1480" s="195">
        <v>25144.400000000001</v>
      </c>
      <c r="G1480" s="197">
        <f>Tabla110[[#This Row],[Importe]]-Tabla110[[#This Row],[Pagado]]</f>
        <v>0</v>
      </c>
      <c r="H1480" s="194" t="s">
        <v>10</v>
      </c>
    </row>
    <row r="1481" spans="1:8" x14ac:dyDescent="0.25">
      <c r="A1481" s="127">
        <v>44817</v>
      </c>
      <c r="B1481" s="128" t="s">
        <v>29550</v>
      </c>
      <c r="C1481" s="194" t="s">
        <v>966</v>
      </c>
      <c r="D1481" s="195">
        <v>16524.599999999999</v>
      </c>
      <c r="E1481" s="196">
        <v>44818</v>
      </c>
      <c r="F1481" s="195">
        <v>16524.599999999999</v>
      </c>
      <c r="G1481" s="197">
        <f>Tabla110[[#This Row],[Importe]]-Tabla110[[#This Row],[Pagado]]</f>
        <v>0</v>
      </c>
      <c r="H1481" s="194" t="s">
        <v>10</v>
      </c>
    </row>
    <row r="1482" spans="1:8" x14ac:dyDescent="0.25">
      <c r="A1482" s="127">
        <v>44817</v>
      </c>
      <c r="B1482" s="128" t="s">
        <v>29551</v>
      </c>
      <c r="C1482" s="194" t="s">
        <v>849</v>
      </c>
      <c r="D1482" s="195">
        <v>795.3</v>
      </c>
      <c r="E1482" s="196">
        <v>44817</v>
      </c>
      <c r="F1482" s="195">
        <v>795.3</v>
      </c>
      <c r="G1482" s="197">
        <f>Tabla110[[#This Row],[Importe]]-Tabla110[[#This Row],[Pagado]]</f>
        <v>0</v>
      </c>
      <c r="H1482" s="194" t="s">
        <v>10</v>
      </c>
    </row>
    <row r="1483" spans="1:8" x14ac:dyDescent="0.25">
      <c r="A1483" s="127">
        <v>44817</v>
      </c>
      <c r="B1483" s="128" t="s">
        <v>29552</v>
      </c>
      <c r="C1483" s="194" t="s">
        <v>67</v>
      </c>
      <c r="D1483" s="195">
        <v>3092.5</v>
      </c>
      <c r="E1483" s="196">
        <v>44817</v>
      </c>
      <c r="F1483" s="195">
        <v>3092.5</v>
      </c>
      <c r="G1483" s="197">
        <f>Tabla110[[#This Row],[Importe]]-Tabla110[[#This Row],[Pagado]]</f>
        <v>0</v>
      </c>
      <c r="H1483" s="194" t="s">
        <v>10</v>
      </c>
    </row>
    <row r="1484" spans="1:8" x14ac:dyDescent="0.25">
      <c r="A1484" s="127">
        <v>44817</v>
      </c>
      <c r="B1484" s="128" t="s">
        <v>29553</v>
      </c>
      <c r="C1484" s="194" t="s">
        <v>1362</v>
      </c>
      <c r="D1484" s="195">
        <v>28093.599999999999</v>
      </c>
      <c r="E1484" s="196">
        <v>44818</v>
      </c>
      <c r="F1484" s="195">
        <v>28093.599999999999</v>
      </c>
      <c r="G1484" s="197">
        <f>Tabla110[[#This Row],[Importe]]-Tabla110[[#This Row],[Pagado]]</f>
        <v>0</v>
      </c>
      <c r="H1484" s="194" t="s">
        <v>10</v>
      </c>
    </row>
    <row r="1485" spans="1:8" x14ac:dyDescent="0.25">
      <c r="A1485" s="127">
        <v>44817</v>
      </c>
      <c r="B1485" s="128" t="s">
        <v>29554</v>
      </c>
      <c r="C1485" s="194" t="s">
        <v>1362</v>
      </c>
      <c r="D1485" s="195">
        <v>797.5</v>
      </c>
      <c r="E1485" s="196">
        <v>44818</v>
      </c>
      <c r="F1485" s="195">
        <v>797.5</v>
      </c>
      <c r="G1485" s="197">
        <f>Tabla110[[#This Row],[Importe]]-Tabla110[[#This Row],[Pagado]]</f>
        <v>0</v>
      </c>
      <c r="H1485" s="194" t="s">
        <v>10</v>
      </c>
    </row>
    <row r="1486" spans="1:8" x14ac:dyDescent="0.25">
      <c r="A1486" s="127">
        <v>44817</v>
      </c>
      <c r="B1486" s="128" t="s">
        <v>29555</v>
      </c>
      <c r="C1486" s="194" t="s">
        <v>79</v>
      </c>
      <c r="D1486" s="195">
        <v>8917</v>
      </c>
      <c r="E1486" s="196">
        <v>44818</v>
      </c>
      <c r="F1486" s="195">
        <v>8917</v>
      </c>
      <c r="G1486" s="197">
        <f>Tabla110[[#This Row],[Importe]]-Tabla110[[#This Row],[Pagado]]</f>
        <v>0</v>
      </c>
      <c r="H1486" s="194" t="s">
        <v>10</v>
      </c>
    </row>
    <row r="1487" spans="1:8" x14ac:dyDescent="0.25">
      <c r="A1487" s="127">
        <v>44817</v>
      </c>
      <c r="B1487" s="128" t="s">
        <v>29556</v>
      </c>
      <c r="C1487" s="194" t="s">
        <v>214</v>
      </c>
      <c r="D1487" s="195">
        <v>8273.5</v>
      </c>
      <c r="E1487" s="196">
        <v>44818</v>
      </c>
      <c r="F1487" s="195">
        <v>8273.5</v>
      </c>
      <c r="G1487" s="197">
        <f>Tabla110[[#This Row],[Importe]]-Tabla110[[#This Row],[Pagado]]</f>
        <v>0</v>
      </c>
      <c r="H1487" s="194" t="s">
        <v>10</v>
      </c>
    </row>
    <row r="1488" spans="1:8" x14ac:dyDescent="0.25">
      <c r="A1488" s="127">
        <v>44817</v>
      </c>
      <c r="B1488" s="128" t="s">
        <v>29557</v>
      </c>
      <c r="C1488" s="194" t="s">
        <v>159</v>
      </c>
      <c r="D1488" s="195">
        <v>8325.4</v>
      </c>
      <c r="E1488" s="196">
        <v>44818</v>
      </c>
      <c r="F1488" s="195">
        <v>8325.4</v>
      </c>
      <c r="G1488" s="197">
        <f>Tabla110[[#This Row],[Importe]]-Tabla110[[#This Row],[Pagado]]</f>
        <v>0</v>
      </c>
      <c r="H1488" s="194" t="s">
        <v>10</v>
      </c>
    </row>
    <row r="1489" spans="1:8" x14ac:dyDescent="0.25">
      <c r="A1489" s="127">
        <v>44817</v>
      </c>
      <c r="B1489" s="128" t="s">
        <v>29558</v>
      </c>
      <c r="C1489" s="194" t="s">
        <v>263</v>
      </c>
      <c r="D1489" s="195">
        <v>200670.4</v>
      </c>
      <c r="E1489" s="196">
        <v>44818</v>
      </c>
      <c r="F1489" s="195">
        <v>200670.4</v>
      </c>
      <c r="G1489" s="197">
        <f>Tabla110[[#This Row],[Importe]]-Tabla110[[#This Row],[Pagado]]</f>
        <v>0</v>
      </c>
      <c r="H1489" s="194" t="s">
        <v>10</v>
      </c>
    </row>
    <row r="1490" spans="1:8" x14ac:dyDescent="0.25">
      <c r="A1490" s="127">
        <v>44817</v>
      </c>
      <c r="B1490" s="128" t="s">
        <v>29559</v>
      </c>
      <c r="C1490" s="194" t="s">
        <v>357</v>
      </c>
      <c r="D1490" s="195">
        <v>5475</v>
      </c>
      <c r="E1490" s="196">
        <v>44817</v>
      </c>
      <c r="F1490" s="195">
        <v>5475</v>
      </c>
      <c r="G1490" s="197">
        <f>Tabla110[[#This Row],[Importe]]-Tabla110[[#This Row],[Pagado]]</f>
        <v>0</v>
      </c>
      <c r="H1490" s="194" t="s">
        <v>10</v>
      </c>
    </row>
    <row r="1491" spans="1:8" x14ac:dyDescent="0.25">
      <c r="A1491" s="127">
        <v>44817</v>
      </c>
      <c r="B1491" s="128" t="s">
        <v>29560</v>
      </c>
      <c r="C1491" s="194" t="s">
        <v>140</v>
      </c>
      <c r="D1491" s="195">
        <v>2238.6</v>
      </c>
      <c r="E1491" s="196">
        <v>44817</v>
      </c>
      <c r="F1491" s="195">
        <v>2238.6</v>
      </c>
      <c r="G1491" s="197">
        <f>Tabla110[[#This Row],[Importe]]-Tabla110[[#This Row],[Pagado]]</f>
        <v>0</v>
      </c>
      <c r="H1491" s="194" t="s">
        <v>10</v>
      </c>
    </row>
    <row r="1492" spans="1:8" x14ac:dyDescent="0.25">
      <c r="A1492" s="127">
        <v>44817</v>
      </c>
      <c r="B1492" s="128" t="s">
        <v>29561</v>
      </c>
      <c r="C1492" s="194" t="s">
        <v>127</v>
      </c>
      <c r="D1492" s="195">
        <v>3038.1</v>
      </c>
      <c r="E1492" s="196">
        <v>44817</v>
      </c>
      <c r="F1492" s="195">
        <v>3038.1</v>
      </c>
      <c r="G1492" s="197">
        <f>Tabla110[[#This Row],[Importe]]-Tabla110[[#This Row],[Pagado]]</f>
        <v>0</v>
      </c>
      <c r="H1492" s="194" t="s">
        <v>10</v>
      </c>
    </row>
    <row r="1493" spans="1:8" x14ac:dyDescent="0.25">
      <c r="A1493" s="127">
        <v>44817</v>
      </c>
      <c r="B1493" s="128" t="s">
        <v>29562</v>
      </c>
      <c r="C1493" s="194" t="s">
        <v>129</v>
      </c>
      <c r="D1493" s="195">
        <v>1575.6</v>
      </c>
      <c r="E1493" s="196">
        <v>44817</v>
      </c>
      <c r="F1493" s="195">
        <v>1575.6</v>
      </c>
      <c r="G1493" s="197">
        <f>Tabla110[[#This Row],[Importe]]-Tabla110[[#This Row],[Pagado]]</f>
        <v>0</v>
      </c>
      <c r="H1493" s="194" t="s">
        <v>10</v>
      </c>
    </row>
    <row r="1494" spans="1:8" x14ac:dyDescent="0.25">
      <c r="A1494" s="127">
        <v>44817</v>
      </c>
      <c r="B1494" s="128" t="s">
        <v>29563</v>
      </c>
      <c r="C1494" s="194" t="s">
        <v>339</v>
      </c>
      <c r="D1494" s="195">
        <v>480</v>
      </c>
      <c r="E1494" s="196">
        <v>44817</v>
      </c>
      <c r="F1494" s="195">
        <v>480</v>
      </c>
      <c r="G1494" s="197">
        <f>Tabla110[[#This Row],[Importe]]-Tabla110[[#This Row],[Pagado]]</f>
        <v>0</v>
      </c>
      <c r="H1494" s="194" t="s">
        <v>10</v>
      </c>
    </row>
    <row r="1495" spans="1:8" x14ac:dyDescent="0.25">
      <c r="A1495" s="127">
        <v>44817</v>
      </c>
      <c r="B1495" s="128" t="s">
        <v>29564</v>
      </c>
      <c r="C1495" s="194" t="s">
        <v>135</v>
      </c>
      <c r="D1495" s="195">
        <v>2149.8000000000002</v>
      </c>
      <c r="E1495" s="196">
        <v>44817</v>
      </c>
      <c r="F1495" s="195">
        <v>2149.8000000000002</v>
      </c>
      <c r="G1495" s="197">
        <f>Tabla110[[#This Row],[Importe]]-Tabla110[[#This Row],[Pagado]]</f>
        <v>0</v>
      </c>
      <c r="H1495" s="194" t="s">
        <v>10</v>
      </c>
    </row>
    <row r="1496" spans="1:8" x14ac:dyDescent="0.25">
      <c r="A1496" s="127">
        <v>44817</v>
      </c>
      <c r="B1496" s="128" t="s">
        <v>29565</v>
      </c>
      <c r="C1496" s="194" t="s">
        <v>409</v>
      </c>
      <c r="D1496" s="195">
        <v>6430.2</v>
      </c>
      <c r="E1496" s="196">
        <v>44826</v>
      </c>
      <c r="F1496" s="195">
        <v>6430.2</v>
      </c>
      <c r="G1496" s="197">
        <f>Tabla110[[#This Row],[Importe]]-Tabla110[[#This Row],[Pagado]]</f>
        <v>0</v>
      </c>
      <c r="H1496" s="194" t="s">
        <v>10</v>
      </c>
    </row>
    <row r="1497" spans="1:8" x14ac:dyDescent="0.25">
      <c r="A1497" s="127">
        <v>44817</v>
      </c>
      <c r="B1497" s="128" t="s">
        <v>29566</v>
      </c>
      <c r="C1497" s="194" t="s">
        <v>10678</v>
      </c>
      <c r="D1497" s="195">
        <v>4570.5</v>
      </c>
      <c r="E1497" s="196">
        <v>44817</v>
      </c>
      <c r="F1497" s="195">
        <v>4570.5</v>
      </c>
      <c r="G1497" s="197">
        <f>Tabla110[[#This Row],[Importe]]-Tabla110[[#This Row],[Pagado]]</f>
        <v>0</v>
      </c>
      <c r="H1497" s="194" t="s">
        <v>10</v>
      </c>
    </row>
    <row r="1498" spans="1:8" x14ac:dyDescent="0.25">
      <c r="A1498" s="127">
        <v>44817</v>
      </c>
      <c r="B1498" s="128" t="s">
        <v>29567</v>
      </c>
      <c r="C1498" s="194" t="s">
        <v>31</v>
      </c>
      <c r="D1498" s="195">
        <v>623.20000000000005</v>
      </c>
      <c r="E1498" s="196">
        <v>44817</v>
      </c>
      <c r="F1498" s="195">
        <v>623.20000000000005</v>
      </c>
      <c r="G1498" s="197">
        <f>Tabla110[[#This Row],[Importe]]-Tabla110[[#This Row],[Pagado]]</f>
        <v>0</v>
      </c>
      <c r="H1498" s="194" t="s">
        <v>10</v>
      </c>
    </row>
    <row r="1499" spans="1:8" x14ac:dyDescent="0.25">
      <c r="A1499" s="127">
        <v>44817</v>
      </c>
      <c r="B1499" s="128" t="s">
        <v>29568</v>
      </c>
      <c r="C1499" s="194" t="s">
        <v>246</v>
      </c>
      <c r="D1499" s="195">
        <v>25392</v>
      </c>
      <c r="E1499" s="196">
        <v>44817</v>
      </c>
      <c r="F1499" s="195">
        <v>25392</v>
      </c>
      <c r="G1499" s="197">
        <f>Tabla110[[#This Row],[Importe]]-Tabla110[[#This Row],[Pagado]]</f>
        <v>0</v>
      </c>
      <c r="H1499" s="194" t="s">
        <v>10</v>
      </c>
    </row>
    <row r="1500" spans="1:8" x14ac:dyDescent="0.25">
      <c r="A1500" s="127">
        <v>44817</v>
      </c>
      <c r="B1500" s="128" t="s">
        <v>29569</v>
      </c>
      <c r="C1500" s="194" t="s">
        <v>450</v>
      </c>
      <c r="D1500" s="195">
        <v>2168.9</v>
      </c>
      <c r="E1500" s="196">
        <v>44817</v>
      </c>
      <c r="F1500" s="195">
        <v>2168.9</v>
      </c>
      <c r="G1500" s="197">
        <f>Tabla110[[#This Row],[Importe]]-Tabla110[[#This Row],[Pagado]]</f>
        <v>0</v>
      </c>
      <c r="H1500" s="194" t="s">
        <v>10</v>
      </c>
    </row>
    <row r="1501" spans="1:8" x14ac:dyDescent="0.25">
      <c r="A1501" s="127">
        <v>44817</v>
      </c>
      <c r="B1501" s="128" t="s">
        <v>29570</v>
      </c>
      <c r="C1501" s="194" t="s">
        <v>71</v>
      </c>
      <c r="D1501" s="195">
        <v>1560.2</v>
      </c>
      <c r="E1501" s="196">
        <v>44817</v>
      </c>
      <c r="F1501" s="195">
        <v>1560.2</v>
      </c>
      <c r="G1501" s="197">
        <f>Tabla110[[#This Row],[Importe]]-Tabla110[[#This Row],[Pagado]]</f>
        <v>0</v>
      </c>
      <c r="H1501" s="194" t="s">
        <v>10</v>
      </c>
    </row>
    <row r="1502" spans="1:8" x14ac:dyDescent="0.25">
      <c r="A1502" s="127">
        <v>44817</v>
      </c>
      <c r="B1502" s="128" t="s">
        <v>29571</v>
      </c>
      <c r="C1502" s="194" t="s">
        <v>8801</v>
      </c>
      <c r="D1502" s="195">
        <v>19639.2</v>
      </c>
      <c r="E1502" s="196">
        <v>44817</v>
      </c>
      <c r="F1502" s="195">
        <v>19639.2</v>
      </c>
      <c r="G1502" s="197">
        <f>Tabla110[[#This Row],[Importe]]-Tabla110[[#This Row],[Pagado]]</f>
        <v>0</v>
      </c>
      <c r="H1502" s="194" t="s">
        <v>10</v>
      </c>
    </row>
    <row r="1503" spans="1:8" x14ac:dyDescent="0.25">
      <c r="A1503" s="127">
        <v>44817</v>
      </c>
      <c r="B1503" s="128" t="s">
        <v>29572</v>
      </c>
      <c r="C1503" s="194" t="s">
        <v>8801</v>
      </c>
      <c r="D1503" s="195">
        <v>2179.1999999999998</v>
      </c>
      <c r="E1503" s="196">
        <v>44817</v>
      </c>
      <c r="F1503" s="195">
        <v>2179.1999999999998</v>
      </c>
      <c r="G1503" s="197">
        <f>Tabla110[[#This Row],[Importe]]-Tabla110[[#This Row],[Pagado]]</f>
        <v>0</v>
      </c>
      <c r="H1503" s="194" t="s">
        <v>10</v>
      </c>
    </row>
    <row r="1504" spans="1:8" x14ac:dyDescent="0.25">
      <c r="A1504" s="127">
        <v>44817</v>
      </c>
      <c r="B1504" s="128" t="s">
        <v>29573</v>
      </c>
      <c r="C1504" s="194" t="s">
        <v>452</v>
      </c>
      <c r="D1504" s="195">
        <v>3480.9</v>
      </c>
      <c r="E1504" s="196">
        <v>44817</v>
      </c>
      <c r="F1504" s="195">
        <v>3480.9</v>
      </c>
      <c r="G1504" s="197">
        <f>Tabla110[[#This Row],[Importe]]-Tabla110[[#This Row],[Pagado]]</f>
        <v>0</v>
      </c>
      <c r="H1504" s="194" t="s">
        <v>10</v>
      </c>
    </row>
    <row r="1505" spans="1:8" x14ac:dyDescent="0.25">
      <c r="A1505" s="127">
        <v>44817</v>
      </c>
      <c r="B1505" s="128" t="s">
        <v>29574</v>
      </c>
      <c r="C1505" s="194" t="s">
        <v>12</v>
      </c>
      <c r="D1505" s="195">
        <v>11420</v>
      </c>
      <c r="E1505" s="196">
        <v>44817</v>
      </c>
      <c r="F1505" s="195">
        <v>11420</v>
      </c>
      <c r="G1505" s="197">
        <f>Tabla110[[#This Row],[Importe]]-Tabla110[[#This Row],[Pagado]]</f>
        <v>0</v>
      </c>
      <c r="H1505" s="194" t="s">
        <v>10</v>
      </c>
    </row>
    <row r="1506" spans="1:8" x14ac:dyDescent="0.25">
      <c r="A1506" s="127">
        <v>44817</v>
      </c>
      <c r="B1506" s="128" t="s">
        <v>29575</v>
      </c>
      <c r="C1506" s="194" t="s">
        <v>31</v>
      </c>
      <c r="D1506" s="195">
        <v>532.79999999999995</v>
      </c>
      <c r="E1506" s="196">
        <v>44817</v>
      </c>
      <c r="F1506" s="195">
        <v>532.79999999999995</v>
      </c>
      <c r="G1506" s="197">
        <f>Tabla110[[#This Row],[Importe]]-Tabla110[[#This Row],[Pagado]]</f>
        <v>0</v>
      </c>
      <c r="H1506" s="194" t="s">
        <v>10</v>
      </c>
    </row>
    <row r="1507" spans="1:8" x14ac:dyDescent="0.25">
      <c r="A1507" s="127">
        <v>44817</v>
      </c>
      <c r="B1507" s="128" t="s">
        <v>29576</v>
      </c>
      <c r="C1507" s="194" t="s">
        <v>12</v>
      </c>
      <c r="D1507" s="195">
        <v>13195</v>
      </c>
      <c r="E1507" s="196">
        <v>44817</v>
      </c>
      <c r="F1507" s="195">
        <v>13195</v>
      </c>
      <c r="G1507" s="197">
        <f>Tabla110[[#This Row],[Importe]]-Tabla110[[#This Row],[Pagado]]</f>
        <v>0</v>
      </c>
      <c r="H1507" s="194" t="s">
        <v>10</v>
      </c>
    </row>
    <row r="1508" spans="1:8" x14ac:dyDescent="0.25">
      <c r="A1508" s="127">
        <v>44817</v>
      </c>
      <c r="B1508" s="128" t="s">
        <v>29577</v>
      </c>
      <c r="C1508" s="194" t="s">
        <v>612</v>
      </c>
      <c r="D1508" s="195">
        <v>840</v>
      </c>
      <c r="E1508" s="196">
        <v>44817</v>
      </c>
      <c r="F1508" s="195">
        <v>840</v>
      </c>
      <c r="G1508" s="197">
        <f>Tabla110[[#This Row],[Importe]]-Tabla110[[#This Row],[Pagado]]</f>
        <v>0</v>
      </c>
      <c r="H1508" s="194" t="s">
        <v>10</v>
      </c>
    </row>
    <row r="1509" spans="1:8" x14ac:dyDescent="0.25">
      <c r="A1509" s="127">
        <v>44817</v>
      </c>
      <c r="B1509" s="128" t="s">
        <v>29578</v>
      </c>
      <c r="C1509" s="194" t="s">
        <v>181</v>
      </c>
      <c r="D1509" s="195">
        <v>8618.4</v>
      </c>
      <c r="E1509" s="196">
        <v>44818</v>
      </c>
      <c r="F1509" s="195">
        <v>8618.4</v>
      </c>
      <c r="G1509" s="197">
        <f>Tabla110[[#This Row],[Importe]]-Tabla110[[#This Row],[Pagado]]</f>
        <v>0</v>
      </c>
      <c r="H1509" s="194" t="s">
        <v>10</v>
      </c>
    </row>
    <row r="1510" spans="1:8" x14ac:dyDescent="0.25">
      <c r="A1510" s="127">
        <v>44817</v>
      </c>
      <c r="B1510" s="128" t="s">
        <v>29579</v>
      </c>
      <c r="C1510" s="194" t="s">
        <v>31</v>
      </c>
      <c r="D1510" s="195">
        <v>5092.3999999999996</v>
      </c>
      <c r="E1510" s="196">
        <v>44817</v>
      </c>
      <c r="F1510" s="195">
        <v>5092.3999999999996</v>
      </c>
      <c r="G1510" s="197">
        <f>Tabla110[[#This Row],[Importe]]-Tabla110[[#This Row],[Pagado]]</f>
        <v>0</v>
      </c>
      <c r="H1510" s="194" t="s">
        <v>10</v>
      </c>
    </row>
    <row r="1511" spans="1:8" x14ac:dyDescent="0.25">
      <c r="A1511" s="127">
        <v>44817</v>
      </c>
      <c r="B1511" s="128" t="s">
        <v>29580</v>
      </c>
      <c r="C1511" s="194" t="s">
        <v>12</v>
      </c>
      <c r="D1511" s="195">
        <v>4807</v>
      </c>
      <c r="E1511" s="196">
        <v>44817</v>
      </c>
      <c r="F1511" s="195">
        <v>4807</v>
      </c>
      <c r="G1511" s="197">
        <f>Tabla110[[#This Row],[Importe]]-Tabla110[[#This Row],[Pagado]]</f>
        <v>0</v>
      </c>
      <c r="H1511" s="194" t="s">
        <v>10</v>
      </c>
    </row>
    <row r="1512" spans="1:8" x14ac:dyDescent="0.25">
      <c r="A1512" s="127">
        <v>44817</v>
      </c>
      <c r="B1512" s="128" t="s">
        <v>29581</v>
      </c>
      <c r="C1512" s="194" t="s">
        <v>433</v>
      </c>
      <c r="D1512" s="195">
        <v>22200</v>
      </c>
      <c r="E1512" s="196">
        <v>44817</v>
      </c>
      <c r="F1512" s="195">
        <v>22200</v>
      </c>
      <c r="G1512" s="197">
        <f>Tabla110[[#This Row],[Importe]]-Tabla110[[#This Row],[Pagado]]</f>
        <v>0</v>
      </c>
      <c r="H1512" s="194" t="s">
        <v>10</v>
      </c>
    </row>
    <row r="1513" spans="1:8" x14ac:dyDescent="0.25">
      <c r="A1513" s="127">
        <v>44817</v>
      </c>
      <c r="B1513" s="128" t="s">
        <v>29582</v>
      </c>
      <c r="C1513" s="194" t="s">
        <v>12</v>
      </c>
      <c r="D1513" s="195">
        <v>4447.5</v>
      </c>
      <c r="E1513" s="196">
        <v>44817</v>
      </c>
      <c r="F1513" s="195">
        <v>4447.5</v>
      </c>
      <c r="G1513" s="197">
        <f>Tabla110[[#This Row],[Importe]]-Tabla110[[#This Row],[Pagado]]</f>
        <v>0</v>
      </c>
      <c r="H1513" s="194" t="s">
        <v>10</v>
      </c>
    </row>
    <row r="1514" spans="1:8" x14ac:dyDescent="0.25">
      <c r="A1514" s="127">
        <v>44817</v>
      </c>
      <c r="B1514" s="128" t="s">
        <v>29583</v>
      </c>
      <c r="C1514" s="194" t="s">
        <v>142</v>
      </c>
      <c r="D1514" s="195">
        <v>93240.65</v>
      </c>
      <c r="E1514" s="196">
        <v>44848</v>
      </c>
      <c r="F1514" s="195">
        <v>93240.65</v>
      </c>
      <c r="G1514" s="197">
        <f>Tabla110[[#This Row],[Importe]]-Tabla110[[#This Row],[Pagado]]</f>
        <v>0</v>
      </c>
      <c r="H1514" s="194" t="s">
        <v>10</v>
      </c>
    </row>
    <row r="1515" spans="1:8" x14ac:dyDescent="0.25">
      <c r="A1515" s="127">
        <v>44817</v>
      </c>
      <c r="B1515" s="128" t="s">
        <v>29584</v>
      </c>
      <c r="C1515" s="194" t="s">
        <v>284</v>
      </c>
      <c r="D1515" s="195">
        <v>7548</v>
      </c>
      <c r="E1515" s="196">
        <v>44818</v>
      </c>
      <c r="F1515" s="195">
        <v>7548</v>
      </c>
      <c r="G1515" s="197">
        <f>Tabla110[[#This Row],[Importe]]-Tabla110[[#This Row],[Pagado]]</f>
        <v>0</v>
      </c>
      <c r="H1515" s="194" t="s">
        <v>10</v>
      </c>
    </row>
    <row r="1516" spans="1:8" x14ac:dyDescent="0.25">
      <c r="A1516" s="127">
        <v>44817</v>
      </c>
      <c r="B1516" s="128" t="s">
        <v>29585</v>
      </c>
      <c r="C1516" s="194" t="s">
        <v>280</v>
      </c>
      <c r="D1516" s="195">
        <v>769.6</v>
      </c>
      <c r="E1516" s="196">
        <v>44818</v>
      </c>
      <c r="F1516" s="195">
        <v>769.6</v>
      </c>
      <c r="G1516" s="197">
        <f>Tabla110[[#This Row],[Importe]]-Tabla110[[#This Row],[Pagado]]</f>
        <v>0</v>
      </c>
      <c r="H1516" s="194" t="s">
        <v>10</v>
      </c>
    </row>
    <row r="1517" spans="1:8" x14ac:dyDescent="0.25">
      <c r="A1517" s="127">
        <v>44817</v>
      </c>
      <c r="B1517" s="128" t="s">
        <v>29586</v>
      </c>
      <c r="C1517" s="194" t="s">
        <v>5345</v>
      </c>
      <c r="D1517" s="195">
        <v>1287.5999999999999</v>
      </c>
      <c r="E1517" s="196">
        <v>44818</v>
      </c>
      <c r="F1517" s="195">
        <v>1287.5999999999999</v>
      </c>
      <c r="G1517" s="197">
        <f>Tabla110[[#This Row],[Importe]]-Tabla110[[#This Row],[Pagado]]</f>
        <v>0</v>
      </c>
      <c r="H1517" s="194" t="s">
        <v>10</v>
      </c>
    </row>
    <row r="1518" spans="1:8" x14ac:dyDescent="0.25">
      <c r="A1518" s="127">
        <v>44817</v>
      </c>
      <c r="B1518" s="128" t="s">
        <v>29587</v>
      </c>
      <c r="C1518" s="194" t="s">
        <v>5345</v>
      </c>
      <c r="D1518" s="195">
        <v>695.6</v>
      </c>
      <c r="E1518" s="196">
        <v>44818</v>
      </c>
      <c r="F1518" s="195">
        <v>695.6</v>
      </c>
      <c r="G1518" s="197">
        <f>Tabla110[[#This Row],[Importe]]-Tabla110[[#This Row],[Pagado]]</f>
        <v>0</v>
      </c>
      <c r="H1518" s="194" t="s">
        <v>10</v>
      </c>
    </row>
    <row r="1519" spans="1:8" x14ac:dyDescent="0.25">
      <c r="A1519" s="127">
        <v>44817</v>
      </c>
      <c r="B1519" s="128" t="s">
        <v>29588</v>
      </c>
      <c r="C1519" s="194" t="s">
        <v>10819</v>
      </c>
      <c r="D1519" s="195">
        <v>1776</v>
      </c>
      <c r="E1519" s="196">
        <v>44818</v>
      </c>
      <c r="F1519" s="195">
        <v>1776</v>
      </c>
      <c r="G1519" s="197">
        <f>Tabla110[[#This Row],[Importe]]-Tabla110[[#This Row],[Pagado]]</f>
        <v>0</v>
      </c>
      <c r="H1519" s="194" t="s">
        <v>10</v>
      </c>
    </row>
    <row r="1520" spans="1:8" x14ac:dyDescent="0.25">
      <c r="A1520" s="127">
        <v>44817</v>
      </c>
      <c r="B1520" s="128" t="s">
        <v>29589</v>
      </c>
      <c r="C1520" s="194" t="s">
        <v>31</v>
      </c>
      <c r="D1520" s="195">
        <v>2534.4</v>
      </c>
      <c r="E1520" s="196">
        <v>44817</v>
      </c>
      <c r="F1520" s="195">
        <v>2534.4</v>
      </c>
      <c r="G1520" s="197">
        <f>Tabla110[[#This Row],[Importe]]-Tabla110[[#This Row],[Pagado]]</f>
        <v>0</v>
      </c>
      <c r="H1520" s="194" t="s">
        <v>10</v>
      </c>
    </row>
    <row r="1521" spans="1:8" x14ac:dyDescent="0.25">
      <c r="A1521" s="127">
        <v>44817</v>
      </c>
      <c r="B1521" s="128" t="s">
        <v>29590</v>
      </c>
      <c r="C1521" s="194" t="s">
        <v>149</v>
      </c>
      <c r="D1521" s="195">
        <v>1679.7</v>
      </c>
      <c r="E1521" s="196">
        <v>44817</v>
      </c>
      <c r="F1521" s="195">
        <v>1679.7</v>
      </c>
      <c r="G1521" s="197">
        <f>Tabla110[[#This Row],[Importe]]-Tabla110[[#This Row],[Pagado]]</f>
        <v>0</v>
      </c>
      <c r="H1521" s="194" t="s">
        <v>10</v>
      </c>
    </row>
    <row r="1522" spans="1:8" x14ac:dyDescent="0.25">
      <c r="A1522" s="127">
        <v>44817</v>
      </c>
      <c r="B1522" s="128" t="s">
        <v>29591</v>
      </c>
      <c r="C1522" s="194" t="s">
        <v>407</v>
      </c>
      <c r="D1522" s="195">
        <v>36030.6</v>
      </c>
      <c r="E1522" s="196">
        <v>44844</v>
      </c>
      <c r="F1522" s="195">
        <v>36030.6</v>
      </c>
      <c r="G1522" s="197">
        <f>Tabla110[[#This Row],[Importe]]-Tabla110[[#This Row],[Pagado]]</f>
        <v>0</v>
      </c>
      <c r="H1522" s="194" t="s">
        <v>10</v>
      </c>
    </row>
    <row r="1523" spans="1:8" x14ac:dyDescent="0.25">
      <c r="A1523" s="127">
        <v>44817</v>
      </c>
      <c r="B1523" s="128" t="s">
        <v>29592</v>
      </c>
      <c r="C1523" s="194" t="s">
        <v>414</v>
      </c>
      <c r="D1523" s="195">
        <v>2160</v>
      </c>
      <c r="E1523" s="196">
        <v>44818</v>
      </c>
      <c r="F1523" s="195">
        <v>2160</v>
      </c>
      <c r="G1523" s="197">
        <f>Tabla110[[#This Row],[Importe]]-Tabla110[[#This Row],[Pagado]]</f>
        <v>0</v>
      </c>
      <c r="H1523" s="194" t="s">
        <v>10</v>
      </c>
    </row>
    <row r="1524" spans="1:8" x14ac:dyDescent="0.25">
      <c r="A1524" s="127">
        <v>44817</v>
      </c>
      <c r="B1524" s="128" t="s">
        <v>29593</v>
      </c>
      <c r="C1524" s="194" t="s">
        <v>31</v>
      </c>
      <c r="D1524" s="195">
        <v>717.8</v>
      </c>
      <c r="E1524" s="196">
        <v>44817</v>
      </c>
      <c r="F1524" s="195">
        <v>717.8</v>
      </c>
      <c r="G1524" s="197">
        <f>Tabla110[[#This Row],[Importe]]-Tabla110[[#This Row],[Pagado]]</f>
        <v>0</v>
      </c>
      <c r="H1524" s="194" t="s">
        <v>10</v>
      </c>
    </row>
    <row r="1525" spans="1:8" x14ac:dyDescent="0.25">
      <c r="A1525" s="127">
        <v>44817</v>
      </c>
      <c r="B1525" s="128" t="s">
        <v>29594</v>
      </c>
      <c r="C1525" s="194" t="s">
        <v>681</v>
      </c>
      <c r="D1525" s="195">
        <v>13.73</v>
      </c>
      <c r="E1525" s="196">
        <v>44825</v>
      </c>
      <c r="F1525" s="195">
        <v>13.73</v>
      </c>
      <c r="G1525" s="197">
        <f>Tabla110[[#This Row],[Importe]]-Tabla110[[#This Row],[Pagado]]</f>
        <v>0</v>
      </c>
      <c r="H1525" s="194" t="s">
        <v>10</v>
      </c>
    </row>
    <row r="1526" spans="1:8" x14ac:dyDescent="0.25">
      <c r="A1526" s="127">
        <v>44817</v>
      </c>
      <c r="B1526" s="128" t="s">
        <v>29595</v>
      </c>
      <c r="C1526" s="194" t="s">
        <v>845</v>
      </c>
      <c r="D1526" s="195">
        <v>2379.3000000000002</v>
      </c>
      <c r="E1526" s="196">
        <v>44817</v>
      </c>
      <c r="F1526" s="195">
        <v>2379.3000000000002</v>
      </c>
      <c r="G1526" s="197">
        <f>Tabla110[[#This Row],[Importe]]-Tabla110[[#This Row],[Pagado]]</f>
        <v>0</v>
      </c>
      <c r="H1526" s="194" t="s">
        <v>10</v>
      </c>
    </row>
    <row r="1527" spans="1:8" x14ac:dyDescent="0.25">
      <c r="A1527" s="127">
        <v>44817</v>
      </c>
      <c r="B1527" s="128" t="s">
        <v>29596</v>
      </c>
      <c r="C1527" s="194" t="s">
        <v>407</v>
      </c>
      <c r="D1527" s="195">
        <v>5850</v>
      </c>
      <c r="E1527" s="196">
        <v>44820</v>
      </c>
      <c r="F1527" s="195">
        <v>5850</v>
      </c>
      <c r="G1527" s="197">
        <f>Tabla110[[#This Row],[Importe]]-Tabla110[[#This Row],[Pagado]]</f>
        <v>0</v>
      </c>
      <c r="H1527" s="194" t="s">
        <v>10</v>
      </c>
    </row>
    <row r="1528" spans="1:8" x14ac:dyDescent="0.25">
      <c r="A1528" s="127">
        <v>44817</v>
      </c>
      <c r="B1528" s="128" t="s">
        <v>29597</v>
      </c>
      <c r="C1528" s="194" t="s">
        <v>191</v>
      </c>
      <c r="D1528" s="195">
        <v>234</v>
      </c>
      <c r="E1528" s="196">
        <v>44817</v>
      </c>
      <c r="F1528" s="195">
        <v>234</v>
      </c>
      <c r="G1528" s="197">
        <f>Tabla110[[#This Row],[Importe]]-Tabla110[[#This Row],[Pagado]]</f>
        <v>0</v>
      </c>
      <c r="H1528" s="194" t="s">
        <v>10</v>
      </c>
    </row>
    <row r="1529" spans="1:8" x14ac:dyDescent="0.25">
      <c r="A1529" s="127">
        <v>44817</v>
      </c>
      <c r="B1529" s="128" t="s">
        <v>29598</v>
      </c>
      <c r="C1529" s="194" t="s">
        <v>670</v>
      </c>
      <c r="D1529" s="195">
        <v>2447.5</v>
      </c>
      <c r="E1529" s="196">
        <v>44817</v>
      </c>
      <c r="F1529" s="195">
        <v>2447.5</v>
      </c>
      <c r="G1529" s="197">
        <f>Tabla110[[#This Row],[Importe]]-Tabla110[[#This Row],[Pagado]]</f>
        <v>0</v>
      </c>
      <c r="H1529" s="194" t="s">
        <v>10</v>
      </c>
    </row>
    <row r="1530" spans="1:8" x14ac:dyDescent="0.25">
      <c r="A1530" s="127">
        <v>44817</v>
      </c>
      <c r="B1530" s="128" t="s">
        <v>29599</v>
      </c>
      <c r="C1530" s="194" t="s">
        <v>583</v>
      </c>
      <c r="D1530" s="195">
        <v>2255</v>
      </c>
      <c r="E1530" s="196">
        <v>44817</v>
      </c>
      <c r="F1530" s="195">
        <v>2255</v>
      </c>
      <c r="G1530" s="197">
        <f>Tabla110[[#This Row],[Importe]]-Tabla110[[#This Row],[Pagado]]</f>
        <v>0</v>
      </c>
      <c r="H1530" s="194" t="s">
        <v>10</v>
      </c>
    </row>
    <row r="1531" spans="1:8" x14ac:dyDescent="0.25">
      <c r="A1531" s="127">
        <v>44817</v>
      </c>
      <c r="B1531" s="128" t="s">
        <v>29600</v>
      </c>
      <c r="C1531" s="194" t="s">
        <v>53</v>
      </c>
      <c r="D1531" s="195">
        <v>615</v>
      </c>
      <c r="E1531" s="196">
        <v>44817</v>
      </c>
      <c r="F1531" s="195">
        <v>615</v>
      </c>
      <c r="G1531" s="197">
        <f>Tabla110[[#This Row],[Importe]]-Tabla110[[#This Row],[Pagado]]</f>
        <v>0</v>
      </c>
      <c r="H1531" s="194" t="s">
        <v>10</v>
      </c>
    </row>
    <row r="1532" spans="1:8" x14ac:dyDescent="0.25">
      <c r="A1532" s="127">
        <v>44817</v>
      </c>
      <c r="B1532" s="128" t="s">
        <v>29601</v>
      </c>
      <c r="C1532" s="194" t="s">
        <v>9993</v>
      </c>
      <c r="D1532" s="195">
        <v>44793.4</v>
      </c>
      <c r="E1532" s="196">
        <v>44817</v>
      </c>
      <c r="F1532" s="195">
        <v>44793.4</v>
      </c>
      <c r="G1532" s="197">
        <f>Tabla110[[#This Row],[Importe]]-Tabla110[[#This Row],[Pagado]]</f>
        <v>0</v>
      </c>
      <c r="H1532" s="194" t="s">
        <v>10</v>
      </c>
    </row>
    <row r="1533" spans="1:8" x14ac:dyDescent="0.25">
      <c r="A1533" s="127">
        <v>44817</v>
      </c>
      <c r="B1533" s="128" t="s">
        <v>29602</v>
      </c>
      <c r="C1533" s="194" t="s">
        <v>10678</v>
      </c>
      <c r="D1533" s="195">
        <v>2508</v>
      </c>
      <c r="E1533" s="196">
        <v>44817</v>
      </c>
      <c r="F1533" s="195">
        <v>2508</v>
      </c>
      <c r="G1533" s="197">
        <f>Tabla110[[#This Row],[Importe]]-Tabla110[[#This Row],[Pagado]]</f>
        <v>0</v>
      </c>
      <c r="H1533" s="194" t="s">
        <v>10</v>
      </c>
    </row>
    <row r="1534" spans="1:8" x14ac:dyDescent="0.25">
      <c r="A1534" s="127">
        <v>44817</v>
      </c>
      <c r="B1534" s="128" t="s">
        <v>29603</v>
      </c>
      <c r="C1534" s="194" t="s">
        <v>9993</v>
      </c>
      <c r="D1534" s="195">
        <v>13711.2</v>
      </c>
      <c r="E1534" s="196">
        <v>44817</v>
      </c>
      <c r="F1534" s="195">
        <v>13711.2</v>
      </c>
      <c r="G1534" s="197">
        <f>Tabla110[[#This Row],[Importe]]-Tabla110[[#This Row],[Pagado]]</f>
        <v>0</v>
      </c>
      <c r="H1534" s="194" t="s">
        <v>10</v>
      </c>
    </row>
    <row r="1535" spans="1:8" x14ac:dyDescent="0.25">
      <c r="A1535" s="127">
        <v>44817</v>
      </c>
      <c r="B1535" s="128" t="s">
        <v>29604</v>
      </c>
      <c r="C1535" s="194" t="s">
        <v>31</v>
      </c>
      <c r="D1535" s="195">
        <v>2349</v>
      </c>
      <c r="E1535" s="196">
        <v>44817</v>
      </c>
      <c r="F1535" s="195">
        <v>2349</v>
      </c>
      <c r="G1535" s="197">
        <f>Tabla110[[#This Row],[Importe]]-Tabla110[[#This Row],[Pagado]]</f>
        <v>0</v>
      </c>
      <c r="H1535" s="194" t="s">
        <v>10</v>
      </c>
    </row>
    <row r="1536" spans="1:8" x14ac:dyDescent="0.25">
      <c r="A1536" s="127">
        <v>44817</v>
      </c>
      <c r="B1536" s="128" t="s">
        <v>29605</v>
      </c>
      <c r="C1536" s="194" t="s">
        <v>18045</v>
      </c>
      <c r="D1536" s="195">
        <v>0</v>
      </c>
      <c r="E1536" s="199" t="s">
        <v>189</v>
      </c>
      <c r="F1536" s="195">
        <v>0</v>
      </c>
      <c r="G1536" s="197">
        <f>Tabla110[[#This Row],[Importe]]-Tabla110[[#This Row],[Pagado]]</f>
        <v>0</v>
      </c>
      <c r="H1536" s="200" t="s">
        <v>29606</v>
      </c>
    </row>
    <row r="1537" spans="1:8" x14ac:dyDescent="0.25">
      <c r="A1537" s="127">
        <v>44817</v>
      </c>
      <c r="B1537" s="128" t="s">
        <v>29607</v>
      </c>
      <c r="C1537" s="194" t="s">
        <v>466</v>
      </c>
      <c r="D1537" s="195">
        <v>3750</v>
      </c>
      <c r="E1537" s="196">
        <v>44817</v>
      </c>
      <c r="F1537" s="195">
        <v>3750</v>
      </c>
      <c r="G1537" s="197">
        <f>Tabla110[[#This Row],[Importe]]-Tabla110[[#This Row],[Pagado]]</f>
        <v>0</v>
      </c>
      <c r="H1537" s="194" t="s">
        <v>10</v>
      </c>
    </row>
    <row r="1538" spans="1:8" x14ac:dyDescent="0.25">
      <c r="A1538" s="127">
        <v>44817</v>
      </c>
      <c r="B1538" s="128" t="s">
        <v>29608</v>
      </c>
      <c r="C1538" s="194" t="s">
        <v>114</v>
      </c>
      <c r="D1538" s="195">
        <v>6476</v>
      </c>
      <c r="E1538" s="196">
        <v>44817</v>
      </c>
      <c r="F1538" s="195">
        <v>6476</v>
      </c>
      <c r="G1538" s="197">
        <f>Tabla110[[#This Row],[Importe]]-Tabla110[[#This Row],[Pagado]]</f>
        <v>0</v>
      </c>
      <c r="H1538" s="194" t="s">
        <v>10</v>
      </c>
    </row>
    <row r="1539" spans="1:8" x14ac:dyDescent="0.25">
      <c r="A1539" s="127">
        <v>44817</v>
      </c>
      <c r="B1539" s="128" t="s">
        <v>29609</v>
      </c>
      <c r="C1539" s="194" t="s">
        <v>1706</v>
      </c>
      <c r="D1539" s="195">
        <v>3232</v>
      </c>
      <c r="E1539" s="196">
        <v>44817</v>
      </c>
      <c r="F1539" s="195">
        <v>3232</v>
      </c>
      <c r="G1539" s="197">
        <f>Tabla110[[#This Row],[Importe]]-Tabla110[[#This Row],[Pagado]]</f>
        <v>0</v>
      </c>
      <c r="H1539" s="194" t="s">
        <v>10</v>
      </c>
    </row>
    <row r="1540" spans="1:8" x14ac:dyDescent="0.25">
      <c r="A1540" s="127">
        <v>44817</v>
      </c>
      <c r="B1540" s="128" t="s">
        <v>29610</v>
      </c>
      <c r="C1540" s="194" t="s">
        <v>10190</v>
      </c>
      <c r="D1540" s="195">
        <v>31963.8</v>
      </c>
      <c r="E1540" s="196">
        <v>44818</v>
      </c>
      <c r="F1540" s="195">
        <v>31963.8</v>
      </c>
      <c r="G1540" s="197">
        <f>Tabla110[[#This Row],[Importe]]-Tabla110[[#This Row],[Pagado]]</f>
        <v>0</v>
      </c>
      <c r="H1540" s="194" t="s">
        <v>10</v>
      </c>
    </row>
    <row r="1541" spans="1:8" x14ac:dyDescent="0.25">
      <c r="A1541" s="127">
        <v>44817</v>
      </c>
      <c r="B1541" s="128" t="s">
        <v>29611</v>
      </c>
      <c r="C1541" s="194" t="s">
        <v>31</v>
      </c>
      <c r="D1541" s="195">
        <v>438.6</v>
      </c>
      <c r="E1541" s="196">
        <v>44817</v>
      </c>
      <c r="F1541" s="195">
        <v>438.6</v>
      </c>
      <c r="G1541" s="197">
        <f>Tabla110[[#This Row],[Importe]]-Tabla110[[#This Row],[Pagado]]</f>
        <v>0</v>
      </c>
      <c r="H1541" s="194" t="s">
        <v>10</v>
      </c>
    </row>
    <row r="1542" spans="1:8" ht="31.5" x14ac:dyDescent="0.25">
      <c r="A1542" s="127">
        <v>44817</v>
      </c>
      <c r="B1542" s="128" t="s">
        <v>29612</v>
      </c>
      <c r="C1542" s="194" t="s">
        <v>887</v>
      </c>
      <c r="D1542" s="195">
        <v>48820.800000000003</v>
      </c>
      <c r="E1542" s="198" t="s">
        <v>29613</v>
      </c>
      <c r="F1542" s="195">
        <f>41000+7820.8</f>
        <v>48820.800000000003</v>
      </c>
      <c r="G1542" s="197">
        <f>Tabla110[[#This Row],[Importe]]-Tabla110[[#This Row],[Pagado]]</f>
        <v>0</v>
      </c>
      <c r="H1542" s="194" t="s">
        <v>10</v>
      </c>
    </row>
    <row r="1543" spans="1:8" x14ac:dyDescent="0.25">
      <c r="A1543" s="127">
        <v>44817</v>
      </c>
      <c r="B1543" s="128" t="s">
        <v>29614</v>
      </c>
      <c r="C1543" s="194" t="s">
        <v>475</v>
      </c>
      <c r="D1543" s="195">
        <v>45276</v>
      </c>
      <c r="E1543" s="196">
        <v>44819</v>
      </c>
      <c r="F1543" s="195">
        <v>45276</v>
      </c>
      <c r="G1543" s="197">
        <f>Tabla110[[#This Row],[Importe]]-Tabla110[[#This Row],[Pagado]]</f>
        <v>0</v>
      </c>
      <c r="H1543" s="194" t="s">
        <v>10</v>
      </c>
    </row>
    <row r="1544" spans="1:8" x14ac:dyDescent="0.25">
      <c r="A1544" s="127">
        <v>44817</v>
      </c>
      <c r="B1544" s="128" t="s">
        <v>29615</v>
      </c>
      <c r="C1544" s="194" t="s">
        <v>31</v>
      </c>
      <c r="D1544" s="195">
        <v>71</v>
      </c>
      <c r="E1544" s="196">
        <v>44817</v>
      </c>
      <c r="F1544" s="195">
        <v>71</v>
      </c>
      <c r="G1544" s="197">
        <f>Tabla110[[#This Row],[Importe]]-Tabla110[[#This Row],[Pagado]]</f>
        <v>0</v>
      </c>
      <c r="H1544" s="194" t="s">
        <v>10</v>
      </c>
    </row>
    <row r="1545" spans="1:8" ht="31.5" x14ac:dyDescent="0.25">
      <c r="A1545" s="127">
        <v>44817</v>
      </c>
      <c r="B1545" s="128" t="s">
        <v>29616</v>
      </c>
      <c r="C1545" s="194" t="s">
        <v>475</v>
      </c>
      <c r="D1545" s="195">
        <v>1800</v>
      </c>
      <c r="E1545" s="198" t="s">
        <v>29617</v>
      </c>
      <c r="F1545" s="195">
        <f>1699+101</f>
        <v>1800</v>
      </c>
      <c r="G1545" s="197">
        <f>Tabla110[[#This Row],[Importe]]-Tabla110[[#This Row],[Pagado]]</f>
        <v>0</v>
      </c>
      <c r="H1545" s="194" t="s">
        <v>10</v>
      </c>
    </row>
    <row r="1546" spans="1:8" x14ac:dyDescent="0.25">
      <c r="A1546" s="127">
        <v>44817</v>
      </c>
      <c r="B1546" s="128" t="s">
        <v>29618</v>
      </c>
      <c r="C1546" s="194" t="s">
        <v>407</v>
      </c>
      <c r="D1546" s="195">
        <v>10800</v>
      </c>
      <c r="E1546" s="196">
        <v>44820</v>
      </c>
      <c r="F1546" s="195">
        <v>10800</v>
      </c>
      <c r="G1546" s="197">
        <f>Tabla110[[#This Row],[Importe]]-Tabla110[[#This Row],[Pagado]]</f>
        <v>0</v>
      </c>
      <c r="H1546" s="194" t="s">
        <v>10</v>
      </c>
    </row>
    <row r="1547" spans="1:8" x14ac:dyDescent="0.25">
      <c r="A1547" s="127">
        <v>44817</v>
      </c>
      <c r="B1547" s="128" t="s">
        <v>29619</v>
      </c>
      <c r="C1547" s="194" t="s">
        <v>10324</v>
      </c>
      <c r="D1547" s="195">
        <v>3537.2</v>
      </c>
      <c r="E1547" s="196">
        <v>44817</v>
      </c>
      <c r="F1547" s="195">
        <v>3537.2</v>
      </c>
      <c r="G1547" s="197">
        <f>Tabla110[[#This Row],[Importe]]-Tabla110[[#This Row],[Pagado]]</f>
        <v>0</v>
      </c>
      <c r="H1547" s="194" t="s">
        <v>10</v>
      </c>
    </row>
    <row r="1548" spans="1:8" x14ac:dyDescent="0.25">
      <c r="A1548" s="127">
        <v>44817</v>
      </c>
      <c r="B1548" s="128" t="s">
        <v>29620</v>
      </c>
      <c r="C1548" s="194" t="s">
        <v>31</v>
      </c>
      <c r="D1548" s="195">
        <v>4264</v>
      </c>
      <c r="E1548" s="196">
        <v>44817</v>
      </c>
      <c r="F1548" s="195">
        <v>4264</v>
      </c>
      <c r="G1548" s="197">
        <f>Tabla110[[#This Row],[Importe]]-Tabla110[[#This Row],[Pagado]]</f>
        <v>0</v>
      </c>
      <c r="H1548" s="194" t="s">
        <v>10</v>
      </c>
    </row>
    <row r="1549" spans="1:8" x14ac:dyDescent="0.25">
      <c r="A1549" s="127">
        <v>44817</v>
      </c>
      <c r="B1549" s="128" t="s">
        <v>29621</v>
      </c>
      <c r="C1549" s="194" t="s">
        <v>12</v>
      </c>
      <c r="D1549" s="195">
        <v>5768.4</v>
      </c>
      <c r="E1549" s="196">
        <v>44817</v>
      </c>
      <c r="F1549" s="195">
        <v>5768.4</v>
      </c>
      <c r="G1549" s="197">
        <f>Tabla110[[#This Row],[Importe]]-Tabla110[[#This Row],[Pagado]]</f>
        <v>0</v>
      </c>
      <c r="H1549" s="194" t="s">
        <v>10</v>
      </c>
    </row>
    <row r="1550" spans="1:8" x14ac:dyDescent="0.25">
      <c r="A1550" s="127">
        <v>44817</v>
      </c>
      <c r="B1550" s="128" t="s">
        <v>29622</v>
      </c>
      <c r="C1550" s="194" t="s">
        <v>12</v>
      </c>
      <c r="D1550" s="195">
        <v>1375.6</v>
      </c>
      <c r="E1550" s="196">
        <v>44817</v>
      </c>
      <c r="F1550" s="195">
        <v>1375.6</v>
      </c>
      <c r="G1550" s="197">
        <f>Tabla110[[#This Row],[Importe]]-Tabla110[[#This Row],[Pagado]]</f>
        <v>0</v>
      </c>
      <c r="H1550" s="194" t="s">
        <v>10</v>
      </c>
    </row>
    <row r="1551" spans="1:8" x14ac:dyDescent="0.25">
      <c r="A1551" s="127">
        <v>44817</v>
      </c>
      <c r="B1551" s="128" t="s">
        <v>29623</v>
      </c>
      <c r="C1551" s="194" t="s">
        <v>28087</v>
      </c>
      <c r="D1551" s="195">
        <v>149424.31</v>
      </c>
      <c r="E1551" s="196">
        <v>44893</v>
      </c>
      <c r="F1551" s="195">
        <v>149424.31</v>
      </c>
      <c r="G1551" s="197">
        <f>Tabla110[[#This Row],[Importe]]-Tabla110[[#This Row],[Pagado]]</f>
        <v>0</v>
      </c>
      <c r="H1551" s="78" t="s">
        <v>17776</v>
      </c>
    </row>
    <row r="1552" spans="1:8" x14ac:dyDescent="0.25">
      <c r="A1552" s="127">
        <v>44818</v>
      </c>
      <c r="B1552" s="128" t="s">
        <v>29624</v>
      </c>
      <c r="C1552" s="194" t="s">
        <v>161</v>
      </c>
      <c r="D1552" s="195">
        <v>7630.6</v>
      </c>
      <c r="E1552" s="196">
        <v>44818</v>
      </c>
      <c r="F1552" s="195">
        <v>7630.6</v>
      </c>
      <c r="G1552" s="197">
        <f>Tabla110[[#This Row],[Importe]]-Tabla110[[#This Row],[Pagado]]</f>
        <v>0</v>
      </c>
      <c r="H1552" s="194" t="s">
        <v>10</v>
      </c>
    </row>
    <row r="1553" spans="1:8" x14ac:dyDescent="0.25">
      <c r="A1553" s="127">
        <v>44818</v>
      </c>
      <c r="B1553" s="128" t="s">
        <v>29625</v>
      </c>
      <c r="C1553" s="194" t="s">
        <v>12</v>
      </c>
      <c r="D1553" s="195">
        <v>56025.35</v>
      </c>
      <c r="E1553" s="196">
        <v>44819</v>
      </c>
      <c r="F1553" s="195">
        <v>56025.35</v>
      </c>
      <c r="G1553" s="197">
        <f>Tabla110[[#This Row],[Importe]]-Tabla110[[#This Row],[Pagado]]</f>
        <v>0</v>
      </c>
      <c r="H1553" s="194" t="s">
        <v>10</v>
      </c>
    </row>
    <row r="1554" spans="1:8" x14ac:dyDescent="0.25">
      <c r="A1554" s="127">
        <v>44818</v>
      </c>
      <c r="B1554" s="128" t="s">
        <v>29626</v>
      </c>
      <c r="C1554" s="194" t="s">
        <v>1187</v>
      </c>
      <c r="D1554" s="195">
        <v>2289</v>
      </c>
      <c r="E1554" s="196">
        <v>44818</v>
      </c>
      <c r="F1554" s="195">
        <v>2289</v>
      </c>
      <c r="G1554" s="197">
        <f>Tabla110[[#This Row],[Importe]]-Tabla110[[#This Row],[Pagado]]</f>
        <v>0</v>
      </c>
      <c r="H1554" s="194" t="s">
        <v>10</v>
      </c>
    </row>
    <row r="1555" spans="1:8" x14ac:dyDescent="0.25">
      <c r="A1555" s="127">
        <v>44818</v>
      </c>
      <c r="B1555" s="128" t="s">
        <v>29627</v>
      </c>
      <c r="C1555" s="194" t="s">
        <v>173</v>
      </c>
      <c r="D1555" s="195">
        <v>30566.400000000001</v>
      </c>
      <c r="E1555" s="196">
        <v>44818</v>
      </c>
      <c r="F1555" s="195">
        <v>30566.400000000001</v>
      </c>
      <c r="G1555" s="197">
        <f>Tabla110[[#This Row],[Importe]]-Tabla110[[#This Row],[Pagado]]</f>
        <v>0</v>
      </c>
      <c r="H1555" s="194" t="s">
        <v>10</v>
      </c>
    </row>
    <row r="1556" spans="1:8" x14ac:dyDescent="0.25">
      <c r="A1556" s="127">
        <v>44818</v>
      </c>
      <c r="B1556" s="128" t="s">
        <v>29628</v>
      </c>
      <c r="C1556" s="194" t="s">
        <v>17556</v>
      </c>
      <c r="D1556" s="195">
        <v>4894.3999999999996</v>
      </c>
      <c r="E1556" s="196">
        <v>44818</v>
      </c>
      <c r="F1556" s="195">
        <v>4894.3999999999996</v>
      </c>
      <c r="G1556" s="197">
        <f>Tabla110[[#This Row],[Importe]]-Tabla110[[#This Row],[Pagado]]</f>
        <v>0</v>
      </c>
      <c r="H1556" s="194" t="s">
        <v>10</v>
      </c>
    </row>
    <row r="1557" spans="1:8" x14ac:dyDescent="0.25">
      <c r="A1557" s="127">
        <v>44818</v>
      </c>
      <c r="B1557" s="128" t="s">
        <v>29629</v>
      </c>
      <c r="C1557" s="194" t="s">
        <v>9</v>
      </c>
      <c r="D1557" s="195">
        <v>18062.599999999999</v>
      </c>
      <c r="E1557" s="196">
        <v>44818</v>
      </c>
      <c r="F1557" s="195">
        <v>18062.599999999999</v>
      </c>
      <c r="G1557" s="197">
        <f>Tabla110[[#This Row],[Importe]]-Tabla110[[#This Row],[Pagado]]</f>
        <v>0</v>
      </c>
      <c r="H1557" s="194" t="s">
        <v>10</v>
      </c>
    </row>
    <row r="1558" spans="1:8" x14ac:dyDescent="0.25">
      <c r="A1558" s="127">
        <v>44818</v>
      </c>
      <c r="B1558" s="128" t="s">
        <v>29630</v>
      </c>
      <c r="C1558" s="194" t="s">
        <v>924</v>
      </c>
      <c r="D1558" s="195">
        <v>29734.1</v>
      </c>
      <c r="E1558" s="196">
        <v>44818</v>
      </c>
      <c r="F1558" s="195">
        <v>29734.1</v>
      </c>
      <c r="G1558" s="197">
        <f>Tabla110[[#This Row],[Importe]]-Tabla110[[#This Row],[Pagado]]</f>
        <v>0</v>
      </c>
      <c r="H1558" s="194" t="s">
        <v>10</v>
      </c>
    </row>
    <row r="1559" spans="1:8" x14ac:dyDescent="0.25">
      <c r="A1559" s="127">
        <v>44818</v>
      </c>
      <c r="B1559" s="128" t="s">
        <v>29631</v>
      </c>
      <c r="C1559" s="194" t="s">
        <v>31</v>
      </c>
      <c r="D1559" s="195">
        <v>3148</v>
      </c>
      <c r="E1559" s="196">
        <v>44818</v>
      </c>
      <c r="F1559" s="195">
        <v>3148</v>
      </c>
      <c r="G1559" s="197">
        <f>Tabla110[[#This Row],[Importe]]-Tabla110[[#This Row],[Pagado]]</f>
        <v>0</v>
      </c>
      <c r="H1559" s="194" t="s">
        <v>10</v>
      </c>
    </row>
    <row r="1560" spans="1:8" x14ac:dyDescent="0.25">
      <c r="A1560" s="127">
        <v>44818</v>
      </c>
      <c r="B1560" s="128" t="s">
        <v>29632</v>
      </c>
      <c r="C1560" s="194" t="s">
        <v>22</v>
      </c>
      <c r="D1560" s="195">
        <v>43317.9</v>
      </c>
      <c r="E1560" s="196">
        <v>44819</v>
      </c>
      <c r="F1560" s="195">
        <v>43317.9</v>
      </c>
      <c r="G1560" s="197">
        <f>Tabla110[[#This Row],[Importe]]-Tabla110[[#This Row],[Pagado]]</f>
        <v>0</v>
      </c>
      <c r="H1560" s="194" t="s">
        <v>10</v>
      </c>
    </row>
    <row r="1561" spans="1:8" x14ac:dyDescent="0.25">
      <c r="A1561" s="127">
        <v>44818</v>
      </c>
      <c r="B1561" s="128" t="s">
        <v>29633</v>
      </c>
      <c r="C1561" s="194" t="s">
        <v>647</v>
      </c>
      <c r="D1561" s="195">
        <v>4349</v>
      </c>
      <c r="E1561" s="196">
        <v>44818</v>
      </c>
      <c r="F1561" s="195">
        <v>4349</v>
      </c>
      <c r="G1561" s="197">
        <f>Tabla110[[#This Row],[Importe]]-Tabla110[[#This Row],[Pagado]]</f>
        <v>0</v>
      </c>
      <c r="H1561" s="194" t="s">
        <v>10</v>
      </c>
    </row>
    <row r="1562" spans="1:8" x14ac:dyDescent="0.25">
      <c r="A1562" s="127">
        <v>44818</v>
      </c>
      <c r="B1562" s="128" t="s">
        <v>29634</v>
      </c>
      <c r="C1562" s="194" t="s">
        <v>647</v>
      </c>
      <c r="D1562" s="195">
        <v>1710.7</v>
      </c>
      <c r="E1562" s="196">
        <v>44818</v>
      </c>
      <c r="F1562" s="195">
        <v>1710.7</v>
      </c>
      <c r="G1562" s="197">
        <f>Tabla110[[#This Row],[Importe]]-Tabla110[[#This Row],[Pagado]]</f>
        <v>0</v>
      </c>
      <c r="H1562" s="194" t="s">
        <v>10</v>
      </c>
    </row>
    <row r="1563" spans="1:8" x14ac:dyDescent="0.25">
      <c r="A1563" s="127">
        <v>44818</v>
      </c>
      <c r="B1563" s="128" t="s">
        <v>29635</v>
      </c>
      <c r="C1563" s="194" t="s">
        <v>89</v>
      </c>
      <c r="D1563" s="195">
        <v>13087.2</v>
      </c>
      <c r="E1563" s="196">
        <v>44819</v>
      </c>
      <c r="F1563" s="195">
        <v>13087.2</v>
      </c>
      <c r="G1563" s="197">
        <f>Tabla110[[#This Row],[Importe]]-Tabla110[[#This Row],[Pagado]]</f>
        <v>0</v>
      </c>
      <c r="H1563" s="194" t="s">
        <v>10</v>
      </c>
    </row>
    <row r="1564" spans="1:8" x14ac:dyDescent="0.25">
      <c r="A1564" s="127">
        <v>44818</v>
      </c>
      <c r="B1564" s="128" t="s">
        <v>29636</v>
      </c>
      <c r="C1564" s="194" t="s">
        <v>31</v>
      </c>
      <c r="D1564" s="195">
        <v>8770.2000000000007</v>
      </c>
      <c r="E1564" s="196">
        <v>44818</v>
      </c>
      <c r="F1564" s="195">
        <v>8770.2000000000007</v>
      </c>
      <c r="G1564" s="197">
        <f>Tabla110[[#This Row],[Importe]]-Tabla110[[#This Row],[Pagado]]</f>
        <v>0</v>
      </c>
      <c r="H1564" s="194" t="s">
        <v>10</v>
      </c>
    </row>
    <row r="1565" spans="1:8" x14ac:dyDescent="0.25">
      <c r="A1565" s="127">
        <v>44818</v>
      </c>
      <c r="B1565" s="128" t="s">
        <v>29637</v>
      </c>
      <c r="C1565" s="194" t="s">
        <v>83</v>
      </c>
      <c r="D1565" s="195">
        <v>8472</v>
      </c>
      <c r="E1565" s="196">
        <v>44818</v>
      </c>
      <c r="F1565" s="195">
        <v>8472</v>
      </c>
      <c r="G1565" s="197">
        <f>Tabla110[[#This Row],[Importe]]-Tabla110[[#This Row],[Pagado]]</f>
        <v>0</v>
      </c>
      <c r="H1565" s="194" t="s">
        <v>10</v>
      </c>
    </row>
    <row r="1566" spans="1:8" x14ac:dyDescent="0.25">
      <c r="A1566" s="127">
        <v>44818</v>
      </c>
      <c r="B1566" s="128" t="s">
        <v>29638</v>
      </c>
      <c r="C1566" s="194" t="s">
        <v>131</v>
      </c>
      <c r="D1566" s="195">
        <v>4752.3</v>
      </c>
      <c r="E1566" s="196">
        <v>44818</v>
      </c>
      <c r="F1566" s="195">
        <v>4752.3</v>
      </c>
      <c r="G1566" s="197">
        <f>Tabla110[[#This Row],[Importe]]-Tabla110[[#This Row],[Pagado]]</f>
        <v>0</v>
      </c>
      <c r="H1566" s="194" t="s">
        <v>10</v>
      </c>
    </row>
    <row r="1567" spans="1:8" x14ac:dyDescent="0.25">
      <c r="A1567" s="127">
        <v>44818</v>
      </c>
      <c r="B1567" s="128" t="s">
        <v>29639</v>
      </c>
      <c r="C1567" s="194" t="s">
        <v>83</v>
      </c>
      <c r="D1567" s="195">
        <v>2392</v>
      </c>
      <c r="E1567" s="196">
        <v>44818</v>
      </c>
      <c r="F1567" s="195">
        <v>2392</v>
      </c>
      <c r="G1567" s="197">
        <f>Tabla110[[#This Row],[Importe]]-Tabla110[[#This Row],[Pagado]]</f>
        <v>0</v>
      </c>
      <c r="H1567" s="194" t="s">
        <v>10</v>
      </c>
    </row>
    <row r="1568" spans="1:8" x14ac:dyDescent="0.25">
      <c r="A1568" s="127">
        <v>44818</v>
      </c>
      <c r="B1568" s="128" t="s">
        <v>29640</v>
      </c>
      <c r="C1568" s="194" t="s">
        <v>1302</v>
      </c>
      <c r="D1568" s="195">
        <v>7718.4</v>
      </c>
      <c r="E1568" s="196">
        <v>44818</v>
      </c>
      <c r="F1568" s="195">
        <v>7718.4</v>
      </c>
      <c r="G1568" s="197">
        <f>Tabla110[[#This Row],[Importe]]-Tabla110[[#This Row],[Pagado]]</f>
        <v>0</v>
      </c>
      <c r="H1568" s="194" t="s">
        <v>10</v>
      </c>
    </row>
    <row r="1569" spans="1:8" x14ac:dyDescent="0.25">
      <c r="A1569" s="127">
        <v>44818</v>
      </c>
      <c r="B1569" s="128" t="s">
        <v>29641</v>
      </c>
      <c r="C1569" s="194" t="s">
        <v>49</v>
      </c>
      <c r="D1569" s="195">
        <v>9253.6</v>
      </c>
      <c r="E1569" s="196">
        <v>44818</v>
      </c>
      <c r="F1569" s="195">
        <v>9253.6</v>
      </c>
      <c r="G1569" s="197">
        <f>Tabla110[[#This Row],[Importe]]-Tabla110[[#This Row],[Pagado]]</f>
        <v>0</v>
      </c>
      <c r="H1569" s="194" t="s">
        <v>10</v>
      </c>
    </row>
    <row r="1570" spans="1:8" x14ac:dyDescent="0.25">
      <c r="A1570" s="127">
        <v>44818</v>
      </c>
      <c r="B1570" s="128" t="s">
        <v>29642</v>
      </c>
      <c r="C1570" s="194" t="s">
        <v>49</v>
      </c>
      <c r="D1570" s="195">
        <v>1318.5</v>
      </c>
      <c r="E1570" s="196">
        <v>44818</v>
      </c>
      <c r="F1570" s="195">
        <v>1318.5</v>
      </c>
      <c r="G1570" s="197">
        <f>Tabla110[[#This Row],[Importe]]-Tabla110[[#This Row],[Pagado]]</f>
        <v>0</v>
      </c>
      <c r="H1570" s="194" t="s">
        <v>10</v>
      </c>
    </row>
    <row r="1571" spans="1:8" x14ac:dyDescent="0.25">
      <c r="A1571" s="127">
        <v>44818</v>
      </c>
      <c r="B1571" s="128" t="s">
        <v>29643</v>
      </c>
      <c r="C1571" s="194" t="s">
        <v>5126</v>
      </c>
      <c r="D1571" s="195">
        <v>101404.8</v>
      </c>
      <c r="E1571" s="196">
        <v>44818</v>
      </c>
      <c r="F1571" s="195">
        <v>101404.8</v>
      </c>
      <c r="G1571" s="197">
        <f>Tabla110[[#This Row],[Importe]]-Tabla110[[#This Row],[Pagado]]</f>
        <v>0</v>
      </c>
      <c r="H1571" s="194" t="s">
        <v>10</v>
      </c>
    </row>
    <row r="1572" spans="1:8" x14ac:dyDescent="0.25">
      <c r="A1572" s="127">
        <v>44818</v>
      </c>
      <c r="B1572" s="128" t="s">
        <v>29644</v>
      </c>
      <c r="C1572" s="194" t="s">
        <v>222</v>
      </c>
      <c r="D1572" s="195">
        <v>14790.2</v>
      </c>
      <c r="E1572" s="196">
        <v>44818</v>
      </c>
      <c r="F1572" s="195">
        <v>14790.2</v>
      </c>
      <c r="G1572" s="197">
        <f>Tabla110[[#This Row],[Importe]]-Tabla110[[#This Row],[Pagado]]</f>
        <v>0</v>
      </c>
      <c r="H1572" s="194" t="s">
        <v>10</v>
      </c>
    </row>
    <row r="1573" spans="1:8" x14ac:dyDescent="0.25">
      <c r="A1573" s="127">
        <v>44818</v>
      </c>
      <c r="B1573" s="128" t="s">
        <v>29645</v>
      </c>
      <c r="C1573" s="194" t="s">
        <v>87</v>
      </c>
      <c r="D1573" s="195">
        <v>3515.2</v>
      </c>
      <c r="E1573" s="196">
        <v>44818</v>
      </c>
      <c r="F1573" s="195">
        <v>3515.2</v>
      </c>
      <c r="G1573" s="197">
        <f>Tabla110[[#This Row],[Importe]]-Tabla110[[#This Row],[Pagado]]</f>
        <v>0</v>
      </c>
      <c r="H1573" s="194" t="s">
        <v>10</v>
      </c>
    </row>
    <row r="1574" spans="1:8" x14ac:dyDescent="0.25">
      <c r="A1574" s="127">
        <v>44818</v>
      </c>
      <c r="B1574" s="128" t="s">
        <v>29646</v>
      </c>
      <c r="C1574" s="194" t="s">
        <v>64</v>
      </c>
      <c r="D1574" s="195">
        <v>5511</v>
      </c>
      <c r="E1574" s="196">
        <v>44821</v>
      </c>
      <c r="F1574" s="195">
        <v>5511</v>
      </c>
      <c r="G1574" s="197">
        <f>Tabla110[[#This Row],[Importe]]-Tabla110[[#This Row],[Pagado]]</f>
        <v>0</v>
      </c>
      <c r="H1574" s="194" t="s">
        <v>10</v>
      </c>
    </row>
    <row r="1575" spans="1:8" x14ac:dyDescent="0.25">
      <c r="A1575" s="127">
        <v>44818</v>
      </c>
      <c r="B1575" s="128" t="s">
        <v>29647</v>
      </c>
      <c r="C1575" s="194" t="s">
        <v>105</v>
      </c>
      <c r="D1575" s="195">
        <v>8775.2000000000007</v>
      </c>
      <c r="E1575" s="196">
        <v>44819</v>
      </c>
      <c r="F1575" s="195">
        <v>8775.2000000000007</v>
      </c>
      <c r="G1575" s="197">
        <f>Tabla110[[#This Row],[Importe]]-Tabla110[[#This Row],[Pagado]]</f>
        <v>0</v>
      </c>
      <c r="H1575" s="194" t="s">
        <v>10</v>
      </c>
    </row>
    <row r="1576" spans="1:8" x14ac:dyDescent="0.25">
      <c r="A1576" s="127">
        <v>44818</v>
      </c>
      <c r="B1576" s="128" t="s">
        <v>29648</v>
      </c>
      <c r="C1576" s="194" t="s">
        <v>27</v>
      </c>
      <c r="D1576" s="195">
        <v>2786.5</v>
      </c>
      <c r="E1576" s="196">
        <v>44818</v>
      </c>
      <c r="F1576" s="195">
        <v>2786.5</v>
      </c>
      <c r="G1576" s="197">
        <f>Tabla110[[#This Row],[Importe]]-Tabla110[[#This Row],[Pagado]]</f>
        <v>0</v>
      </c>
      <c r="H1576" s="194" t="s">
        <v>10</v>
      </c>
    </row>
    <row r="1577" spans="1:8" ht="64.5" x14ac:dyDescent="0.25">
      <c r="A1577" s="127">
        <v>44818</v>
      </c>
      <c r="B1577" s="128" t="s">
        <v>29649</v>
      </c>
      <c r="C1577" s="194" t="s">
        <v>99</v>
      </c>
      <c r="D1577" s="195">
        <v>8924.7000000000007</v>
      </c>
      <c r="E1577" s="212" t="s">
        <v>31543</v>
      </c>
      <c r="F1577" s="195">
        <f>2100+1100+1500+1000+1500+1724.7</f>
        <v>8924.7000000000007</v>
      </c>
      <c r="G1577" s="197">
        <f>Tabla110[[#This Row],[Importe]]-Tabla110[[#This Row],[Pagado]]</f>
        <v>0</v>
      </c>
      <c r="H1577" s="194" t="s">
        <v>1695</v>
      </c>
    </row>
    <row r="1578" spans="1:8" x14ac:dyDescent="0.25">
      <c r="A1578" s="127">
        <v>44818</v>
      </c>
      <c r="B1578" s="128" t="s">
        <v>29650</v>
      </c>
      <c r="C1578" s="194" t="s">
        <v>16</v>
      </c>
      <c r="D1578" s="195">
        <v>2894.6</v>
      </c>
      <c r="E1578" s="196">
        <v>44818</v>
      </c>
      <c r="F1578" s="195">
        <v>2894.6</v>
      </c>
      <c r="G1578" s="197">
        <f>Tabla110[[#This Row],[Importe]]-Tabla110[[#This Row],[Pagado]]</f>
        <v>0</v>
      </c>
      <c r="H1578" s="194" t="s">
        <v>10</v>
      </c>
    </row>
    <row r="1579" spans="1:8" x14ac:dyDescent="0.25">
      <c r="A1579" s="127">
        <v>44818</v>
      </c>
      <c r="B1579" s="128" t="s">
        <v>29651</v>
      </c>
      <c r="C1579" s="194" t="s">
        <v>326</v>
      </c>
      <c r="D1579" s="195">
        <v>4320.6000000000004</v>
      </c>
      <c r="E1579" s="196">
        <v>44819</v>
      </c>
      <c r="F1579" s="195">
        <v>4320.6000000000004</v>
      </c>
      <c r="G1579" s="197">
        <f>Tabla110[[#This Row],[Importe]]-Tabla110[[#This Row],[Pagado]]</f>
        <v>0</v>
      </c>
      <c r="H1579" s="194" t="s">
        <v>10</v>
      </c>
    </row>
    <row r="1580" spans="1:8" x14ac:dyDescent="0.25">
      <c r="A1580" s="127">
        <v>44818</v>
      </c>
      <c r="B1580" s="128" t="s">
        <v>29652</v>
      </c>
      <c r="C1580" s="194" t="s">
        <v>49</v>
      </c>
      <c r="D1580" s="195">
        <v>9654.6</v>
      </c>
      <c r="E1580" s="196">
        <v>44818</v>
      </c>
      <c r="F1580" s="195">
        <v>9654.6</v>
      </c>
      <c r="G1580" s="197">
        <f>Tabla110[[#This Row],[Importe]]-Tabla110[[#This Row],[Pagado]]</f>
        <v>0</v>
      </c>
      <c r="H1580" s="194" t="s">
        <v>10</v>
      </c>
    </row>
    <row r="1581" spans="1:8" x14ac:dyDescent="0.25">
      <c r="A1581" s="127">
        <v>44818</v>
      </c>
      <c r="B1581" s="128" t="s">
        <v>29653</v>
      </c>
      <c r="C1581" s="194" t="s">
        <v>114</v>
      </c>
      <c r="D1581" s="195">
        <v>3858.6</v>
      </c>
      <c r="E1581" s="196">
        <v>44819</v>
      </c>
      <c r="F1581" s="195">
        <v>3858.6</v>
      </c>
      <c r="G1581" s="197">
        <f>Tabla110[[#This Row],[Importe]]-Tabla110[[#This Row],[Pagado]]</f>
        <v>0</v>
      </c>
      <c r="H1581" s="194" t="s">
        <v>10</v>
      </c>
    </row>
    <row r="1582" spans="1:8" x14ac:dyDescent="0.25">
      <c r="A1582" s="127">
        <v>44818</v>
      </c>
      <c r="B1582" s="128" t="s">
        <v>29654</v>
      </c>
      <c r="C1582" s="194" t="s">
        <v>39</v>
      </c>
      <c r="D1582" s="195">
        <v>7697.3</v>
      </c>
      <c r="E1582" s="196">
        <v>44819</v>
      </c>
      <c r="F1582" s="195">
        <v>7697.3</v>
      </c>
      <c r="G1582" s="197">
        <f>Tabla110[[#This Row],[Importe]]-Tabla110[[#This Row],[Pagado]]</f>
        <v>0</v>
      </c>
      <c r="H1582" s="194" t="s">
        <v>10</v>
      </c>
    </row>
    <row r="1583" spans="1:8" ht="31.5" x14ac:dyDescent="0.25">
      <c r="A1583" s="127">
        <v>44818</v>
      </c>
      <c r="B1583" s="128" t="s">
        <v>29655</v>
      </c>
      <c r="C1583" s="194" t="s">
        <v>93</v>
      </c>
      <c r="D1583" s="195">
        <v>15863</v>
      </c>
      <c r="E1583" s="198" t="s">
        <v>29656</v>
      </c>
      <c r="F1583" s="195">
        <f>14191+1672</f>
        <v>15863</v>
      </c>
      <c r="G1583" s="197">
        <f>Tabla110[[#This Row],[Importe]]-Tabla110[[#This Row],[Pagado]]</f>
        <v>0</v>
      </c>
      <c r="H1583" s="194" t="s">
        <v>10</v>
      </c>
    </row>
    <row r="1584" spans="1:8" x14ac:dyDescent="0.25">
      <c r="A1584" s="127">
        <v>44818</v>
      </c>
      <c r="B1584" s="128" t="s">
        <v>29657</v>
      </c>
      <c r="C1584" s="194" t="s">
        <v>60</v>
      </c>
      <c r="D1584" s="195">
        <v>5392.2</v>
      </c>
      <c r="E1584" s="196">
        <v>44822</v>
      </c>
      <c r="F1584" s="195">
        <v>5392.2</v>
      </c>
      <c r="G1584" s="197">
        <f>Tabla110[[#This Row],[Importe]]-Tabla110[[#This Row],[Pagado]]</f>
        <v>0</v>
      </c>
      <c r="H1584" s="194" t="s">
        <v>10</v>
      </c>
    </row>
    <row r="1585" spans="1:8" x14ac:dyDescent="0.25">
      <c r="A1585" s="127">
        <v>44818</v>
      </c>
      <c r="B1585" s="128" t="s">
        <v>29658</v>
      </c>
      <c r="C1585" s="194" t="s">
        <v>45</v>
      </c>
      <c r="D1585" s="195">
        <v>16330.5</v>
      </c>
      <c r="E1585" s="196">
        <v>44818</v>
      </c>
      <c r="F1585" s="195">
        <v>16330.5</v>
      </c>
      <c r="G1585" s="197">
        <f>Tabla110[[#This Row],[Importe]]-Tabla110[[#This Row],[Pagado]]</f>
        <v>0</v>
      </c>
      <c r="H1585" s="194" t="s">
        <v>10</v>
      </c>
    </row>
    <row r="1586" spans="1:8" x14ac:dyDescent="0.25">
      <c r="A1586" s="127">
        <v>44818</v>
      </c>
      <c r="B1586" s="128" t="s">
        <v>29659</v>
      </c>
      <c r="C1586" s="194" t="s">
        <v>29341</v>
      </c>
      <c r="D1586" s="195">
        <v>5099.6000000000004</v>
      </c>
      <c r="E1586" s="196">
        <v>44818</v>
      </c>
      <c r="F1586" s="195">
        <v>5099.6000000000004</v>
      </c>
      <c r="G1586" s="197">
        <f>Tabla110[[#This Row],[Importe]]-Tabla110[[#This Row],[Pagado]]</f>
        <v>0</v>
      </c>
      <c r="H1586" s="194" t="s">
        <v>10</v>
      </c>
    </row>
    <row r="1587" spans="1:8" x14ac:dyDescent="0.25">
      <c r="A1587" s="127">
        <v>44818</v>
      </c>
      <c r="B1587" s="128" t="s">
        <v>29660</v>
      </c>
      <c r="C1587" s="194" t="s">
        <v>357</v>
      </c>
      <c r="D1587" s="195">
        <v>558.6</v>
      </c>
      <c r="E1587" s="196">
        <v>44818</v>
      </c>
      <c r="F1587" s="195">
        <v>558.6</v>
      </c>
      <c r="G1587" s="197">
        <f>Tabla110[[#This Row],[Importe]]-Tabla110[[#This Row],[Pagado]]</f>
        <v>0</v>
      </c>
      <c r="H1587" s="194" t="s">
        <v>10</v>
      </c>
    </row>
    <row r="1588" spans="1:8" x14ac:dyDescent="0.25">
      <c r="A1588" s="127">
        <v>44818</v>
      </c>
      <c r="B1588" s="128" t="s">
        <v>29661</v>
      </c>
      <c r="C1588" s="194" t="s">
        <v>140</v>
      </c>
      <c r="D1588" s="195">
        <v>4657.5</v>
      </c>
      <c r="E1588" s="196">
        <v>44818</v>
      </c>
      <c r="F1588" s="195">
        <v>4657.5</v>
      </c>
      <c r="G1588" s="197">
        <f>Tabla110[[#This Row],[Importe]]-Tabla110[[#This Row],[Pagado]]</f>
        <v>0</v>
      </c>
      <c r="H1588" s="194" t="s">
        <v>10</v>
      </c>
    </row>
    <row r="1589" spans="1:8" x14ac:dyDescent="0.25">
      <c r="A1589" s="127">
        <v>44818</v>
      </c>
      <c r="B1589" s="128" t="s">
        <v>29662</v>
      </c>
      <c r="C1589" s="194" t="s">
        <v>129</v>
      </c>
      <c r="D1589" s="195">
        <v>3406.9</v>
      </c>
      <c r="E1589" s="196">
        <v>44818</v>
      </c>
      <c r="F1589" s="195">
        <v>3406.9</v>
      </c>
      <c r="G1589" s="197">
        <f>Tabla110[[#This Row],[Importe]]-Tabla110[[#This Row],[Pagado]]</f>
        <v>0</v>
      </c>
      <c r="H1589" s="194" t="s">
        <v>10</v>
      </c>
    </row>
    <row r="1590" spans="1:8" x14ac:dyDescent="0.25">
      <c r="A1590" s="127">
        <v>44818</v>
      </c>
      <c r="B1590" s="128" t="s">
        <v>29663</v>
      </c>
      <c r="C1590" s="194" t="s">
        <v>127</v>
      </c>
      <c r="D1590" s="195">
        <v>7004.1</v>
      </c>
      <c r="E1590" s="196">
        <v>44818</v>
      </c>
      <c r="F1590" s="195">
        <v>7004.1</v>
      </c>
      <c r="G1590" s="197">
        <f>Tabla110[[#This Row],[Importe]]-Tabla110[[#This Row],[Pagado]]</f>
        <v>0</v>
      </c>
      <c r="H1590" s="194" t="s">
        <v>10</v>
      </c>
    </row>
    <row r="1591" spans="1:8" x14ac:dyDescent="0.25">
      <c r="A1591" s="127">
        <v>44818</v>
      </c>
      <c r="B1591" s="128" t="s">
        <v>29664</v>
      </c>
      <c r="C1591" s="194" t="s">
        <v>339</v>
      </c>
      <c r="D1591" s="195">
        <v>1674.6</v>
      </c>
      <c r="E1591" s="196">
        <v>44818</v>
      </c>
      <c r="F1591" s="195">
        <v>1674.6</v>
      </c>
      <c r="G1591" s="197">
        <f>Tabla110[[#This Row],[Importe]]-Tabla110[[#This Row],[Pagado]]</f>
        <v>0</v>
      </c>
      <c r="H1591" s="194" t="s">
        <v>10</v>
      </c>
    </row>
    <row r="1592" spans="1:8" x14ac:dyDescent="0.25">
      <c r="A1592" s="127">
        <v>44818</v>
      </c>
      <c r="B1592" s="128" t="s">
        <v>29665</v>
      </c>
      <c r="C1592" s="194" t="s">
        <v>670</v>
      </c>
      <c r="D1592" s="195">
        <v>5061.6000000000004</v>
      </c>
      <c r="E1592" s="196">
        <v>44818</v>
      </c>
      <c r="F1592" s="195">
        <v>5061.6000000000004</v>
      </c>
      <c r="G1592" s="197">
        <f>Tabla110[[#This Row],[Importe]]-Tabla110[[#This Row],[Pagado]]</f>
        <v>0</v>
      </c>
      <c r="H1592" s="194" t="s">
        <v>10</v>
      </c>
    </row>
    <row r="1593" spans="1:8" x14ac:dyDescent="0.25">
      <c r="A1593" s="127">
        <v>44818</v>
      </c>
      <c r="B1593" s="128" t="s">
        <v>29666</v>
      </c>
      <c r="C1593" s="194" t="s">
        <v>11383</v>
      </c>
      <c r="D1593" s="195">
        <v>24618.400000000001</v>
      </c>
      <c r="E1593" s="196">
        <v>44818</v>
      </c>
      <c r="F1593" s="195">
        <v>24618.400000000001</v>
      </c>
      <c r="G1593" s="197">
        <f>Tabla110[[#This Row],[Importe]]-Tabla110[[#This Row],[Pagado]]</f>
        <v>0</v>
      </c>
      <c r="H1593" s="194" t="s">
        <v>10</v>
      </c>
    </row>
    <row r="1594" spans="1:8" x14ac:dyDescent="0.25">
      <c r="A1594" s="127">
        <v>44818</v>
      </c>
      <c r="B1594" s="128" t="s">
        <v>29667</v>
      </c>
      <c r="C1594" s="194" t="s">
        <v>230</v>
      </c>
      <c r="D1594" s="195">
        <v>1243.4000000000001</v>
      </c>
      <c r="E1594" s="196">
        <v>44818</v>
      </c>
      <c r="F1594" s="195">
        <v>1243.4000000000001</v>
      </c>
      <c r="G1594" s="197">
        <f>Tabla110[[#This Row],[Importe]]-Tabla110[[#This Row],[Pagado]]</f>
        <v>0</v>
      </c>
      <c r="H1594" s="194" t="s">
        <v>10</v>
      </c>
    </row>
    <row r="1595" spans="1:8" x14ac:dyDescent="0.25">
      <c r="A1595" s="127">
        <v>44818</v>
      </c>
      <c r="B1595" s="128" t="s">
        <v>29668</v>
      </c>
      <c r="C1595" s="194" t="s">
        <v>230</v>
      </c>
      <c r="D1595" s="195">
        <v>2788</v>
      </c>
      <c r="E1595" s="196">
        <v>44818</v>
      </c>
      <c r="F1595" s="195">
        <v>2788</v>
      </c>
      <c r="G1595" s="197">
        <f>Tabla110[[#This Row],[Importe]]-Tabla110[[#This Row],[Pagado]]</f>
        <v>0</v>
      </c>
      <c r="H1595" s="194" t="s">
        <v>10</v>
      </c>
    </row>
    <row r="1596" spans="1:8" x14ac:dyDescent="0.25">
      <c r="A1596" s="127">
        <v>44818</v>
      </c>
      <c r="B1596" s="128" t="s">
        <v>29669</v>
      </c>
      <c r="C1596" s="194" t="s">
        <v>196</v>
      </c>
      <c r="D1596" s="195">
        <v>134490</v>
      </c>
      <c r="E1596" s="196">
        <v>44827</v>
      </c>
      <c r="F1596" s="195">
        <v>134490</v>
      </c>
      <c r="G1596" s="197">
        <f>Tabla110[[#This Row],[Importe]]-Tabla110[[#This Row],[Pagado]]</f>
        <v>0</v>
      </c>
      <c r="H1596" s="194" t="s">
        <v>10</v>
      </c>
    </row>
    <row r="1597" spans="1:8" x14ac:dyDescent="0.25">
      <c r="A1597" s="127">
        <v>44818</v>
      </c>
      <c r="B1597" s="128" t="s">
        <v>29670</v>
      </c>
      <c r="C1597" s="194" t="s">
        <v>53</v>
      </c>
      <c r="D1597" s="195">
        <v>2317.5</v>
      </c>
      <c r="E1597" s="196">
        <v>44818</v>
      </c>
      <c r="F1597" s="195">
        <v>2317.5</v>
      </c>
      <c r="G1597" s="197">
        <f>Tabla110[[#This Row],[Importe]]-Tabla110[[#This Row],[Pagado]]</f>
        <v>0</v>
      </c>
      <c r="H1597" s="194" t="s">
        <v>10</v>
      </c>
    </row>
    <row r="1598" spans="1:8" x14ac:dyDescent="0.25">
      <c r="A1598" s="127">
        <v>44818</v>
      </c>
      <c r="B1598" s="128" t="s">
        <v>29671</v>
      </c>
      <c r="C1598" s="194" t="s">
        <v>191</v>
      </c>
      <c r="D1598" s="195">
        <v>2085.6</v>
      </c>
      <c r="E1598" s="196">
        <v>44818</v>
      </c>
      <c r="F1598" s="195">
        <v>2085.6</v>
      </c>
      <c r="G1598" s="197">
        <f>Tabla110[[#This Row],[Importe]]-Tabla110[[#This Row],[Pagado]]</f>
        <v>0</v>
      </c>
      <c r="H1598" s="194" t="s">
        <v>10</v>
      </c>
    </row>
    <row r="1599" spans="1:8" x14ac:dyDescent="0.25">
      <c r="A1599" s="127">
        <v>44818</v>
      </c>
      <c r="B1599" s="128" t="s">
        <v>29672</v>
      </c>
      <c r="C1599" s="194" t="s">
        <v>1676</v>
      </c>
      <c r="D1599" s="195">
        <v>7540.6</v>
      </c>
      <c r="E1599" s="196">
        <v>44818</v>
      </c>
      <c r="F1599" s="195">
        <v>7540.6</v>
      </c>
      <c r="G1599" s="197">
        <f>Tabla110[[#This Row],[Importe]]-Tabla110[[#This Row],[Pagado]]</f>
        <v>0</v>
      </c>
      <c r="H1599" s="194" t="s">
        <v>10</v>
      </c>
    </row>
    <row r="1600" spans="1:8" x14ac:dyDescent="0.25">
      <c r="A1600" s="127">
        <v>44818</v>
      </c>
      <c r="B1600" s="128" t="s">
        <v>29673</v>
      </c>
      <c r="C1600" s="194" t="s">
        <v>79</v>
      </c>
      <c r="D1600" s="195">
        <v>22518.2</v>
      </c>
      <c r="E1600" s="196">
        <v>44818</v>
      </c>
      <c r="F1600" s="195">
        <v>22518.2</v>
      </c>
      <c r="G1600" s="197">
        <f>Tabla110[[#This Row],[Importe]]-Tabla110[[#This Row],[Pagado]]</f>
        <v>0</v>
      </c>
      <c r="H1600" s="194" t="s">
        <v>10</v>
      </c>
    </row>
    <row r="1601" spans="1:8" x14ac:dyDescent="0.25">
      <c r="A1601" s="127">
        <v>44818</v>
      </c>
      <c r="B1601" s="128" t="s">
        <v>29674</v>
      </c>
      <c r="C1601" s="194" t="s">
        <v>214</v>
      </c>
      <c r="D1601" s="195">
        <v>1613.2</v>
      </c>
      <c r="E1601" s="196">
        <v>44818</v>
      </c>
      <c r="F1601" s="195">
        <v>1613.2</v>
      </c>
      <c r="G1601" s="197">
        <f>Tabla110[[#This Row],[Importe]]-Tabla110[[#This Row],[Pagado]]</f>
        <v>0</v>
      </c>
      <c r="H1601" s="194" t="s">
        <v>10</v>
      </c>
    </row>
    <row r="1602" spans="1:8" x14ac:dyDescent="0.25">
      <c r="A1602" s="127">
        <v>44818</v>
      </c>
      <c r="B1602" s="128" t="s">
        <v>29675</v>
      </c>
      <c r="C1602" s="194" t="s">
        <v>56</v>
      </c>
      <c r="D1602" s="195">
        <v>11368.7</v>
      </c>
      <c r="E1602" s="196">
        <v>44818</v>
      </c>
      <c r="F1602" s="195">
        <v>11368.7</v>
      </c>
      <c r="G1602" s="197">
        <f>Tabla110[[#This Row],[Importe]]-Tabla110[[#This Row],[Pagado]]</f>
        <v>0</v>
      </c>
      <c r="H1602" s="194" t="s">
        <v>10</v>
      </c>
    </row>
    <row r="1603" spans="1:8" x14ac:dyDescent="0.25">
      <c r="A1603" s="127">
        <v>44818</v>
      </c>
      <c r="B1603" s="128" t="s">
        <v>29676</v>
      </c>
      <c r="C1603" s="194" t="s">
        <v>31</v>
      </c>
      <c r="D1603" s="195">
        <v>784.4</v>
      </c>
      <c r="E1603" s="196">
        <v>44818</v>
      </c>
      <c r="F1603" s="195">
        <v>784.4</v>
      </c>
      <c r="G1603" s="197">
        <f>Tabla110[[#This Row],[Importe]]-Tabla110[[#This Row],[Pagado]]</f>
        <v>0</v>
      </c>
      <c r="H1603" s="194" t="s">
        <v>10</v>
      </c>
    </row>
    <row r="1604" spans="1:8" x14ac:dyDescent="0.25">
      <c r="A1604" s="127">
        <v>44818</v>
      </c>
      <c r="B1604" s="128" t="s">
        <v>29677</v>
      </c>
      <c r="C1604" s="194" t="s">
        <v>31</v>
      </c>
      <c r="D1604" s="195">
        <v>500.4</v>
      </c>
      <c r="E1604" s="196">
        <v>44818</v>
      </c>
      <c r="F1604" s="195">
        <v>500.4</v>
      </c>
      <c r="G1604" s="197">
        <f>Tabla110[[#This Row],[Importe]]-Tabla110[[#This Row],[Pagado]]</f>
        <v>0</v>
      </c>
      <c r="H1604" s="194" t="s">
        <v>10</v>
      </c>
    </row>
    <row r="1605" spans="1:8" x14ac:dyDescent="0.25">
      <c r="A1605" s="127">
        <v>44818</v>
      </c>
      <c r="B1605" s="128" t="s">
        <v>29678</v>
      </c>
      <c r="C1605" s="194" t="s">
        <v>24</v>
      </c>
      <c r="D1605" s="195">
        <v>5062</v>
      </c>
      <c r="E1605" s="196">
        <v>44818</v>
      </c>
      <c r="F1605" s="195">
        <v>5062</v>
      </c>
      <c r="G1605" s="197">
        <f>Tabla110[[#This Row],[Importe]]-Tabla110[[#This Row],[Pagado]]</f>
        <v>0</v>
      </c>
      <c r="H1605" s="194" t="s">
        <v>10</v>
      </c>
    </row>
    <row r="1606" spans="1:8" x14ac:dyDescent="0.25">
      <c r="A1606" s="127">
        <v>44818</v>
      </c>
      <c r="B1606" s="128" t="s">
        <v>29679</v>
      </c>
      <c r="C1606" s="194" t="s">
        <v>296</v>
      </c>
      <c r="D1606" s="195">
        <v>11225.2</v>
      </c>
      <c r="E1606" s="196">
        <v>44818</v>
      </c>
      <c r="F1606" s="195">
        <v>11225.2</v>
      </c>
      <c r="G1606" s="197">
        <f>Tabla110[[#This Row],[Importe]]-Tabla110[[#This Row],[Pagado]]</f>
        <v>0</v>
      </c>
      <c r="H1606" s="194" t="s">
        <v>10</v>
      </c>
    </row>
    <row r="1607" spans="1:8" x14ac:dyDescent="0.25">
      <c r="A1607" s="127">
        <v>44818</v>
      </c>
      <c r="B1607" s="128" t="s">
        <v>29680</v>
      </c>
      <c r="C1607" s="194" t="s">
        <v>24</v>
      </c>
      <c r="D1607" s="195">
        <v>153</v>
      </c>
      <c r="E1607" s="196">
        <v>44818</v>
      </c>
      <c r="F1607" s="195">
        <v>153</v>
      </c>
      <c r="G1607" s="197">
        <f>Tabla110[[#This Row],[Importe]]-Tabla110[[#This Row],[Pagado]]</f>
        <v>0</v>
      </c>
      <c r="H1607" s="194" t="s">
        <v>10</v>
      </c>
    </row>
    <row r="1608" spans="1:8" x14ac:dyDescent="0.25">
      <c r="A1608" s="127">
        <v>44818</v>
      </c>
      <c r="B1608" s="128" t="s">
        <v>29681</v>
      </c>
      <c r="C1608" s="194" t="s">
        <v>31</v>
      </c>
      <c r="D1608" s="195">
        <v>1740</v>
      </c>
      <c r="E1608" s="196">
        <v>44818</v>
      </c>
      <c r="F1608" s="195">
        <v>1740</v>
      </c>
      <c r="G1608" s="197">
        <f>Tabla110[[#This Row],[Importe]]-Tabla110[[#This Row],[Pagado]]</f>
        <v>0</v>
      </c>
      <c r="H1608" s="194" t="s">
        <v>10</v>
      </c>
    </row>
    <row r="1609" spans="1:8" x14ac:dyDescent="0.25">
      <c r="A1609" s="127">
        <v>44818</v>
      </c>
      <c r="B1609" s="128" t="s">
        <v>29682</v>
      </c>
      <c r="C1609" s="194" t="s">
        <v>58</v>
      </c>
      <c r="D1609" s="195">
        <v>6778.3</v>
      </c>
      <c r="E1609" s="196">
        <v>44818</v>
      </c>
      <c r="F1609" s="195">
        <v>6778.3</v>
      </c>
      <c r="G1609" s="197">
        <f>Tabla110[[#This Row],[Importe]]-Tabla110[[#This Row],[Pagado]]</f>
        <v>0</v>
      </c>
      <c r="H1609" s="194" t="s">
        <v>10</v>
      </c>
    </row>
    <row r="1610" spans="1:8" x14ac:dyDescent="0.25">
      <c r="A1610" s="127">
        <v>44818</v>
      </c>
      <c r="B1610" s="128" t="s">
        <v>29683</v>
      </c>
      <c r="C1610" s="194" t="s">
        <v>12543</v>
      </c>
      <c r="D1610" s="195">
        <v>98201.600000000006</v>
      </c>
      <c r="E1610" s="196">
        <v>44818</v>
      </c>
      <c r="F1610" s="195">
        <v>98201.600000000006</v>
      </c>
      <c r="G1610" s="197">
        <f>Tabla110[[#This Row],[Importe]]-Tabla110[[#This Row],[Pagado]]</f>
        <v>0</v>
      </c>
      <c r="H1610" s="194" t="s">
        <v>10</v>
      </c>
    </row>
    <row r="1611" spans="1:8" x14ac:dyDescent="0.25">
      <c r="A1611" s="127">
        <v>44818</v>
      </c>
      <c r="B1611" s="128" t="s">
        <v>29684</v>
      </c>
      <c r="C1611" s="194" t="s">
        <v>31</v>
      </c>
      <c r="D1611" s="195">
        <v>2297.6</v>
      </c>
      <c r="E1611" s="196">
        <v>44818</v>
      </c>
      <c r="F1611" s="195">
        <v>2297.6</v>
      </c>
      <c r="G1611" s="197">
        <f>Tabla110[[#This Row],[Importe]]-Tabla110[[#This Row],[Pagado]]</f>
        <v>0</v>
      </c>
      <c r="H1611" s="194" t="s">
        <v>10</v>
      </c>
    </row>
    <row r="1612" spans="1:8" x14ac:dyDescent="0.25">
      <c r="A1612" s="127">
        <v>44818</v>
      </c>
      <c r="B1612" s="128" t="s">
        <v>29685</v>
      </c>
      <c r="C1612" s="194" t="s">
        <v>37</v>
      </c>
      <c r="D1612" s="195">
        <v>7273.9</v>
      </c>
      <c r="E1612" s="196">
        <v>44818</v>
      </c>
      <c r="F1612" s="195">
        <v>7273.9</v>
      </c>
      <c r="G1612" s="197">
        <f>Tabla110[[#This Row],[Importe]]-Tabla110[[#This Row],[Pagado]]</f>
        <v>0</v>
      </c>
      <c r="H1612" s="194" t="s">
        <v>10</v>
      </c>
    </row>
    <row r="1613" spans="1:8" x14ac:dyDescent="0.25">
      <c r="A1613" s="127">
        <v>44818</v>
      </c>
      <c r="B1613" s="128" t="s">
        <v>29686</v>
      </c>
      <c r="C1613" s="194" t="s">
        <v>1003</v>
      </c>
      <c r="D1613" s="195">
        <v>11716.5</v>
      </c>
      <c r="E1613" s="196">
        <v>44819</v>
      </c>
      <c r="F1613" s="195">
        <v>11716.5</v>
      </c>
      <c r="G1613" s="197">
        <f>Tabla110[[#This Row],[Importe]]-Tabla110[[#This Row],[Pagado]]</f>
        <v>0</v>
      </c>
      <c r="H1613" s="194" t="s">
        <v>10</v>
      </c>
    </row>
    <row r="1614" spans="1:8" x14ac:dyDescent="0.25">
      <c r="A1614" s="127">
        <v>44818</v>
      </c>
      <c r="B1614" s="128" t="s">
        <v>29687</v>
      </c>
      <c r="C1614" s="194" t="s">
        <v>133</v>
      </c>
      <c r="D1614" s="195">
        <v>15048</v>
      </c>
      <c r="E1614" s="196">
        <v>44819</v>
      </c>
      <c r="F1614" s="195">
        <v>15048</v>
      </c>
      <c r="G1614" s="197">
        <f>Tabla110[[#This Row],[Importe]]-Tabla110[[#This Row],[Pagado]]</f>
        <v>0</v>
      </c>
      <c r="H1614" s="194" t="s">
        <v>10</v>
      </c>
    </row>
    <row r="1615" spans="1:8" x14ac:dyDescent="0.25">
      <c r="A1615" s="127">
        <v>44818</v>
      </c>
      <c r="B1615" s="128" t="s">
        <v>29688</v>
      </c>
      <c r="C1615" s="194" t="s">
        <v>1644</v>
      </c>
      <c r="D1615" s="195">
        <v>11248</v>
      </c>
      <c r="E1615" s="196">
        <v>44819</v>
      </c>
      <c r="F1615" s="195">
        <v>11248</v>
      </c>
      <c r="G1615" s="197">
        <f>Tabla110[[#This Row],[Importe]]-Tabla110[[#This Row],[Pagado]]</f>
        <v>0</v>
      </c>
      <c r="H1615" s="194" t="s">
        <v>10</v>
      </c>
    </row>
    <row r="1616" spans="1:8" x14ac:dyDescent="0.25">
      <c r="A1616" s="127">
        <v>44818</v>
      </c>
      <c r="B1616" s="128" t="s">
        <v>29689</v>
      </c>
      <c r="C1616" s="194" t="s">
        <v>10157</v>
      </c>
      <c r="D1616" s="195">
        <v>15281</v>
      </c>
      <c r="E1616" s="196">
        <v>44819</v>
      </c>
      <c r="F1616" s="195">
        <v>15281</v>
      </c>
      <c r="G1616" s="197">
        <f>Tabla110[[#This Row],[Importe]]-Tabla110[[#This Row],[Pagado]]</f>
        <v>0</v>
      </c>
      <c r="H1616" s="194" t="s">
        <v>10</v>
      </c>
    </row>
    <row r="1617" spans="1:8" x14ac:dyDescent="0.25">
      <c r="A1617" s="127">
        <v>44818</v>
      </c>
      <c r="B1617" s="128" t="s">
        <v>29690</v>
      </c>
      <c r="C1617" s="194" t="s">
        <v>9827</v>
      </c>
      <c r="D1617" s="195">
        <v>3233.8</v>
      </c>
      <c r="E1617" s="196">
        <v>44818</v>
      </c>
      <c r="F1617" s="195">
        <v>3233.8</v>
      </c>
      <c r="G1617" s="197">
        <f>Tabla110[[#This Row],[Importe]]-Tabla110[[#This Row],[Pagado]]</f>
        <v>0</v>
      </c>
      <c r="H1617" s="194" t="s">
        <v>10</v>
      </c>
    </row>
    <row r="1618" spans="1:8" x14ac:dyDescent="0.25">
      <c r="A1618" s="127">
        <v>44818</v>
      </c>
      <c r="B1618" s="128" t="s">
        <v>29691</v>
      </c>
      <c r="C1618" s="194" t="s">
        <v>698</v>
      </c>
      <c r="D1618" s="195">
        <v>12168.2</v>
      </c>
      <c r="E1618" s="196">
        <v>44818</v>
      </c>
      <c r="F1618" s="195">
        <v>12168.2</v>
      </c>
      <c r="G1618" s="197">
        <f>Tabla110[[#This Row],[Importe]]-Tabla110[[#This Row],[Pagado]]</f>
        <v>0</v>
      </c>
      <c r="H1618" s="194" t="s">
        <v>10</v>
      </c>
    </row>
    <row r="1619" spans="1:8" x14ac:dyDescent="0.25">
      <c r="A1619" s="127">
        <v>44818</v>
      </c>
      <c r="B1619" s="128" t="s">
        <v>29692</v>
      </c>
      <c r="C1619" s="194" t="s">
        <v>587</v>
      </c>
      <c r="D1619" s="195">
        <v>8311.6</v>
      </c>
      <c r="E1619" s="196">
        <v>44818</v>
      </c>
      <c r="F1619" s="195">
        <v>8311.6</v>
      </c>
      <c r="G1619" s="197">
        <f>Tabla110[[#This Row],[Importe]]-Tabla110[[#This Row],[Pagado]]</f>
        <v>0</v>
      </c>
      <c r="H1619" s="194" t="s">
        <v>10</v>
      </c>
    </row>
    <row r="1620" spans="1:8" x14ac:dyDescent="0.25">
      <c r="A1620" s="127">
        <v>44818</v>
      </c>
      <c r="B1620" s="128" t="s">
        <v>29693</v>
      </c>
      <c r="C1620" s="194" t="s">
        <v>698</v>
      </c>
      <c r="D1620" s="195">
        <v>868</v>
      </c>
      <c r="E1620" s="196">
        <v>44818</v>
      </c>
      <c r="F1620" s="195">
        <v>868</v>
      </c>
      <c r="G1620" s="197">
        <f>Tabla110[[#This Row],[Importe]]-Tabla110[[#This Row],[Pagado]]</f>
        <v>0</v>
      </c>
      <c r="H1620" s="194" t="s">
        <v>10</v>
      </c>
    </row>
    <row r="1621" spans="1:8" x14ac:dyDescent="0.25">
      <c r="A1621" s="127">
        <v>44818</v>
      </c>
      <c r="B1621" s="128" t="s">
        <v>29694</v>
      </c>
      <c r="C1621" s="194" t="s">
        <v>173</v>
      </c>
      <c r="D1621" s="195">
        <v>25312.400000000001</v>
      </c>
      <c r="E1621" s="196">
        <v>44819</v>
      </c>
      <c r="F1621" s="195">
        <v>25312.400000000001</v>
      </c>
      <c r="G1621" s="197">
        <f>Tabla110[[#This Row],[Importe]]-Tabla110[[#This Row],[Pagado]]</f>
        <v>0</v>
      </c>
      <c r="H1621" s="194" t="s">
        <v>10</v>
      </c>
    </row>
    <row r="1622" spans="1:8" x14ac:dyDescent="0.25">
      <c r="A1622" s="127">
        <v>44818</v>
      </c>
      <c r="B1622" s="128" t="s">
        <v>29695</v>
      </c>
      <c r="C1622" s="194" t="s">
        <v>555</v>
      </c>
      <c r="D1622" s="195">
        <v>17779.2</v>
      </c>
      <c r="E1622" s="196">
        <v>44818</v>
      </c>
      <c r="F1622" s="195">
        <v>17779.2</v>
      </c>
      <c r="G1622" s="197">
        <f>Tabla110[[#This Row],[Importe]]-Tabla110[[#This Row],[Pagado]]</f>
        <v>0</v>
      </c>
      <c r="H1622" s="194" t="s">
        <v>10</v>
      </c>
    </row>
    <row r="1623" spans="1:8" x14ac:dyDescent="0.25">
      <c r="A1623" s="127">
        <v>44818</v>
      </c>
      <c r="B1623" s="128" t="s">
        <v>29696</v>
      </c>
      <c r="C1623" s="194" t="s">
        <v>67</v>
      </c>
      <c r="D1623" s="195">
        <v>3798.7</v>
      </c>
      <c r="E1623" s="196">
        <v>44818</v>
      </c>
      <c r="F1623" s="195">
        <v>3798.7</v>
      </c>
      <c r="G1623" s="197">
        <f>Tabla110[[#This Row],[Importe]]-Tabla110[[#This Row],[Pagado]]</f>
        <v>0</v>
      </c>
      <c r="H1623" s="194" t="s">
        <v>10</v>
      </c>
    </row>
    <row r="1624" spans="1:8" x14ac:dyDescent="0.25">
      <c r="A1624" s="127">
        <v>44818</v>
      </c>
      <c r="B1624" s="128" t="s">
        <v>29697</v>
      </c>
      <c r="C1624" s="194" t="s">
        <v>9415</v>
      </c>
      <c r="D1624" s="195">
        <v>12760.6</v>
      </c>
      <c r="E1624" s="196">
        <v>44825</v>
      </c>
      <c r="F1624" s="195">
        <v>12760.6</v>
      </c>
      <c r="G1624" s="197">
        <f>Tabla110[[#This Row],[Importe]]-Tabla110[[#This Row],[Pagado]]</f>
        <v>0</v>
      </c>
      <c r="H1624" s="194" t="s">
        <v>10</v>
      </c>
    </row>
    <row r="1625" spans="1:8" x14ac:dyDescent="0.25">
      <c r="A1625" s="127">
        <v>44818</v>
      </c>
      <c r="B1625" s="128" t="s">
        <v>29698</v>
      </c>
      <c r="C1625" s="194" t="s">
        <v>555</v>
      </c>
      <c r="D1625" s="195">
        <v>771.4</v>
      </c>
      <c r="E1625" s="196">
        <v>44818</v>
      </c>
      <c r="F1625" s="195">
        <v>771.4</v>
      </c>
      <c r="G1625" s="197">
        <f>Tabla110[[#This Row],[Importe]]-Tabla110[[#This Row],[Pagado]]</f>
        <v>0</v>
      </c>
      <c r="H1625" s="194" t="s">
        <v>10</v>
      </c>
    </row>
    <row r="1626" spans="1:8" x14ac:dyDescent="0.25">
      <c r="A1626" s="127">
        <v>44818</v>
      </c>
      <c r="B1626" s="128" t="s">
        <v>29699</v>
      </c>
      <c r="C1626" s="194" t="s">
        <v>198</v>
      </c>
      <c r="D1626" s="195">
        <v>6577</v>
      </c>
      <c r="E1626" s="196">
        <v>44818</v>
      </c>
      <c r="F1626" s="195">
        <v>6577</v>
      </c>
      <c r="G1626" s="197">
        <f>Tabla110[[#This Row],[Importe]]-Tabla110[[#This Row],[Pagado]]</f>
        <v>0</v>
      </c>
      <c r="H1626" s="194" t="s">
        <v>10</v>
      </c>
    </row>
    <row r="1627" spans="1:8" x14ac:dyDescent="0.25">
      <c r="A1627" s="127">
        <v>44818</v>
      </c>
      <c r="B1627" s="128" t="s">
        <v>29700</v>
      </c>
      <c r="C1627" s="194" t="s">
        <v>226</v>
      </c>
      <c r="D1627" s="195">
        <v>5744</v>
      </c>
      <c r="E1627" s="196">
        <v>44818</v>
      </c>
      <c r="F1627" s="195">
        <v>5744</v>
      </c>
      <c r="G1627" s="197">
        <f>Tabla110[[#This Row],[Importe]]-Tabla110[[#This Row],[Pagado]]</f>
        <v>0</v>
      </c>
      <c r="H1627" s="194" t="s">
        <v>10</v>
      </c>
    </row>
    <row r="1628" spans="1:8" x14ac:dyDescent="0.25">
      <c r="A1628" s="127">
        <v>44818</v>
      </c>
      <c r="B1628" s="128" t="s">
        <v>29701</v>
      </c>
      <c r="C1628" s="194" t="s">
        <v>29702</v>
      </c>
      <c r="D1628" s="195">
        <v>42912.6</v>
      </c>
      <c r="E1628" s="196">
        <v>44858</v>
      </c>
      <c r="F1628" s="195">
        <v>42912.6</v>
      </c>
      <c r="G1628" s="197">
        <f>Tabla110[[#This Row],[Importe]]-Tabla110[[#This Row],[Pagado]]</f>
        <v>0</v>
      </c>
      <c r="H1628" s="194" t="s">
        <v>10</v>
      </c>
    </row>
    <row r="1629" spans="1:8" x14ac:dyDescent="0.25">
      <c r="A1629" s="127">
        <v>44818</v>
      </c>
      <c r="B1629" s="128" t="s">
        <v>29703</v>
      </c>
      <c r="C1629" s="194" t="s">
        <v>142</v>
      </c>
      <c r="D1629" s="195">
        <v>38351.199999999997</v>
      </c>
      <c r="E1629" s="196">
        <v>44848</v>
      </c>
      <c r="F1629" s="195">
        <v>38351.199999999997</v>
      </c>
      <c r="G1629" s="197">
        <f>Tabla110[[#This Row],[Importe]]-Tabla110[[#This Row],[Pagado]]</f>
        <v>0</v>
      </c>
      <c r="H1629" s="194" t="s">
        <v>10</v>
      </c>
    </row>
    <row r="1630" spans="1:8" x14ac:dyDescent="0.25">
      <c r="A1630" s="127">
        <v>44818</v>
      </c>
      <c r="B1630" s="128" t="s">
        <v>29704</v>
      </c>
      <c r="C1630" s="194" t="s">
        <v>1362</v>
      </c>
      <c r="D1630" s="195">
        <v>12567</v>
      </c>
      <c r="E1630" s="196">
        <v>44819</v>
      </c>
      <c r="F1630" s="195">
        <v>12567</v>
      </c>
      <c r="G1630" s="197">
        <f>Tabla110[[#This Row],[Importe]]-Tabla110[[#This Row],[Pagado]]</f>
        <v>0</v>
      </c>
      <c r="H1630" s="194" t="s">
        <v>10</v>
      </c>
    </row>
    <row r="1631" spans="1:8" x14ac:dyDescent="0.25">
      <c r="A1631" s="127">
        <v>44818</v>
      </c>
      <c r="B1631" s="128" t="s">
        <v>29705</v>
      </c>
      <c r="C1631" s="194" t="s">
        <v>857</v>
      </c>
      <c r="D1631" s="195">
        <v>572.6</v>
      </c>
      <c r="E1631" s="196">
        <v>44818</v>
      </c>
      <c r="F1631" s="195">
        <v>572.6</v>
      </c>
      <c r="G1631" s="197">
        <f>Tabla110[[#This Row],[Importe]]-Tabla110[[#This Row],[Pagado]]</f>
        <v>0</v>
      </c>
      <c r="H1631" s="194" t="s">
        <v>10</v>
      </c>
    </row>
    <row r="1632" spans="1:8" x14ac:dyDescent="0.25">
      <c r="A1632" s="127">
        <v>44818</v>
      </c>
      <c r="B1632" s="128" t="s">
        <v>29706</v>
      </c>
      <c r="C1632" s="194" t="s">
        <v>31</v>
      </c>
      <c r="D1632" s="195">
        <v>1420.8</v>
      </c>
      <c r="E1632" s="196">
        <v>44818</v>
      </c>
      <c r="F1632" s="195">
        <v>1420.8</v>
      </c>
      <c r="G1632" s="197">
        <f>Tabla110[[#This Row],[Importe]]-Tabla110[[#This Row],[Pagado]]</f>
        <v>0</v>
      </c>
      <c r="H1632" s="194" t="s">
        <v>10</v>
      </c>
    </row>
    <row r="1633" spans="1:8" x14ac:dyDescent="0.25">
      <c r="A1633" s="127">
        <v>44818</v>
      </c>
      <c r="B1633" s="128" t="s">
        <v>29707</v>
      </c>
      <c r="C1633" s="194" t="s">
        <v>214</v>
      </c>
      <c r="D1633" s="195">
        <v>250</v>
      </c>
      <c r="E1633" s="196">
        <v>44819</v>
      </c>
      <c r="F1633" s="195">
        <v>250</v>
      </c>
      <c r="G1633" s="197">
        <f>Tabla110[[#This Row],[Importe]]-Tabla110[[#This Row],[Pagado]]</f>
        <v>0</v>
      </c>
      <c r="H1633" s="194" t="s">
        <v>10</v>
      </c>
    </row>
    <row r="1634" spans="1:8" x14ac:dyDescent="0.25">
      <c r="A1634" s="127">
        <v>44818</v>
      </c>
      <c r="B1634" s="128" t="s">
        <v>29708</v>
      </c>
      <c r="C1634" s="194" t="s">
        <v>664</v>
      </c>
      <c r="D1634" s="195">
        <v>3480</v>
      </c>
      <c r="E1634" s="196">
        <v>44819</v>
      </c>
      <c r="F1634" s="195">
        <v>3480</v>
      </c>
      <c r="G1634" s="197">
        <f>Tabla110[[#This Row],[Importe]]-Tabla110[[#This Row],[Pagado]]</f>
        <v>0</v>
      </c>
      <c r="H1634" s="194" t="s">
        <v>10</v>
      </c>
    </row>
    <row r="1635" spans="1:8" x14ac:dyDescent="0.25">
      <c r="A1635" s="127">
        <v>44818</v>
      </c>
      <c r="B1635" s="128" t="s">
        <v>29709</v>
      </c>
      <c r="C1635" s="194" t="s">
        <v>291</v>
      </c>
      <c r="D1635" s="195">
        <v>576</v>
      </c>
      <c r="E1635" s="196">
        <v>44819</v>
      </c>
      <c r="F1635" s="195">
        <v>576</v>
      </c>
      <c r="G1635" s="197">
        <f>Tabla110[[#This Row],[Importe]]-Tabla110[[#This Row],[Pagado]]</f>
        <v>0</v>
      </c>
      <c r="H1635" s="194" t="s">
        <v>10</v>
      </c>
    </row>
    <row r="1636" spans="1:8" x14ac:dyDescent="0.25">
      <c r="A1636" s="127">
        <v>44818</v>
      </c>
      <c r="B1636" s="128" t="s">
        <v>29710</v>
      </c>
      <c r="C1636" s="194" t="s">
        <v>146</v>
      </c>
      <c r="D1636" s="195">
        <v>5794.2</v>
      </c>
      <c r="E1636" s="196">
        <v>44819</v>
      </c>
      <c r="F1636" s="195">
        <v>5794.2</v>
      </c>
      <c r="G1636" s="197">
        <f>Tabla110[[#This Row],[Importe]]-Tabla110[[#This Row],[Pagado]]</f>
        <v>0</v>
      </c>
      <c r="H1636" s="194" t="s">
        <v>10</v>
      </c>
    </row>
    <row r="1637" spans="1:8" x14ac:dyDescent="0.25">
      <c r="A1637" s="127">
        <v>44818</v>
      </c>
      <c r="B1637" s="128" t="s">
        <v>29711</v>
      </c>
      <c r="C1637" s="194" t="s">
        <v>359</v>
      </c>
      <c r="D1637" s="195">
        <v>1849.2</v>
      </c>
      <c r="E1637" s="196">
        <v>44819</v>
      </c>
      <c r="F1637" s="195">
        <v>1849.2</v>
      </c>
      <c r="G1637" s="197">
        <f>Tabla110[[#This Row],[Importe]]-Tabla110[[#This Row],[Pagado]]</f>
        <v>0</v>
      </c>
      <c r="H1637" s="194" t="s">
        <v>10</v>
      </c>
    </row>
    <row r="1638" spans="1:8" x14ac:dyDescent="0.25">
      <c r="A1638" s="127">
        <v>44818</v>
      </c>
      <c r="B1638" s="128" t="s">
        <v>29712</v>
      </c>
      <c r="C1638" s="194" t="s">
        <v>333</v>
      </c>
      <c r="D1638" s="195">
        <v>1762.5</v>
      </c>
      <c r="E1638" s="196">
        <v>44819</v>
      </c>
      <c r="F1638" s="195">
        <v>1762.5</v>
      </c>
      <c r="G1638" s="197">
        <f>Tabla110[[#This Row],[Importe]]-Tabla110[[#This Row],[Pagado]]</f>
        <v>0</v>
      </c>
      <c r="H1638" s="194" t="s">
        <v>10</v>
      </c>
    </row>
    <row r="1639" spans="1:8" x14ac:dyDescent="0.25">
      <c r="A1639" s="127">
        <v>44818</v>
      </c>
      <c r="B1639" s="128" t="s">
        <v>29713</v>
      </c>
      <c r="C1639" s="194" t="s">
        <v>175</v>
      </c>
      <c r="D1639" s="195">
        <v>8011.2</v>
      </c>
      <c r="E1639" s="196">
        <v>44819</v>
      </c>
      <c r="F1639" s="195">
        <v>8011.2</v>
      </c>
      <c r="G1639" s="197">
        <f>Tabla110[[#This Row],[Importe]]-Tabla110[[#This Row],[Pagado]]</f>
        <v>0</v>
      </c>
      <c r="H1639" s="194" t="s">
        <v>10</v>
      </c>
    </row>
    <row r="1640" spans="1:8" x14ac:dyDescent="0.25">
      <c r="A1640" s="127">
        <v>44818</v>
      </c>
      <c r="B1640" s="128" t="s">
        <v>29714</v>
      </c>
      <c r="C1640" s="194" t="s">
        <v>181</v>
      </c>
      <c r="D1640" s="195">
        <v>9442.5</v>
      </c>
      <c r="E1640" s="196">
        <v>44819</v>
      </c>
      <c r="F1640" s="195">
        <v>9442.5</v>
      </c>
      <c r="G1640" s="197">
        <f>Tabla110[[#This Row],[Importe]]-Tabla110[[#This Row],[Pagado]]</f>
        <v>0</v>
      </c>
      <c r="H1640" s="194" t="s">
        <v>10</v>
      </c>
    </row>
    <row r="1641" spans="1:8" x14ac:dyDescent="0.25">
      <c r="A1641" s="127">
        <v>44818</v>
      </c>
      <c r="B1641" s="128" t="s">
        <v>29715</v>
      </c>
      <c r="C1641" s="194" t="s">
        <v>426</v>
      </c>
      <c r="D1641" s="195">
        <v>3933.9</v>
      </c>
      <c r="E1641" s="196">
        <v>44819</v>
      </c>
      <c r="F1641" s="195">
        <v>3933.9</v>
      </c>
      <c r="G1641" s="197">
        <f>Tabla110[[#This Row],[Importe]]-Tabla110[[#This Row],[Pagado]]</f>
        <v>0</v>
      </c>
      <c r="H1641" s="194" t="s">
        <v>10</v>
      </c>
    </row>
    <row r="1642" spans="1:8" x14ac:dyDescent="0.25">
      <c r="A1642" s="127">
        <v>44818</v>
      </c>
      <c r="B1642" s="128" t="s">
        <v>29716</v>
      </c>
      <c r="C1642" s="194" t="s">
        <v>1650</v>
      </c>
      <c r="D1642" s="195">
        <v>5994</v>
      </c>
      <c r="E1642" s="196">
        <v>44819</v>
      </c>
      <c r="F1642" s="195">
        <v>5994</v>
      </c>
      <c r="G1642" s="197">
        <f>Tabla110[[#This Row],[Importe]]-Tabla110[[#This Row],[Pagado]]</f>
        <v>0</v>
      </c>
      <c r="H1642" s="194" t="s">
        <v>10</v>
      </c>
    </row>
    <row r="1643" spans="1:8" x14ac:dyDescent="0.25">
      <c r="A1643" s="127">
        <v>44818</v>
      </c>
      <c r="B1643" s="128" t="s">
        <v>29717</v>
      </c>
      <c r="C1643" s="194" t="s">
        <v>1421</v>
      </c>
      <c r="D1643" s="195">
        <v>61281</v>
      </c>
      <c r="E1643" s="196">
        <v>44818</v>
      </c>
      <c r="F1643" s="195">
        <v>61281</v>
      </c>
      <c r="G1643" s="197">
        <f>Tabla110[[#This Row],[Importe]]-Tabla110[[#This Row],[Pagado]]</f>
        <v>0</v>
      </c>
      <c r="H1643" s="194" t="s">
        <v>10</v>
      </c>
    </row>
    <row r="1644" spans="1:8" x14ac:dyDescent="0.25">
      <c r="A1644" s="127">
        <v>44818</v>
      </c>
      <c r="B1644" s="128" t="s">
        <v>29718</v>
      </c>
      <c r="C1644" s="194" t="s">
        <v>284</v>
      </c>
      <c r="D1644" s="195">
        <v>10996.4</v>
      </c>
      <c r="E1644" s="196">
        <v>44819</v>
      </c>
      <c r="F1644" s="195">
        <v>10996.4</v>
      </c>
      <c r="G1644" s="197">
        <f>Tabla110[[#This Row],[Importe]]-Tabla110[[#This Row],[Pagado]]</f>
        <v>0</v>
      </c>
      <c r="H1644" s="194" t="s">
        <v>10</v>
      </c>
    </row>
    <row r="1645" spans="1:8" x14ac:dyDescent="0.25">
      <c r="A1645" s="127">
        <v>44818</v>
      </c>
      <c r="B1645" s="128" t="s">
        <v>29719</v>
      </c>
      <c r="C1645" s="194" t="s">
        <v>5345</v>
      </c>
      <c r="D1645" s="195">
        <v>1998</v>
      </c>
      <c r="E1645" s="196">
        <v>44819</v>
      </c>
      <c r="F1645" s="195">
        <v>1998</v>
      </c>
      <c r="G1645" s="197">
        <f>Tabla110[[#This Row],[Importe]]-Tabla110[[#This Row],[Pagado]]</f>
        <v>0</v>
      </c>
      <c r="H1645" s="194" t="s">
        <v>10</v>
      </c>
    </row>
    <row r="1646" spans="1:8" x14ac:dyDescent="0.25">
      <c r="A1646" s="127">
        <v>44818</v>
      </c>
      <c r="B1646" s="128" t="s">
        <v>29720</v>
      </c>
      <c r="C1646" s="194" t="s">
        <v>5345</v>
      </c>
      <c r="D1646" s="195">
        <v>2012.8</v>
      </c>
      <c r="E1646" s="196">
        <v>44819</v>
      </c>
      <c r="F1646" s="195">
        <v>2012.8</v>
      </c>
      <c r="G1646" s="197">
        <f>Tabla110[[#This Row],[Importe]]-Tabla110[[#This Row],[Pagado]]</f>
        <v>0</v>
      </c>
      <c r="H1646" s="194" t="s">
        <v>10</v>
      </c>
    </row>
    <row r="1647" spans="1:8" x14ac:dyDescent="0.25">
      <c r="A1647" s="127">
        <v>44818</v>
      </c>
      <c r="B1647" s="128" t="s">
        <v>29721</v>
      </c>
      <c r="C1647" s="194" t="s">
        <v>280</v>
      </c>
      <c r="D1647" s="195">
        <v>1391.2</v>
      </c>
      <c r="E1647" s="196">
        <v>44819</v>
      </c>
      <c r="F1647" s="195">
        <v>1391.2</v>
      </c>
      <c r="G1647" s="197">
        <f>Tabla110[[#This Row],[Importe]]-Tabla110[[#This Row],[Pagado]]</f>
        <v>0</v>
      </c>
      <c r="H1647" s="194" t="s">
        <v>10</v>
      </c>
    </row>
    <row r="1648" spans="1:8" x14ac:dyDescent="0.25">
      <c r="A1648" s="127">
        <v>44818</v>
      </c>
      <c r="B1648" s="128" t="s">
        <v>29722</v>
      </c>
      <c r="C1648" s="194" t="s">
        <v>10819</v>
      </c>
      <c r="D1648" s="195">
        <v>1154.4000000000001</v>
      </c>
      <c r="E1648" s="196">
        <v>44819</v>
      </c>
      <c r="F1648" s="195">
        <v>1154.4000000000001</v>
      </c>
      <c r="G1648" s="197">
        <f>Tabla110[[#This Row],[Importe]]-Tabla110[[#This Row],[Pagado]]</f>
        <v>0</v>
      </c>
      <c r="H1648" s="194" t="s">
        <v>10</v>
      </c>
    </row>
    <row r="1649" spans="1:8" x14ac:dyDescent="0.25">
      <c r="A1649" s="127">
        <v>44818</v>
      </c>
      <c r="B1649" s="128" t="s">
        <v>29723</v>
      </c>
      <c r="C1649" s="194" t="s">
        <v>282</v>
      </c>
      <c r="D1649" s="195">
        <v>7400</v>
      </c>
      <c r="E1649" s="196">
        <v>44819</v>
      </c>
      <c r="F1649" s="195">
        <v>7400</v>
      </c>
      <c r="G1649" s="197">
        <f>Tabla110[[#This Row],[Importe]]-Tabla110[[#This Row],[Pagado]]</f>
        <v>0</v>
      </c>
      <c r="H1649" s="194" t="s">
        <v>10</v>
      </c>
    </row>
    <row r="1650" spans="1:8" x14ac:dyDescent="0.25">
      <c r="A1650" s="127">
        <v>44818</v>
      </c>
      <c r="B1650" s="128" t="s">
        <v>29724</v>
      </c>
      <c r="C1650" s="194" t="s">
        <v>1265</v>
      </c>
      <c r="D1650" s="195">
        <v>1203.4000000000001</v>
      </c>
      <c r="E1650" s="196">
        <v>44818</v>
      </c>
      <c r="F1650" s="195">
        <v>1203.4000000000001</v>
      </c>
      <c r="G1650" s="197">
        <f>Tabla110[[#This Row],[Importe]]-Tabla110[[#This Row],[Pagado]]</f>
        <v>0</v>
      </c>
      <c r="H1650" s="194" t="s">
        <v>10</v>
      </c>
    </row>
    <row r="1651" spans="1:8" x14ac:dyDescent="0.25">
      <c r="A1651" s="127">
        <v>44818</v>
      </c>
      <c r="B1651" s="128" t="s">
        <v>29725</v>
      </c>
      <c r="C1651" s="194" t="s">
        <v>107</v>
      </c>
      <c r="D1651" s="195">
        <v>27642.52</v>
      </c>
      <c r="E1651" s="196">
        <v>44818</v>
      </c>
      <c r="F1651" s="195">
        <v>27642.52</v>
      </c>
      <c r="G1651" s="197">
        <f>Tabla110[[#This Row],[Importe]]-Tabla110[[#This Row],[Pagado]]</f>
        <v>0</v>
      </c>
      <c r="H1651" s="194" t="s">
        <v>10</v>
      </c>
    </row>
    <row r="1652" spans="1:8" x14ac:dyDescent="0.25">
      <c r="A1652" s="127">
        <v>44818</v>
      </c>
      <c r="B1652" s="128" t="s">
        <v>29726</v>
      </c>
      <c r="C1652" s="194" t="s">
        <v>114</v>
      </c>
      <c r="D1652" s="195">
        <v>6659.2</v>
      </c>
      <c r="E1652" s="196">
        <v>44818</v>
      </c>
      <c r="F1652" s="195">
        <v>6659.2</v>
      </c>
      <c r="G1652" s="197">
        <f>Tabla110[[#This Row],[Importe]]-Tabla110[[#This Row],[Pagado]]</f>
        <v>0</v>
      </c>
      <c r="H1652" s="194" t="s">
        <v>10</v>
      </c>
    </row>
    <row r="1653" spans="1:8" x14ac:dyDescent="0.25">
      <c r="A1653" s="127">
        <v>44818</v>
      </c>
      <c r="B1653" s="128" t="s">
        <v>29727</v>
      </c>
      <c r="C1653" s="194" t="s">
        <v>14944</v>
      </c>
      <c r="D1653" s="195">
        <v>1584.6</v>
      </c>
      <c r="E1653" s="196">
        <v>44818</v>
      </c>
      <c r="F1653" s="195">
        <v>1584.6</v>
      </c>
      <c r="G1653" s="197">
        <f>Tabla110[[#This Row],[Importe]]-Tabla110[[#This Row],[Pagado]]</f>
        <v>0</v>
      </c>
      <c r="H1653" s="194" t="s">
        <v>10</v>
      </c>
    </row>
    <row r="1654" spans="1:8" x14ac:dyDescent="0.25">
      <c r="A1654" s="127">
        <v>44818</v>
      </c>
      <c r="B1654" s="128" t="s">
        <v>29728</v>
      </c>
      <c r="C1654" s="194" t="s">
        <v>149</v>
      </c>
      <c r="D1654" s="195">
        <v>3952.5</v>
      </c>
      <c r="E1654" s="196">
        <v>44818</v>
      </c>
      <c r="F1654" s="195">
        <v>3952.5</v>
      </c>
      <c r="G1654" s="197">
        <f>Tabla110[[#This Row],[Importe]]-Tabla110[[#This Row],[Pagado]]</f>
        <v>0</v>
      </c>
      <c r="H1654" s="194" t="s">
        <v>10</v>
      </c>
    </row>
    <row r="1655" spans="1:8" x14ac:dyDescent="0.25">
      <c r="A1655" s="127">
        <v>44818</v>
      </c>
      <c r="B1655" s="128" t="s">
        <v>29729</v>
      </c>
      <c r="C1655" s="194" t="s">
        <v>31</v>
      </c>
      <c r="D1655" s="195">
        <v>4358.3999999999996</v>
      </c>
      <c r="E1655" s="196">
        <v>44818</v>
      </c>
      <c r="F1655" s="195">
        <v>4358.3999999999996</v>
      </c>
      <c r="G1655" s="197">
        <f>Tabla110[[#This Row],[Importe]]-Tabla110[[#This Row],[Pagado]]</f>
        <v>0</v>
      </c>
      <c r="H1655" s="194" t="s">
        <v>10</v>
      </c>
    </row>
    <row r="1656" spans="1:8" x14ac:dyDescent="0.25">
      <c r="A1656" s="127">
        <v>44818</v>
      </c>
      <c r="B1656" s="128" t="s">
        <v>29730</v>
      </c>
      <c r="C1656" s="194" t="s">
        <v>31</v>
      </c>
      <c r="D1656" s="195">
        <v>570</v>
      </c>
      <c r="E1656" s="196">
        <v>44818</v>
      </c>
      <c r="F1656" s="195">
        <v>570</v>
      </c>
      <c r="G1656" s="197">
        <f>Tabla110[[#This Row],[Importe]]-Tabla110[[#This Row],[Pagado]]</f>
        <v>0</v>
      </c>
      <c r="H1656" s="194" t="s">
        <v>10</v>
      </c>
    </row>
    <row r="1657" spans="1:8" x14ac:dyDescent="0.25">
      <c r="A1657" s="127">
        <v>44818</v>
      </c>
      <c r="B1657" s="128" t="s">
        <v>29731</v>
      </c>
      <c r="C1657" s="194" t="s">
        <v>31</v>
      </c>
      <c r="D1657" s="195">
        <v>1248</v>
      </c>
      <c r="E1657" s="196">
        <v>44818</v>
      </c>
      <c r="F1657" s="195">
        <v>1248</v>
      </c>
      <c r="G1657" s="197">
        <f>Tabla110[[#This Row],[Importe]]-Tabla110[[#This Row],[Pagado]]</f>
        <v>0</v>
      </c>
      <c r="H1657" s="194" t="s">
        <v>10</v>
      </c>
    </row>
    <row r="1658" spans="1:8" x14ac:dyDescent="0.25">
      <c r="A1658" s="127">
        <v>44818</v>
      </c>
      <c r="B1658" s="128" t="s">
        <v>29732</v>
      </c>
      <c r="C1658" s="194" t="s">
        <v>1275</v>
      </c>
      <c r="D1658" s="195">
        <v>2642</v>
      </c>
      <c r="E1658" s="196">
        <v>44818</v>
      </c>
      <c r="F1658" s="195">
        <v>2642</v>
      </c>
      <c r="G1658" s="197">
        <f>Tabla110[[#This Row],[Importe]]-Tabla110[[#This Row],[Pagado]]</f>
        <v>0</v>
      </c>
      <c r="H1658" s="194" t="s">
        <v>10</v>
      </c>
    </row>
    <row r="1659" spans="1:8" x14ac:dyDescent="0.25">
      <c r="A1659" s="127">
        <v>44818</v>
      </c>
      <c r="B1659" s="128" t="s">
        <v>29733</v>
      </c>
      <c r="C1659" s="194" t="s">
        <v>301</v>
      </c>
      <c r="D1659" s="195">
        <v>17640</v>
      </c>
      <c r="E1659" s="196">
        <v>44818</v>
      </c>
      <c r="F1659" s="195">
        <v>17640</v>
      </c>
      <c r="G1659" s="197">
        <f>Tabla110[[#This Row],[Importe]]-Tabla110[[#This Row],[Pagado]]</f>
        <v>0</v>
      </c>
      <c r="H1659" s="194" t="s">
        <v>10</v>
      </c>
    </row>
    <row r="1660" spans="1:8" x14ac:dyDescent="0.25">
      <c r="A1660" s="127">
        <v>44818</v>
      </c>
      <c r="B1660" s="128" t="s">
        <v>29734</v>
      </c>
      <c r="C1660" s="194" t="s">
        <v>301</v>
      </c>
      <c r="D1660" s="195">
        <v>416</v>
      </c>
      <c r="E1660" s="196">
        <v>44818</v>
      </c>
      <c r="F1660" s="195">
        <v>416</v>
      </c>
      <c r="G1660" s="197">
        <f>Tabla110[[#This Row],[Importe]]-Tabla110[[#This Row],[Pagado]]</f>
        <v>0</v>
      </c>
      <c r="H1660" s="194" t="s">
        <v>10</v>
      </c>
    </row>
    <row r="1661" spans="1:8" x14ac:dyDescent="0.25">
      <c r="A1661" s="127">
        <v>44818</v>
      </c>
      <c r="B1661" s="128" t="s">
        <v>29735</v>
      </c>
      <c r="C1661" s="194" t="s">
        <v>1008</v>
      </c>
      <c r="D1661" s="195">
        <v>477</v>
      </c>
      <c r="E1661" s="196">
        <v>44818</v>
      </c>
      <c r="F1661" s="195">
        <v>477</v>
      </c>
      <c r="G1661" s="197">
        <f>Tabla110[[#This Row],[Importe]]-Tabla110[[#This Row],[Pagado]]</f>
        <v>0</v>
      </c>
      <c r="H1661" s="194" t="s">
        <v>10</v>
      </c>
    </row>
    <row r="1662" spans="1:8" x14ac:dyDescent="0.25">
      <c r="A1662" s="127">
        <v>44818</v>
      </c>
      <c r="B1662" s="128" t="s">
        <v>29736</v>
      </c>
      <c r="C1662" s="194" t="s">
        <v>273</v>
      </c>
      <c r="D1662" s="195">
        <v>5305.4</v>
      </c>
      <c r="E1662" s="196">
        <v>44818</v>
      </c>
      <c r="F1662" s="195">
        <v>5305.4</v>
      </c>
      <c r="G1662" s="197">
        <f>Tabla110[[#This Row],[Importe]]-Tabla110[[#This Row],[Pagado]]</f>
        <v>0</v>
      </c>
      <c r="H1662" s="194" t="s">
        <v>10</v>
      </c>
    </row>
    <row r="1663" spans="1:8" x14ac:dyDescent="0.25">
      <c r="A1663" s="127">
        <v>44818</v>
      </c>
      <c r="B1663" s="128" t="s">
        <v>29737</v>
      </c>
      <c r="C1663" s="194" t="s">
        <v>31</v>
      </c>
      <c r="D1663" s="195">
        <v>1130.5999999999999</v>
      </c>
      <c r="E1663" s="196">
        <v>44819</v>
      </c>
      <c r="F1663" s="195">
        <v>1130.5999999999999</v>
      </c>
      <c r="G1663" s="197">
        <f>Tabla110[[#This Row],[Importe]]-Tabla110[[#This Row],[Pagado]]</f>
        <v>0</v>
      </c>
      <c r="H1663" s="194" t="s">
        <v>10</v>
      </c>
    </row>
    <row r="1664" spans="1:8" x14ac:dyDescent="0.25">
      <c r="A1664" s="127">
        <v>44818</v>
      </c>
      <c r="B1664" s="128" t="s">
        <v>29738</v>
      </c>
      <c r="C1664" s="194" t="s">
        <v>10190</v>
      </c>
      <c r="D1664" s="195">
        <v>55870</v>
      </c>
      <c r="E1664" s="196">
        <v>44819</v>
      </c>
      <c r="F1664" s="195">
        <v>55870</v>
      </c>
      <c r="G1664" s="197">
        <f>Tabla110[[#This Row],[Importe]]-Tabla110[[#This Row],[Pagado]]</f>
        <v>0</v>
      </c>
      <c r="H1664" s="194" t="s">
        <v>10</v>
      </c>
    </row>
    <row r="1665" spans="1:8" x14ac:dyDescent="0.25">
      <c r="A1665" s="127">
        <v>44818</v>
      </c>
      <c r="B1665" s="128" t="s">
        <v>29739</v>
      </c>
      <c r="C1665" s="194" t="s">
        <v>51</v>
      </c>
      <c r="D1665" s="195">
        <v>1372.2</v>
      </c>
      <c r="E1665" s="196">
        <v>44818</v>
      </c>
      <c r="F1665" s="195">
        <v>1372.2</v>
      </c>
      <c r="G1665" s="197">
        <f>Tabla110[[#This Row],[Importe]]-Tabla110[[#This Row],[Pagado]]</f>
        <v>0</v>
      </c>
      <c r="H1665" s="194" t="s">
        <v>10</v>
      </c>
    </row>
    <row r="1666" spans="1:8" x14ac:dyDescent="0.25">
      <c r="A1666" s="127">
        <v>44818</v>
      </c>
      <c r="B1666" s="128" t="s">
        <v>29740</v>
      </c>
      <c r="C1666" s="194" t="s">
        <v>53</v>
      </c>
      <c r="D1666" s="195">
        <v>1122</v>
      </c>
      <c r="E1666" s="196">
        <v>44818</v>
      </c>
      <c r="F1666" s="195">
        <v>1122</v>
      </c>
      <c r="G1666" s="197">
        <f>Tabla110[[#This Row],[Importe]]-Tabla110[[#This Row],[Pagado]]</f>
        <v>0</v>
      </c>
      <c r="H1666" s="194" t="s">
        <v>10</v>
      </c>
    </row>
    <row r="1667" spans="1:8" x14ac:dyDescent="0.25">
      <c r="A1667" s="127">
        <v>44818</v>
      </c>
      <c r="B1667" s="128" t="s">
        <v>29741</v>
      </c>
      <c r="C1667" s="194" t="s">
        <v>31</v>
      </c>
      <c r="D1667" s="195">
        <v>614.20000000000005</v>
      </c>
      <c r="E1667" s="196">
        <v>44818</v>
      </c>
      <c r="F1667" s="195">
        <v>614.20000000000005</v>
      </c>
      <c r="G1667" s="197">
        <f>Tabla110[[#This Row],[Importe]]-Tabla110[[#This Row],[Pagado]]</f>
        <v>0</v>
      </c>
      <c r="H1667" s="194" t="s">
        <v>10</v>
      </c>
    </row>
    <row r="1668" spans="1:8" x14ac:dyDescent="0.25">
      <c r="A1668" s="127">
        <v>44818</v>
      </c>
      <c r="B1668" s="128" t="s">
        <v>29742</v>
      </c>
      <c r="C1668" s="194" t="s">
        <v>7745</v>
      </c>
      <c r="D1668" s="195">
        <v>16500</v>
      </c>
      <c r="E1668" s="196">
        <v>44818</v>
      </c>
      <c r="F1668" s="195">
        <v>16500</v>
      </c>
      <c r="G1668" s="197">
        <f>Tabla110[[#This Row],[Importe]]-Tabla110[[#This Row],[Pagado]]</f>
        <v>0</v>
      </c>
      <c r="H1668" s="194" t="s">
        <v>10</v>
      </c>
    </row>
    <row r="1669" spans="1:8" x14ac:dyDescent="0.25">
      <c r="A1669" s="127">
        <v>44818</v>
      </c>
      <c r="B1669" s="128" t="s">
        <v>29743</v>
      </c>
      <c r="C1669" s="194" t="s">
        <v>5126</v>
      </c>
      <c r="D1669" s="195">
        <v>52124.800000000003</v>
      </c>
      <c r="E1669" s="196">
        <v>44819</v>
      </c>
      <c r="F1669" s="195">
        <v>52124.800000000003</v>
      </c>
      <c r="G1669" s="197">
        <f>Tabla110[[#This Row],[Importe]]-Tabla110[[#This Row],[Pagado]]</f>
        <v>0</v>
      </c>
      <c r="H1669" s="194" t="s">
        <v>10</v>
      </c>
    </row>
    <row r="1670" spans="1:8" x14ac:dyDescent="0.25">
      <c r="A1670" s="127">
        <v>44818</v>
      </c>
      <c r="B1670" s="128" t="s">
        <v>29744</v>
      </c>
      <c r="C1670" s="194" t="s">
        <v>1558</v>
      </c>
      <c r="D1670" s="195">
        <v>4104</v>
      </c>
      <c r="E1670" s="196">
        <v>44818</v>
      </c>
      <c r="F1670" s="195">
        <v>4104</v>
      </c>
      <c r="G1670" s="197">
        <f>Tabla110[[#This Row],[Importe]]-Tabla110[[#This Row],[Pagado]]</f>
        <v>0</v>
      </c>
      <c r="H1670" s="194" t="s">
        <v>10</v>
      </c>
    </row>
    <row r="1671" spans="1:8" x14ac:dyDescent="0.25">
      <c r="A1671" s="127">
        <v>44818</v>
      </c>
      <c r="B1671" s="128" t="s">
        <v>29745</v>
      </c>
      <c r="C1671" s="194" t="s">
        <v>7745</v>
      </c>
      <c r="D1671" s="195">
        <v>422.4</v>
      </c>
      <c r="E1671" s="196">
        <v>44818</v>
      </c>
      <c r="F1671" s="195">
        <v>422.4</v>
      </c>
      <c r="G1671" s="197">
        <f>Tabla110[[#This Row],[Importe]]-Tabla110[[#This Row],[Pagado]]</f>
        <v>0</v>
      </c>
      <c r="H1671" s="194" t="s">
        <v>10</v>
      </c>
    </row>
    <row r="1672" spans="1:8" x14ac:dyDescent="0.25">
      <c r="A1672" s="127">
        <v>44818</v>
      </c>
      <c r="B1672" s="128" t="s">
        <v>29746</v>
      </c>
      <c r="C1672" s="194" t="s">
        <v>8501</v>
      </c>
      <c r="D1672" s="195">
        <v>5305.8</v>
      </c>
      <c r="E1672" s="196">
        <v>44818</v>
      </c>
      <c r="F1672" s="195">
        <v>5305.8</v>
      </c>
      <c r="G1672" s="197">
        <f>Tabla110[[#This Row],[Importe]]-Tabla110[[#This Row],[Pagado]]</f>
        <v>0</v>
      </c>
      <c r="H1672" s="194" t="s">
        <v>10</v>
      </c>
    </row>
    <row r="1673" spans="1:8" x14ac:dyDescent="0.25">
      <c r="A1673" s="127">
        <v>44818</v>
      </c>
      <c r="B1673" s="128" t="s">
        <v>29747</v>
      </c>
      <c r="C1673" s="194" t="s">
        <v>407</v>
      </c>
      <c r="D1673" s="195">
        <v>17340</v>
      </c>
      <c r="E1673" s="196">
        <v>44820</v>
      </c>
      <c r="F1673" s="195">
        <v>17340</v>
      </c>
      <c r="G1673" s="197">
        <f>Tabla110[[#This Row],[Importe]]-Tabla110[[#This Row],[Pagado]]</f>
        <v>0</v>
      </c>
      <c r="H1673" s="194" t="s">
        <v>10</v>
      </c>
    </row>
    <row r="1674" spans="1:8" x14ac:dyDescent="0.25">
      <c r="A1674" s="127">
        <v>44818</v>
      </c>
      <c r="B1674" s="128" t="s">
        <v>29748</v>
      </c>
      <c r="C1674" s="194" t="s">
        <v>296</v>
      </c>
      <c r="D1674" s="195">
        <v>2426.4</v>
      </c>
      <c r="E1674" s="196">
        <v>44818</v>
      </c>
      <c r="F1674" s="195">
        <v>2426.4</v>
      </c>
      <c r="G1674" s="197">
        <f>Tabla110[[#This Row],[Importe]]-Tabla110[[#This Row],[Pagado]]</f>
        <v>0</v>
      </c>
      <c r="H1674" s="194" t="s">
        <v>10</v>
      </c>
    </row>
    <row r="1675" spans="1:8" x14ac:dyDescent="0.25">
      <c r="A1675" s="127">
        <v>44818</v>
      </c>
      <c r="B1675" s="128" t="s">
        <v>29749</v>
      </c>
      <c r="C1675" s="194" t="s">
        <v>8501</v>
      </c>
      <c r="D1675" s="195">
        <v>892.4</v>
      </c>
      <c r="E1675" s="196">
        <v>44818</v>
      </c>
      <c r="F1675" s="195">
        <v>892.4</v>
      </c>
      <c r="G1675" s="197">
        <f>Tabla110[[#This Row],[Importe]]-Tabla110[[#This Row],[Pagado]]</f>
        <v>0</v>
      </c>
      <c r="H1675" s="194" t="s">
        <v>10</v>
      </c>
    </row>
    <row r="1676" spans="1:8" x14ac:dyDescent="0.25">
      <c r="A1676" s="127">
        <v>44818</v>
      </c>
      <c r="B1676" s="128" t="s">
        <v>29750</v>
      </c>
      <c r="C1676" s="194" t="s">
        <v>7745</v>
      </c>
      <c r="D1676" s="195">
        <v>8992</v>
      </c>
      <c r="E1676" s="196">
        <v>44818</v>
      </c>
      <c r="F1676" s="195">
        <v>8992</v>
      </c>
      <c r="G1676" s="197">
        <f>Tabla110[[#This Row],[Importe]]-Tabla110[[#This Row],[Pagado]]</f>
        <v>0</v>
      </c>
      <c r="H1676" s="194" t="s">
        <v>10</v>
      </c>
    </row>
    <row r="1677" spans="1:8" x14ac:dyDescent="0.25">
      <c r="A1677" s="127">
        <v>44818</v>
      </c>
      <c r="B1677" s="128" t="s">
        <v>29751</v>
      </c>
      <c r="C1677" s="194" t="s">
        <v>28087</v>
      </c>
      <c r="D1677" s="195">
        <v>27605</v>
      </c>
      <c r="E1677" s="196">
        <v>44893</v>
      </c>
      <c r="F1677" s="195">
        <v>27605</v>
      </c>
      <c r="G1677" s="197">
        <f>Tabla110[[#This Row],[Importe]]-Tabla110[[#This Row],[Pagado]]</f>
        <v>0</v>
      </c>
      <c r="H1677" s="78" t="s">
        <v>17776</v>
      </c>
    </row>
    <row r="1678" spans="1:8" x14ac:dyDescent="0.25">
      <c r="A1678" s="127">
        <v>44818</v>
      </c>
      <c r="B1678" s="128" t="s">
        <v>29752</v>
      </c>
      <c r="C1678" s="194" t="s">
        <v>9577</v>
      </c>
      <c r="D1678" s="195">
        <v>24333</v>
      </c>
      <c r="E1678" s="196">
        <v>44819</v>
      </c>
      <c r="F1678" s="195">
        <v>24333</v>
      </c>
      <c r="G1678" s="197">
        <f>Tabla110[[#This Row],[Importe]]-Tabla110[[#This Row],[Pagado]]</f>
        <v>0</v>
      </c>
      <c r="H1678" s="194" t="s">
        <v>10</v>
      </c>
    </row>
    <row r="1679" spans="1:8" x14ac:dyDescent="0.25">
      <c r="A1679" s="127">
        <v>44818</v>
      </c>
      <c r="B1679" s="128" t="s">
        <v>29753</v>
      </c>
      <c r="C1679" s="194" t="s">
        <v>9577</v>
      </c>
      <c r="D1679" s="195">
        <v>765</v>
      </c>
      <c r="E1679" s="196">
        <v>44819</v>
      </c>
      <c r="F1679" s="195">
        <v>765</v>
      </c>
      <c r="G1679" s="197">
        <f>Tabla110[[#This Row],[Importe]]-Tabla110[[#This Row],[Pagado]]</f>
        <v>0</v>
      </c>
      <c r="H1679" s="194" t="s">
        <v>10</v>
      </c>
    </row>
    <row r="1680" spans="1:8" x14ac:dyDescent="0.25">
      <c r="A1680" s="127">
        <v>44818</v>
      </c>
      <c r="B1680" s="128" t="s">
        <v>29754</v>
      </c>
      <c r="C1680" s="194" t="s">
        <v>9587</v>
      </c>
      <c r="D1680" s="195">
        <v>3920</v>
      </c>
      <c r="E1680" s="196">
        <v>44818</v>
      </c>
      <c r="F1680" s="195">
        <v>3920</v>
      </c>
      <c r="G1680" s="197">
        <f>Tabla110[[#This Row],[Importe]]-Tabla110[[#This Row],[Pagado]]</f>
        <v>0</v>
      </c>
      <c r="H1680" s="194" t="s">
        <v>10</v>
      </c>
    </row>
    <row r="1681" spans="1:8" x14ac:dyDescent="0.25">
      <c r="A1681" s="127">
        <v>44818</v>
      </c>
      <c r="B1681" s="128" t="s">
        <v>29755</v>
      </c>
      <c r="C1681" s="194" t="s">
        <v>9587</v>
      </c>
      <c r="D1681" s="195">
        <v>980</v>
      </c>
      <c r="E1681" s="196">
        <v>44818</v>
      </c>
      <c r="F1681" s="195">
        <v>980</v>
      </c>
      <c r="G1681" s="197">
        <f>Tabla110[[#This Row],[Importe]]-Tabla110[[#This Row],[Pagado]]</f>
        <v>0</v>
      </c>
      <c r="H1681" s="194" t="s">
        <v>10</v>
      </c>
    </row>
    <row r="1682" spans="1:8" x14ac:dyDescent="0.25">
      <c r="A1682" s="127">
        <v>44818</v>
      </c>
      <c r="B1682" s="128" t="s">
        <v>29756</v>
      </c>
      <c r="C1682" s="194" t="s">
        <v>875</v>
      </c>
      <c r="D1682" s="195">
        <v>52172.1</v>
      </c>
      <c r="E1682" s="196">
        <v>44818</v>
      </c>
      <c r="F1682" s="195">
        <v>52172.1</v>
      </c>
      <c r="G1682" s="197">
        <f>Tabla110[[#This Row],[Importe]]-Tabla110[[#This Row],[Pagado]]</f>
        <v>0</v>
      </c>
      <c r="H1682" s="194" t="s">
        <v>10</v>
      </c>
    </row>
    <row r="1683" spans="1:8" x14ac:dyDescent="0.25">
      <c r="A1683" s="127">
        <v>44818</v>
      </c>
      <c r="B1683" s="128" t="s">
        <v>29757</v>
      </c>
      <c r="C1683" s="194" t="s">
        <v>845</v>
      </c>
      <c r="D1683" s="195">
        <v>1582.6</v>
      </c>
      <c r="E1683" s="196">
        <v>44818</v>
      </c>
      <c r="F1683" s="195">
        <v>1582.6</v>
      </c>
      <c r="G1683" s="197">
        <f>Tabla110[[#This Row],[Importe]]-Tabla110[[#This Row],[Pagado]]</f>
        <v>0</v>
      </c>
      <c r="H1683" s="194" t="s">
        <v>10</v>
      </c>
    </row>
    <row r="1684" spans="1:8" x14ac:dyDescent="0.25">
      <c r="A1684" s="127">
        <v>44818</v>
      </c>
      <c r="B1684" s="128" t="s">
        <v>29758</v>
      </c>
      <c r="C1684" s="194" t="s">
        <v>28087</v>
      </c>
      <c r="D1684" s="195">
        <v>113542.14</v>
      </c>
      <c r="E1684" s="196">
        <v>44893</v>
      </c>
      <c r="F1684" s="195">
        <v>113542.14</v>
      </c>
      <c r="G1684" s="197">
        <f>Tabla110[[#This Row],[Importe]]-Tabla110[[#This Row],[Pagado]]</f>
        <v>0</v>
      </c>
      <c r="H1684" s="78" t="s">
        <v>17776</v>
      </c>
    </row>
    <row r="1685" spans="1:8" x14ac:dyDescent="0.25">
      <c r="A1685" s="127">
        <v>44818</v>
      </c>
      <c r="B1685" s="128" t="s">
        <v>29759</v>
      </c>
      <c r="C1685" s="194" t="s">
        <v>135</v>
      </c>
      <c r="D1685" s="195">
        <v>2154.9</v>
      </c>
      <c r="E1685" s="196">
        <v>44819</v>
      </c>
      <c r="F1685" s="195">
        <v>2154.9</v>
      </c>
      <c r="G1685" s="197">
        <f>Tabla110[[#This Row],[Importe]]-Tabla110[[#This Row],[Pagado]]</f>
        <v>0</v>
      </c>
      <c r="H1685" s="194" t="s">
        <v>10</v>
      </c>
    </row>
    <row r="1686" spans="1:8" x14ac:dyDescent="0.25">
      <c r="A1686" s="127">
        <v>44819</v>
      </c>
      <c r="B1686" s="128" t="s">
        <v>29760</v>
      </c>
      <c r="C1686" s="194" t="s">
        <v>12</v>
      </c>
      <c r="D1686" s="195">
        <v>26409.4</v>
      </c>
      <c r="E1686" s="196">
        <v>44821</v>
      </c>
      <c r="F1686" s="195">
        <v>26409.4</v>
      </c>
      <c r="G1686" s="197">
        <f>Tabla110[[#This Row],[Importe]]-Tabla110[[#This Row],[Pagado]]</f>
        <v>0</v>
      </c>
      <c r="H1686" s="194" t="s">
        <v>10</v>
      </c>
    </row>
    <row r="1687" spans="1:8" x14ac:dyDescent="0.25">
      <c r="A1687" s="127">
        <v>44819</v>
      </c>
      <c r="B1687" s="128" t="s">
        <v>29761</v>
      </c>
      <c r="C1687" s="194" t="s">
        <v>887</v>
      </c>
      <c r="D1687" s="195">
        <v>3080</v>
      </c>
      <c r="E1687" s="196">
        <v>44819</v>
      </c>
      <c r="F1687" s="195">
        <v>3080</v>
      </c>
      <c r="G1687" s="197">
        <f>Tabla110[[#This Row],[Importe]]-Tabla110[[#This Row],[Pagado]]</f>
        <v>0</v>
      </c>
      <c r="H1687" s="194" t="s">
        <v>10</v>
      </c>
    </row>
    <row r="1688" spans="1:8" x14ac:dyDescent="0.25">
      <c r="A1688" s="127">
        <v>44819</v>
      </c>
      <c r="B1688" s="128" t="s">
        <v>29762</v>
      </c>
      <c r="C1688" s="194" t="s">
        <v>475</v>
      </c>
      <c r="D1688" s="195">
        <v>75362</v>
      </c>
      <c r="E1688" s="196">
        <v>44821</v>
      </c>
      <c r="F1688" s="195">
        <v>75362</v>
      </c>
      <c r="G1688" s="197">
        <f>Tabla110[[#This Row],[Importe]]-Tabla110[[#This Row],[Pagado]]</f>
        <v>0</v>
      </c>
      <c r="H1688" s="194" t="s">
        <v>10</v>
      </c>
    </row>
    <row r="1689" spans="1:8" x14ac:dyDescent="0.25">
      <c r="A1689" s="127">
        <v>44819</v>
      </c>
      <c r="B1689" s="128" t="s">
        <v>29763</v>
      </c>
      <c r="C1689" s="194" t="s">
        <v>79</v>
      </c>
      <c r="D1689" s="195">
        <v>24109.200000000001</v>
      </c>
      <c r="E1689" s="196">
        <v>44819</v>
      </c>
      <c r="F1689" s="195">
        <v>24109.200000000001</v>
      </c>
      <c r="G1689" s="197">
        <f>Tabla110[[#This Row],[Importe]]-Tabla110[[#This Row],[Pagado]]</f>
        <v>0</v>
      </c>
      <c r="H1689" s="194" t="s">
        <v>10</v>
      </c>
    </row>
    <row r="1690" spans="1:8" x14ac:dyDescent="0.25">
      <c r="A1690" s="127">
        <v>44819</v>
      </c>
      <c r="B1690" s="128" t="s">
        <v>29764</v>
      </c>
      <c r="C1690" s="194" t="s">
        <v>473</v>
      </c>
      <c r="D1690" s="195">
        <v>3236.4</v>
      </c>
      <c r="E1690" s="196">
        <v>44819</v>
      </c>
      <c r="F1690" s="195">
        <v>3236.4</v>
      </c>
      <c r="G1690" s="197">
        <f>Tabla110[[#This Row],[Importe]]-Tabla110[[#This Row],[Pagado]]</f>
        <v>0</v>
      </c>
      <c r="H1690" s="194" t="s">
        <v>10</v>
      </c>
    </row>
    <row r="1691" spans="1:8" x14ac:dyDescent="0.25">
      <c r="A1691" s="127">
        <v>44819</v>
      </c>
      <c r="B1691" s="128" t="s">
        <v>29765</v>
      </c>
      <c r="C1691" s="194" t="s">
        <v>75</v>
      </c>
      <c r="D1691" s="195">
        <v>9675</v>
      </c>
      <c r="E1691" s="196">
        <v>44819</v>
      </c>
      <c r="F1691" s="195">
        <v>9675</v>
      </c>
      <c r="G1691" s="197">
        <f>Tabla110[[#This Row],[Importe]]-Tabla110[[#This Row],[Pagado]]</f>
        <v>0</v>
      </c>
      <c r="H1691" s="194" t="s">
        <v>10</v>
      </c>
    </row>
    <row r="1692" spans="1:8" x14ac:dyDescent="0.25">
      <c r="A1692" s="127">
        <v>44819</v>
      </c>
      <c r="B1692" s="128" t="s">
        <v>29766</v>
      </c>
      <c r="C1692" s="194" t="s">
        <v>312</v>
      </c>
      <c r="D1692" s="195">
        <v>2032.2</v>
      </c>
      <c r="E1692" s="196">
        <v>44819</v>
      </c>
      <c r="F1692" s="195">
        <v>2032.2</v>
      </c>
      <c r="G1692" s="197">
        <f>Tabla110[[#This Row],[Importe]]-Tabla110[[#This Row],[Pagado]]</f>
        <v>0</v>
      </c>
      <c r="H1692" s="194" t="s">
        <v>10</v>
      </c>
    </row>
    <row r="1693" spans="1:8" x14ac:dyDescent="0.25">
      <c r="A1693" s="127">
        <v>44819</v>
      </c>
      <c r="B1693" s="128" t="s">
        <v>29767</v>
      </c>
      <c r="C1693" s="194" t="s">
        <v>1187</v>
      </c>
      <c r="D1693" s="195">
        <v>1577.4</v>
      </c>
      <c r="E1693" s="196">
        <v>44819</v>
      </c>
      <c r="F1693" s="195">
        <v>1577.4</v>
      </c>
      <c r="G1693" s="197">
        <f>Tabla110[[#This Row],[Importe]]-Tabla110[[#This Row],[Pagado]]</f>
        <v>0</v>
      </c>
      <c r="H1693" s="194" t="s">
        <v>10</v>
      </c>
    </row>
    <row r="1694" spans="1:8" x14ac:dyDescent="0.25">
      <c r="A1694" s="127">
        <v>44819</v>
      </c>
      <c r="B1694" s="128" t="s">
        <v>29768</v>
      </c>
      <c r="C1694" s="194" t="s">
        <v>200</v>
      </c>
      <c r="D1694" s="195">
        <v>962</v>
      </c>
      <c r="E1694" s="196">
        <v>44819</v>
      </c>
      <c r="F1694" s="195">
        <v>962</v>
      </c>
      <c r="G1694" s="197">
        <f>Tabla110[[#This Row],[Importe]]-Tabla110[[#This Row],[Pagado]]</f>
        <v>0</v>
      </c>
      <c r="H1694" s="194" t="s">
        <v>10</v>
      </c>
    </row>
    <row r="1695" spans="1:8" x14ac:dyDescent="0.25">
      <c r="A1695" s="127">
        <v>44819</v>
      </c>
      <c r="B1695" s="128" t="s">
        <v>29769</v>
      </c>
      <c r="C1695" s="194" t="s">
        <v>31</v>
      </c>
      <c r="D1695" s="195">
        <v>7524</v>
      </c>
      <c r="E1695" s="196">
        <v>44819</v>
      </c>
      <c r="F1695" s="195">
        <v>7524</v>
      </c>
      <c r="G1695" s="197">
        <f>Tabla110[[#This Row],[Importe]]-Tabla110[[#This Row],[Pagado]]</f>
        <v>0</v>
      </c>
      <c r="H1695" s="194" t="s">
        <v>10</v>
      </c>
    </row>
    <row r="1696" spans="1:8" x14ac:dyDescent="0.25">
      <c r="A1696" s="127">
        <v>44819</v>
      </c>
      <c r="B1696" s="128" t="s">
        <v>29770</v>
      </c>
      <c r="C1696" s="194" t="s">
        <v>296</v>
      </c>
      <c r="D1696" s="195">
        <v>2333.1999999999998</v>
      </c>
      <c r="E1696" s="196">
        <v>44819</v>
      </c>
      <c r="F1696" s="195">
        <v>2333.1999999999998</v>
      </c>
      <c r="G1696" s="197">
        <f>Tabla110[[#This Row],[Importe]]-Tabla110[[#This Row],[Pagado]]</f>
        <v>0</v>
      </c>
      <c r="H1696" s="194" t="s">
        <v>10</v>
      </c>
    </row>
    <row r="1697" spans="1:8" x14ac:dyDescent="0.25">
      <c r="A1697" s="127">
        <v>44819</v>
      </c>
      <c r="B1697" s="128" t="s">
        <v>29771</v>
      </c>
      <c r="C1697" s="194" t="s">
        <v>31</v>
      </c>
      <c r="D1697" s="195">
        <v>340</v>
      </c>
      <c r="E1697" s="196">
        <v>44819</v>
      </c>
      <c r="F1697" s="195">
        <v>340</v>
      </c>
      <c r="G1697" s="197">
        <f>Tabla110[[#This Row],[Importe]]-Tabla110[[#This Row],[Pagado]]</f>
        <v>0</v>
      </c>
      <c r="H1697" s="194" t="s">
        <v>10</v>
      </c>
    </row>
    <row r="1698" spans="1:8" x14ac:dyDescent="0.25">
      <c r="A1698" s="127">
        <v>44819</v>
      </c>
      <c r="B1698" s="128" t="s">
        <v>29772</v>
      </c>
      <c r="C1698" s="194" t="s">
        <v>64</v>
      </c>
      <c r="D1698" s="195">
        <v>10150.799999999999</v>
      </c>
      <c r="E1698" s="196">
        <v>44821</v>
      </c>
      <c r="F1698" s="195">
        <v>10150.799999999999</v>
      </c>
      <c r="G1698" s="197">
        <f>Tabla110[[#This Row],[Importe]]-Tabla110[[#This Row],[Pagado]]</f>
        <v>0</v>
      </c>
      <c r="H1698" s="194" t="s">
        <v>10</v>
      </c>
    </row>
    <row r="1699" spans="1:8" x14ac:dyDescent="0.25">
      <c r="A1699" s="127">
        <v>44819</v>
      </c>
      <c r="B1699" s="128" t="s">
        <v>29773</v>
      </c>
      <c r="C1699" s="194" t="s">
        <v>175</v>
      </c>
      <c r="D1699" s="195">
        <v>6981.25</v>
      </c>
      <c r="E1699" s="196">
        <v>44819</v>
      </c>
      <c r="F1699" s="195">
        <v>6981.25</v>
      </c>
      <c r="G1699" s="197">
        <f>Tabla110[[#This Row],[Importe]]-Tabla110[[#This Row],[Pagado]]</f>
        <v>0</v>
      </c>
      <c r="H1699" s="194" t="s">
        <v>10</v>
      </c>
    </row>
    <row r="1700" spans="1:8" ht="47.25" x14ac:dyDescent="0.25">
      <c r="A1700" s="127">
        <v>44819</v>
      </c>
      <c r="B1700" s="128" t="s">
        <v>29774</v>
      </c>
      <c r="C1700" s="194" t="s">
        <v>99</v>
      </c>
      <c r="D1700" s="195">
        <v>8452</v>
      </c>
      <c r="E1700" s="198" t="s">
        <v>31552</v>
      </c>
      <c r="F1700" s="195">
        <f>2000+1000+5452</f>
        <v>8452</v>
      </c>
      <c r="G1700" s="197">
        <f>Tabla110[[#This Row],[Importe]]-Tabla110[[#This Row],[Pagado]]</f>
        <v>0</v>
      </c>
      <c r="H1700" s="194" t="s">
        <v>10</v>
      </c>
    </row>
    <row r="1701" spans="1:8" x14ac:dyDescent="0.25">
      <c r="A1701" s="127">
        <v>44819</v>
      </c>
      <c r="B1701" s="128" t="s">
        <v>29775</v>
      </c>
      <c r="C1701" s="194" t="s">
        <v>93</v>
      </c>
      <c r="D1701" s="195">
        <v>19928.599999999999</v>
      </c>
      <c r="E1701" s="196">
        <v>44823</v>
      </c>
      <c r="F1701" s="195">
        <v>19928.599999999999</v>
      </c>
      <c r="G1701" s="197">
        <f>Tabla110[[#This Row],[Importe]]-Tabla110[[#This Row],[Pagado]]</f>
        <v>0</v>
      </c>
      <c r="H1701" s="194" t="s">
        <v>10</v>
      </c>
    </row>
    <row r="1702" spans="1:8" x14ac:dyDescent="0.25">
      <c r="A1702" s="127">
        <v>44819</v>
      </c>
      <c r="B1702" s="128" t="s">
        <v>29776</v>
      </c>
      <c r="C1702" s="194" t="s">
        <v>5126</v>
      </c>
      <c r="D1702" s="195">
        <v>53510.8</v>
      </c>
      <c r="E1702" s="196">
        <v>44819</v>
      </c>
      <c r="F1702" s="195">
        <v>53510.8</v>
      </c>
      <c r="G1702" s="197">
        <f>Tabla110[[#This Row],[Importe]]-Tabla110[[#This Row],[Pagado]]</f>
        <v>0</v>
      </c>
      <c r="H1702" s="194" t="s">
        <v>10</v>
      </c>
    </row>
    <row r="1703" spans="1:8" x14ac:dyDescent="0.25">
      <c r="A1703" s="127">
        <v>44819</v>
      </c>
      <c r="B1703" s="128" t="s">
        <v>29777</v>
      </c>
      <c r="C1703" s="194" t="s">
        <v>326</v>
      </c>
      <c r="D1703" s="195">
        <v>27325</v>
      </c>
      <c r="E1703" s="196">
        <v>44821</v>
      </c>
      <c r="F1703" s="195">
        <v>27325</v>
      </c>
      <c r="G1703" s="197">
        <f>Tabla110[[#This Row],[Importe]]-Tabla110[[#This Row],[Pagado]]</f>
        <v>0</v>
      </c>
      <c r="H1703" s="194" t="s">
        <v>10</v>
      </c>
    </row>
    <row r="1704" spans="1:8" x14ac:dyDescent="0.25">
      <c r="A1704" s="127">
        <v>44819</v>
      </c>
      <c r="B1704" s="128" t="s">
        <v>29778</v>
      </c>
      <c r="C1704" s="194" t="s">
        <v>24768</v>
      </c>
      <c r="D1704" s="195">
        <v>6012.3</v>
      </c>
      <c r="E1704" s="196">
        <v>44819</v>
      </c>
      <c r="F1704" s="195">
        <v>6012.3</v>
      </c>
      <c r="G1704" s="197">
        <f>Tabla110[[#This Row],[Importe]]-Tabla110[[#This Row],[Pagado]]</f>
        <v>0</v>
      </c>
      <c r="H1704" s="194" t="s">
        <v>10</v>
      </c>
    </row>
    <row r="1705" spans="1:8" x14ac:dyDescent="0.25">
      <c r="A1705" s="127">
        <v>44819</v>
      </c>
      <c r="B1705" s="128" t="s">
        <v>29779</v>
      </c>
      <c r="C1705" s="194" t="s">
        <v>97</v>
      </c>
      <c r="D1705" s="195">
        <v>5141.3999999999996</v>
      </c>
      <c r="E1705" s="196">
        <v>44821</v>
      </c>
      <c r="F1705" s="195">
        <v>5141.3999999999996</v>
      </c>
      <c r="G1705" s="197">
        <f>Tabla110[[#This Row],[Importe]]-Tabla110[[#This Row],[Pagado]]</f>
        <v>0</v>
      </c>
      <c r="H1705" s="194" t="s">
        <v>10</v>
      </c>
    </row>
    <row r="1706" spans="1:8" x14ac:dyDescent="0.25">
      <c r="A1706" s="127">
        <v>44819</v>
      </c>
      <c r="B1706" s="128" t="s">
        <v>29780</v>
      </c>
      <c r="C1706" s="194" t="s">
        <v>345</v>
      </c>
      <c r="D1706" s="195">
        <v>1858</v>
      </c>
      <c r="E1706" s="196">
        <v>44819</v>
      </c>
      <c r="F1706" s="195">
        <v>1858</v>
      </c>
      <c r="G1706" s="197">
        <f>Tabla110[[#This Row],[Importe]]-Tabla110[[#This Row],[Pagado]]</f>
        <v>0</v>
      </c>
      <c r="H1706" s="194" t="s">
        <v>10</v>
      </c>
    </row>
    <row r="1707" spans="1:8" x14ac:dyDescent="0.25">
      <c r="A1707" s="127">
        <v>44819</v>
      </c>
      <c r="B1707" s="128" t="s">
        <v>29781</v>
      </c>
      <c r="C1707" s="194" t="s">
        <v>131</v>
      </c>
      <c r="D1707" s="195">
        <v>5774.3</v>
      </c>
      <c r="E1707" s="196">
        <v>44819</v>
      </c>
      <c r="F1707" s="195">
        <v>5774.3</v>
      </c>
      <c r="G1707" s="197">
        <f>Tabla110[[#This Row],[Importe]]-Tabla110[[#This Row],[Pagado]]</f>
        <v>0</v>
      </c>
      <c r="H1707" s="194" t="s">
        <v>10</v>
      </c>
    </row>
    <row r="1708" spans="1:8" x14ac:dyDescent="0.25">
      <c r="A1708" s="127">
        <v>44819</v>
      </c>
      <c r="B1708" s="128" t="s">
        <v>29782</v>
      </c>
      <c r="C1708" s="194" t="s">
        <v>31</v>
      </c>
      <c r="D1708" s="195">
        <v>6004.7</v>
      </c>
      <c r="E1708" s="196">
        <v>44819</v>
      </c>
      <c r="F1708" s="195">
        <v>6004.7</v>
      </c>
      <c r="G1708" s="197">
        <f>Tabla110[[#This Row],[Importe]]-Tabla110[[#This Row],[Pagado]]</f>
        <v>0</v>
      </c>
      <c r="H1708" s="194" t="s">
        <v>10</v>
      </c>
    </row>
    <row r="1709" spans="1:8" x14ac:dyDescent="0.25">
      <c r="A1709" s="127">
        <v>44819</v>
      </c>
      <c r="B1709" s="128" t="s">
        <v>29783</v>
      </c>
      <c r="C1709" s="194" t="s">
        <v>31</v>
      </c>
      <c r="D1709" s="195">
        <v>9012.2999999999993</v>
      </c>
      <c r="E1709" s="196">
        <v>44819</v>
      </c>
      <c r="F1709" s="195">
        <v>9012.2999999999993</v>
      </c>
      <c r="G1709" s="197">
        <f>Tabla110[[#This Row],[Importe]]-Tabla110[[#This Row],[Pagado]]</f>
        <v>0</v>
      </c>
      <c r="H1709" s="194" t="s">
        <v>10</v>
      </c>
    </row>
    <row r="1710" spans="1:8" x14ac:dyDescent="0.25">
      <c r="A1710" s="127">
        <v>44819</v>
      </c>
      <c r="B1710" s="128" t="s">
        <v>29784</v>
      </c>
      <c r="C1710" s="194" t="s">
        <v>29785</v>
      </c>
      <c r="D1710" s="195">
        <v>0</v>
      </c>
      <c r="E1710" s="199" t="s">
        <v>189</v>
      </c>
      <c r="F1710" s="195">
        <v>0</v>
      </c>
      <c r="G1710" s="197">
        <f>Tabla110[[#This Row],[Importe]]-Tabla110[[#This Row],[Pagado]]</f>
        <v>0</v>
      </c>
      <c r="H1710" s="200" t="s">
        <v>29786</v>
      </c>
    </row>
    <row r="1711" spans="1:8" x14ac:dyDescent="0.25">
      <c r="A1711" s="127">
        <v>44819</v>
      </c>
      <c r="B1711" s="128" t="s">
        <v>29787</v>
      </c>
      <c r="C1711" s="194" t="s">
        <v>9</v>
      </c>
      <c r="D1711" s="195">
        <v>11296.8</v>
      </c>
      <c r="E1711" s="196">
        <v>44819</v>
      </c>
      <c r="F1711" s="195">
        <v>11296.8</v>
      </c>
      <c r="G1711" s="197">
        <f>Tabla110[[#This Row],[Importe]]-Tabla110[[#This Row],[Pagado]]</f>
        <v>0</v>
      </c>
      <c r="H1711" s="194" t="s">
        <v>10</v>
      </c>
    </row>
    <row r="1712" spans="1:8" x14ac:dyDescent="0.25">
      <c r="A1712" s="127">
        <v>44819</v>
      </c>
      <c r="B1712" s="128" t="s">
        <v>29788</v>
      </c>
      <c r="C1712" s="194" t="s">
        <v>17556</v>
      </c>
      <c r="D1712" s="195">
        <v>14797.2</v>
      </c>
      <c r="E1712" s="196">
        <v>44819</v>
      </c>
      <c r="F1712" s="195">
        <v>14797.2</v>
      </c>
      <c r="G1712" s="197">
        <f>Tabla110[[#This Row],[Importe]]-Tabla110[[#This Row],[Pagado]]</f>
        <v>0</v>
      </c>
      <c r="H1712" s="194" t="s">
        <v>10</v>
      </c>
    </row>
    <row r="1713" spans="1:8" x14ac:dyDescent="0.25">
      <c r="A1713" s="127">
        <v>44819</v>
      </c>
      <c r="B1713" s="128" t="s">
        <v>29789</v>
      </c>
      <c r="C1713" s="194" t="s">
        <v>120</v>
      </c>
      <c r="D1713" s="195">
        <v>1539.9</v>
      </c>
      <c r="E1713" s="196">
        <v>44819</v>
      </c>
      <c r="F1713" s="195">
        <v>1539.9</v>
      </c>
      <c r="G1713" s="197">
        <f>Tabla110[[#This Row],[Importe]]-Tabla110[[#This Row],[Pagado]]</f>
        <v>0</v>
      </c>
      <c r="H1713" s="194" t="s">
        <v>10</v>
      </c>
    </row>
    <row r="1714" spans="1:8" x14ac:dyDescent="0.25">
      <c r="A1714" s="127">
        <v>44819</v>
      </c>
      <c r="B1714" s="128" t="s">
        <v>29790</v>
      </c>
      <c r="C1714" s="194" t="s">
        <v>348</v>
      </c>
      <c r="D1714" s="195">
        <v>9278.2000000000007</v>
      </c>
      <c r="E1714" s="196">
        <v>44819</v>
      </c>
      <c r="F1714" s="195">
        <v>9278.2000000000007</v>
      </c>
      <c r="G1714" s="197">
        <f>Tabla110[[#This Row],[Importe]]-Tabla110[[#This Row],[Pagado]]</f>
        <v>0</v>
      </c>
      <c r="H1714" s="194" t="s">
        <v>10</v>
      </c>
    </row>
    <row r="1715" spans="1:8" x14ac:dyDescent="0.25">
      <c r="A1715" s="127">
        <v>44819</v>
      </c>
      <c r="B1715" s="128" t="s">
        <v>29791</v>
      </c>
      <c r="C1715" s="194" t="s">
        <v>31</v>
      </c>
      <c r="D1715" s="195">
        <v>3150.6</v>
      </c>
      <c r="E1715" s="196">
        <v>44819</v>
      </c>
      <c r="F1715" s="195">
        <v>3150.6</v>
      </c>
      <c r="G1715" s="197">
        <f>Tabla110[[#This Row],[Importe]]-Tabla110[[#This Row],[Pagado]]</f>
        <v>0</v>
      </c>
      <c r="H1715" s="194" t="s">
        <v>10</v>
      </c>
    </row>
    <row r="1716" spans="1:8" x14ac:dyDescent="0.25">
      <c r="A1716" s="127">
        <v>44819</v>
      </c>
      <c r="B1716" s="128" t="s">
        <v>29792</v>
      </c>
      <c r="C1716" s="194" t="s">
        <v>161</v>
      </c>
      <c r="D1716" s="195">
        <v>4756.6000000000004</v>
      </c>
      <c r="E1716" s="196">
        <v>44819</v>
      </c>
      <c r="F1716" s="195">
        <v>4756.6000000000004</v>
      </c>
      <c r="G1716" s="197">
        <f>Tabla110[[#This Row],[Importe]]-Tabla110[[#This Row],[Pagado]]</f>
        <v>0</v>
      </c>
      <c r="H1716" s="194" t="s">
        <v>10</v>
      </c>
    </row>
    <row r="1717" spans="1:8" x14ac:dyDescent="0.25">
      <c r="A1717" s="127">
        <v>44819</v>
      </c>
      <c r="B1717" s="128" t="s">
        <v>29793</v>
      </c>
      <c r="C1717" s="194" t="s">
        <v>89</v>
      </c>
      <c r="D1717" s="195">
        <v>8934</v>
      </c>
      <c r="E1717" s="196">
        <v>44821</v>
      </c>
      <c r="F1717" s="195">
        <v>8934</v>
      </c>
      <c r="G1717" s="197">
        <f>Tabla110[[#This Row],[Importe]]-Tabla110[[#This Row],[Pagado]]</f>
        <v>0</v>
      </c>
      <c r="H1717" s="194" t="s">
        <v>10</v>
      </c>
    </row>
    <row r="1718" spans="1:8" x14ac:dyDescent="0.25">
      <c r="A1718" s="127">
        <v>44819</v>
      </c>
      <c r="B1718" s="128" t="s">
        <v>29794</v>
      </c>
      <c r="C1718" s="194" t="s">
        <v>181</v>
      </c>
      <c r="D1718" s="195">
        <v>18485.2</v>
      </c>
      <c r="E1718" s="196">
        <v>44819</v>
      </c>
      <c r="F1718" s="195">
        <v>18485.2</v>
      </c>
      <c r="G1718" s="197">
        <f>Tabla110[[#This Row],[Importe]]-Tabla110[[#This Row],[Pagado]]</f>
        <v>0</v>
      </c>
      <c r="H1718" s="194" t="s">
        <v>10</v>
      </c>
    </row>
    <row r="1719" spans="1:8" x14ac:dyDescent="0.25">
      <c r="A1719" s="127">
        <v>44819</v>
      </c>
      <c r="B1719" s="128" t="s">
        <v>29795</v>
      </c>
      <c r="C1719" s="194" t="s">
        <v>31</v>
      </c>
      <c r="D1719" s="195">
        <v>7705.4</v>
      </c>
      <c r="E1719" s="196">
        <v>44819</v>
      </c>
      <c r="F1719" s="195">
        <v>7705.4</v>
      </c>
      <c r="G1719" s="197">
        <f>Tabla110[[#This Row],[Importe]]-Tabla110[[#This Row],[Pagado]]</f>
        <v>0</v>
      </c>
      <c r="H1719" s="194" t="s">
        <v>10</v>
      </c>
    </row>
    <row r="1720" spans="1:8" x14ac:dyDescent="0.25">
      <c r="A1720" s="127">
        <v>44819</v>
      </c>
      <c r="B1720" s="128" t="s">
        <v>29796</v>
      </c>
      <c r="C1720" s="194" t="s">
        <v>22</v>
      </c>
      <c r="D1720" s="195">
        <v>10508.8</v>
      </c>
      <c r="E1720" s="196">
        <v>44821</v>
      </c>
      <c r="F1720" s="195">
        <v>10508.8</v>
      </c>
      <c r="G1720" s="197">
        <f>Tabla110[[#This Row],[Importe]]-Tabla110[[#This Row],[Pagado]]</f>
        <v>0</v>
      </c>
      <c r="H1720" s="194" t="s">
        <v>10</v>
      </c>
    </row>
    <row r="1721" spans="1:8" x14ac:dyDescent="0.25">
      <c r="A1721" s="127">
        <v>44819</v>
      </c>
      <c r="B1721" s="128" t="s">
        <v>29797</v>
      </c>
      <c r="C1721" s="194" t="s">
        <v>27</v>
      </c>
      <c r="D1721" s="195">
        <v>2796.6</v>
      </c>
      <c r="E1721" s="196">
        <v>44819</v>
      </c>
      <c r="F1721" s="195">
        <v>2796.6</v>
      </c>
      <c r="G1721" s="197">
        <f>Tabla110[[#This Row],[Importe]]-Tabla110[[#This Row],[Pagado]]</f>
        <v>0</v>
      </c>
      <c r="H1721" s="194" t="s">
        <v>10</v>
      </c>
    </row>
    <row r="1722" spans="1:8" x14ac:dyDescent="0.25">
      <c r="A1722" s="127">
        <v>44819</v>
      </c>
      <c r="B1722" s="128" t="s">
        <v>29798</v>
      </c>
      <c r="C1722" s="194" t="s">
        <v>230</v>
      </c>
      <c r="D1722" s="195">
        <v>1331.4</v>
      </c>
      <c r="E1722" s="196">
        <v>44819</v>
      </c>
      <c r="F1722" s="195">
        <v>1331.4</v>
      </c>
      <c r="G1722" s="197">
        <f>Tabla110[[#This Row],[Importe]]-Tabla110[[#This Row],[Pagado]]</f>
        <v>0</v>
      </c>
      <c r="H1722" s="194" t="s">
        <v>10</v>
      </c>
    </row>
    <row r="1723" spans="1:8" x14ac:dyDescent="0.25">
      <c r="A1723" s="127">
        <v>44819</v>
      </c>
      <c r="B1723" s="128" t="s">
        <v>29799</v>
      </c>
      <c r="C1723" s="194" t="s">
        <v>111</v>
      </c>
      <c r="D1723" s="195">
        <v>9907.2000000000007</v>
      </c>
      <c r="E1723" s="196">
        <v>44821</v>
      </c>
      <c r="F1723" s="195">
        <v>9907.2000000000007</v>
      </c>
      <c r="G1723" s="197">
        <f>Tabla110[[#This Row],[Importe]]-Tabla110[[#This Row],[Pagado]]</f>
        <v>0</v>
      </c>
      <c r="H1723" s="194" t="s">
        <v>10</v>
      </c>
    </row>
    <row r="1724" spans="1:8" x14ac:dyDescent="0.25">
      <c r="A1724" s="127">
        <v>44819</v>
      </c>
      <c r="B1724" s="128" t="s">
        <v>29800</v>
      </c>
      <c r="C1724" s="194" t="s">
        <v>39</v>
      </c>
      <c r="D1724" s="195">
        <v>5108.3999999999996</v>
      </c>
      <c r="E1724" s="196">
        <v>44821</v>
      </c>
      <c r="F1724" s="195">
        <v>5108.3999999999996</v>
      </c>
      <c r="G1724" s="197">
        <f>Tabla110[[#This Row],[Importe]]-Tabla110[[#This Row],[Pagado]]</f>
        <v>0</v>
      </c>
      <c r="H1724" s="194" t="s">
        <v>10</v>
      </c>
    </row>
    <row r="1725" spans="1:8" x14ac:dyDescent="0.25">
      <c r="A1725" s="127">
        <v>44819</v>
      </c>
      <c r="B1725" s="128" t="s">
        <v>29801</v>
      </c>
      <c r="C1725" s="194" t="s">
        <v>105</v>
      </c>
      <c r="D1725" s="195">
        <v>11520</v>
      </c>
      <c r="E1725" s="196">
        <v>44823</v>
      </c>
      <c r="F1725" s="195">
        <v>11520</v>
      </c>
      <c r="G1725" s="197">
        <f>Tabla110[[#This Row],[Importe]]-Tabla110[[#This Row],[Pagado]]</f>
        <v>0</v>
      </c>
      <c r="H1725" s="194" t="s">
        <v>10</v>
      </c>
    </row>
    <row r="1726" spans="1:8" x14ac:dyDescent="0.25">
      <c r="A1726" s="127">
        <v>44819</v>
      </c>
      <c r="B1726" s="128" t="s">
        <v>29802</v>
      </c>
      <c r="C1726" s="194" t="s">
        <v>114</v>
      </c>
      <c r="D1726" s="195">
        <v>12140.8</v>
      </c>
      <c r="E1726" s="196">
        <v>44821</v>
      </c>
      <c r="F1726" s="195">
        <v>12140.8</v>
      </c>
      <c r="G1726" s="197">
        <f>Tabla110[[#This Row],[Importe]]-Tabla110[[#This Row],[Pagado]]</f>
        <v>0</v>
      </c>
      <c r="H1726" s="194" t="s">
        <v>10</v>
      </c>
    </row>
    <row r="1727" spans="1:8" x14ac:dyDescent="0.25">
      <c r="A1727" s="127">
        <v>44819</v>
      </c>
      <c r="B1727" s="128" t="s">
        <v>29803</v>
      </c>
      <c r="C1727" s="194" t="s">
        <v>49</v>
      </c>
      <c r="D1727" s="195">
        <v>6146.5</v>
      </c>
      <c r="E1727" s="196">
        <v>44819</v>
      </c>
      <c r="F1727" s="195">
        <v>6146.5</v>
      </c>
      <c r="G1727" s="197">
        <f>Tabla110[[#This Row],[Importe]]-Tabla110[[#This Row],[Pagado]]</f>
        <v>0</v>
      </c>
      <c r="H1727" s="194" t="s">
        <v>10</v>
      </c>
    </row>
    <row r="1728" spans="1:8" x14ac:dyDescent="0.25">
      <c r="A1728" s="127">
        <v>44819</v>
      </c>
      <c r="B1728" s="128" t="s">
        <v>29804</v>
      </c>
      <c r="C1728" s="194" t="s">
        <v>151</v>
      </c>
      <c r="D1728" s="195">
        <v>19647</v>
      </c>
      <c r="E1728" s="196">
        <v>44819</v>
      </c>
      <c r="F1728" s="195">
        <v>19647</v>
      </c>
      <c r="G1728" s="197">
        <f>Tabla110[[#This Row],[Importe]]-Tabla110[[#This Row],[Pagado]]</f>
        <v>0</v>
      </c>
      <c r="H1728" s="194" t="s">
        <v>10</v>
      </c>
    </row>
    <row r="1729" spans="1:8" x14ac:dyDescent="0.25">
      <c r="A1729" s="127">
        <v>44819</v>
      </c>
      <c r="B1729" s="128" t="s">
        <v>29805</v>
      </c>
      <c r="C1729" s="194" t="s">
        <v>56</v>
      </c>
      <c r="D1729" s="195">
        <v>11347.5</v>
      </c>
      <c r="E1729" s="196">
        <v>44819</v>
      </c>
      <c r="F1729" s="195">
        <v>11347.5</v>
      </c>
      <c r="G1729" s="197">
        <f>Tabla110[[#This Row],[Importe]]-Tabla110[[#This Row],[Pagado]]</f>
        <v>0</v>
      </c>
      <c r="H1729" s="194" t="s">
        <v>10</v>
      </c>
    </row>
    <row r="1730" spans="1:8" x14ac:dyDescent="0.25">
      <c r="A1730" s="127">
        <v>44819</v>
      </c>
      <c r="B1730" s="128" t="s">
        <v>29806</v>
      </c>
      <c r="C1730" s="194" t="s">
        <v>151</v>
      </c>
      <c r="D1730" s="195">
        <v>10896</v>
      </c>
      <c r="E1730" s="196">
        <v>44819</v>
      </c>
      <c r="F1730" s="195">
        <v>10896</v>
      </c>
      <c r="G1730" s="197">
        <f>Tabla110[[#This Row],[Importe]]-Tabla110[[#This Row],[Pagado]]</f>
        <v>0</v>
      </c>
      <c r="H1730" s="194" t="s">
        <v>10</v>
      </c>
    </row>
    <row r="1731" spans="1:8" x14ac:dyDescent="0.25">
      <c r="A1731" s="127">
        <v>44819</v>
      </c>
      <c r="B1731" s="128" t="s">
        <v>29807</v>
      </c>
      <c r="C1731" s="194" t="s">
        <v>49</v>
      </c>
      <c r="D1731" s="195">
        <v>277.2</v>
      </c>
      <c r="E1731" s="196">
        <v>44819</v>
      </c>
      <c r="F1731" s="195">
        <v>277.2</v>
      </c>
      <c r="G1731" s="197">
        <f>Tabla110[[#This Row],[Importe]]-Tabla110[[#This Row],[Pagado]]</f>
        <v>0</v>
      </c>
      <c r="H1731" s="194" t="s">
        <v>10</v>
      </c>
    </row>
    <row r="1732" spans="1:8" x14ac:dyDescent="0.25">
      <c r="A1732" s="127">
        <v>44819</v>
      </c>
      <c r="B1732" s="128" t="s">
        <v>29808</v>
      </c>
      <c r="C1732" s="194" t="s">
        <v>426</v>
      </c>
      <c r="D1732" s="195">
        <v>3494.9</v>
      </c>
      <c r="E1732" s="196">
        <v>44819</v>
      </c>
      <c r="F1732" s="195">
        <v>3494.9</v>
      </c>
      <c r="G1732" s="197">
        <f>Tabla110[[#This Row],[Importe]]-Tabla110[[#This Row],[Pagado]]</f>
        <v>0</v>
      </c>
      <c r="H1732" s="194" t="s">
        <v>10</v>
      </c>
    </row>
    <row r="1733" spans="1:8" x14ac:dyDescent="0.25">
      <c r="A1733" s="127">
        <v>44819</v>
      </c>
      <c r="B1733" s="128" t="s">
        <v>29809</v>
      </c>
      <c r="C1733" s="194" t="s">
        <v>359</v>
      </c>
      <c r="D1733" s="195">
        <v>2139</v>
      </c>
      <c r="E1733" s="196">
        <v>44819</v>
      </c>
      <c r="F1733" s="195">
        <v>2139</v>
      </c>
      <c r="G1733" s="197">
        <f>Tabla110[[#This Row],[Importe]]-Tabla110[[#This Row],[Pagado]]</f>
        <v>0</v>
      </c>
      <c r="H1733" s="194" t="s">
        <v>10</v>
      </c>
    </row>
    <row r="1734" spans="1:8" x14ac:dyDescent="0.25">
      <c r="A1734" s="127">
        <v>44819</v>
      </c>
      <c r="B1734" s="128" t="s">
        <v>29810</v>
      </c>
      <c r="C1734" s="194" t="s">
        <v>2166</v>
      </c>
      <c r="D1734" s="195">
        <v>1240</v>
      </c>
      <c r="E1734" s="196">
        <v>44819</v>
      </c>
      <c r="F1734" s="195">
        <v>1240</v>
      </c>
      <c r="G1734" s="197">
        <f>Tabla110[[#This Row],[Importe]]-Tabla110[[#This Row],[Pagado]]</f>
        <v>0</v>
      </c>
      <c r="H1734" s="194" t="s">
        <v>10</v>
      </c>
    </row>
    <row r="1735" spans="1:8" x14ac:dyDescent="0.25">
      <c r="A1735" s="127">
        <v>44819</v>
      </c>
      <c r="B1735" s="128" t="s">
        <v>29811</v>
      </c>
      <c r="C1735" s="194" t="s">
        <v>111</v>
      </c>
      <c r="D1735" s="195">
        <v>6690</v>
      </c>
      <c r="E1735" s="196">
        <v>44819</v>
      </c>
      <c r="F1735" s="195">
        <v>6690</v>
      </c>
      <c r="G1735" s="197">
        <f>Tabla110[[#This Row],[Importe]]-Tabla110[[#This Row],[Pagado]]</f>
        <v>0</v>
      </c>
      <c r="H1735" s="194" t="s">
        <v>10</v>
      </c>
    </row>
    <row r="1736" spans="1:8" x14ac:dyDescent="0.25">
      <c r="A1736" s="127">
        <v>44819</v>
      </c>
      <c r="B1736" s="128" t="s">
        <v>29812</v>
      </c>
      <c r="C1736" s="194" t="s">
        <v>31</v>
      </c>
      <c r="D1736" s="195">
        <v>3515.4</v>
      </c>
      <c r="E1736" s="196">
        <v>44819</v>
      </c>
      <c r="F1736" s="195">
        <v>3515.4</v>
      </c>
      <c r="G1736" s="197">
        <f>Tabla110[[#This Row],[Importe]]-Tabla110[[#This Row],[Pagado]]</f>
        <v>0</v>
      </c>
      <c r="H1736" s="194" t="s">
        <v>10</v>
      </c>
    </row>
    <row r="1737" spans="1:8" x14ac:dyDescent="0.25">
      <c r="A1737" s="127">
        <v>44819</v>
      </c>
      <c r="B1737" s="128" t="s">
        <v>29813</v>
      </c>
      <c r="C1737" s="194" t="s">
        <v>29814</v>
      </c>
      <c r="D1737" s="195">
        <v>0</v>
      </c>
      <c r="E1737" s="199" t="s">
        <v>189</v>
      </c>
      <c r="F1737" s="195">
        <v>0</v>
      </c>
      <c r="G1737" s="197">
        <f>Tabla110[[#This Row],[Importe]]-Tabla110[[#This Row],[Pagado]]</f>
        <v>0</v>
      </c>
      <c r="H1737" s="200" t="s">
        <v>29815</v>
      </c>
    </row>
    <row r="1738" spans="1:8" x14ac:dyDescent="0.25">
      <c r="A1738" s="127">
        <v>44819</v>
      </c>
      <c r="B1738" s="128" t="s">
        <v>29816</v>
      </c>
      <c r="C1738" s="194" t="s">
        <v>966</v>
      </c>
      <c r="D1738" s="195">
        <v>3221.4</v>
      </c>
      <c r="E1738" s="196">
        <v>44819</v>
      </c>
      <c r="F1738" s="195">
        <v>3221.4</v>
      </c>
      <c r="G1738" s="197">
        <f>Tabla110[[#This Row],[Importe]]-Tabla110[[#This Row],[Pagado]]</f>
        <v>0</v>
      </c>
      <c r="H1738" s="194" t="s">
        <v>10</v>
      </c>
    </row>
    <row r="1739" spans="1:8" x14ac:dyDescent="0.25">
      <c r="A1739" s="127">
        <v>44819</v>
      </c>
      <c r="B1739" s="128" t="s">
        <v>29817</v>
      </c>
      <c r="C1739" s="194" t="s">
        <v>421</v>
      </c>
      <c r="D1739" s="195">
        <v>9878.7000000000007</v>
      </c>
      <c r="E1739" s="196">
        <v>44819</v>
      </c>
      <c r="F1739" s="195">
        <v>9878.7000000000007</v>
      </c>
      <c r="G1739" s="197">
        <f>Tabla110[[#This Row],[Importe]]-Tabla110[[#This Row],[Pagado]]</f>
        <v>0</v>
      </c>
      <c r="H1739" s="194" t="s">
        <v>10</v>
      </c>
    </row>
    <row r="1740" spans="1:8" x14ac:dyDescent="0.25">
      <c r="A1740" s="127">
        <v>44819</v>
      </c>
      <c r="B1740" s="128" t="s">
        <v>29818</v>
      </c>
      <c r="C1740" s="194" t="s">
        <v>31</v>
      </c>
      <c r="D1740" s="195">
        <v>802.5</v>
      </c>
      <c r="E1740" s="196">
        <v>44819</v>
      </c>
      <c r="F1740" s="195">
        <v>802.5</v>
      </c>
      <c r="G1740" s="197">
        <f>Tabla110[[#This Row],[Importe]]-Tabla110[[#This Row],[Pagado]]</f>
        <v>0</v>
      </c>
      <c r="H1740" s="194" t="s">
        <v>10</v>
      </c>
    </row>
    <row r="1741" spans="1:8" x14ac:dyDescent="0.25">
      <c r="A1741" s="127">
        <v>44819</v>
      </c>
      <c r="B1741" s="128" t="s">
        <v>29819</v>
      </c>
      <c r="C1741" s="194" t="s">
        <v>31</v>
      </c>
      <c r="D1741" s="195">
        <v>791.8</v>
      </c>
      <c r="E1741" s="196">
        <v>44819</v>
      </c>
      <c r="F1741" s="195">
        <v>791.8</v>
      </c>
      <c r="G1741" s="197">
        <f>Tabla110[[#This Row],[Importe]]-Tabla110[[#This Row],[Pagado]]</f>
        <v>0</v>
      </c>
      <c r="H1741" s="194" t="s">
        <v>10</v>
      </c>
    </row>
    <row r="1742" spans="1:8" x14ac:dyDescent="0.25">
      <c r="A1742" s="127">
        <v>44819</v>
      </c>
      <c r="B1742" s="128" t="s">
        <v>29820</v>
      </c>
      <c r="C1742" s="194" t="s">
        <v>319</v>
      </c>
      <c r="D1742" s="195">
        <v>5094</v>
      </c>
      <c r="E1742" s="196">
        <v>44819</v>
      </c>
      <c r="F1742" s="195">
        <v>5094</v>
      </c>
      <c r="G1742" s="197">
        <f>Tabla110[[#This Row],[Importe]]-Tabla110[[#This Row],[Pagado]]</f>
        <v>0</v>
      </c>
      <c r="H1742" s="194" t="s">
        <v>10</v>
      </c>
    </row>
    <row r="1743" spans="1:8" x14ac:dyDescent="0.25">
      <c r="A1743" s="127">
        <v>44819</v>
      </c>
      <c r="B1743" s="128" t="s">
        <v>29821</v>
      </c>
      <c r="C1743" s="194" t="s">
        <v>3971</v>
      </c>
      <c r="D1743" s="195">
        <v>6789</v>
      </c>
      <c r="E1743" s="196">
        <v>44819</v>
      </c>
      <c r="F1743" s="195">
        <v>6789</v>
      </c>
      <c r="G1743" s="197">
        <f>Tabla110[[#This Row],[Importe]]-Tabla110[[#This Row],[Pagado]]</f>
        <v>0</v>
      </c>
      <c r="H1743" s="194" t="s">
        <v>10</v>
      </c>
    </row>
    <row r="1744" spans="1:8" x14ac:dyDescent="0.25">
      <c r="A1744" s="127">
        <v>44819</v>
      </c>
      <c r="B1744" s="128" t="s">
        <v>29822</v>
      </c>
      <c r="C1744" s="194" t="s">
        <v>159</v>
      </c>
      <c r="D1744" s="195">
        <v>2112.9</v>
      </c>
      <c r="E1744" s="196">
        <v>44819</v>
      </c>
      <c r="F1744" s="195">
        <v>2112.9</v>
      </c>
      <c r="G1744" s="197">
        <f>Tabla110[[#This Row],[Importe]]-Tabla110[[#This Row],[Pagado]]</f>
        <v>0</v>
      </c>
      <c r="H1744" s="194" t="s">
        <v>10</v>
      </c>
    </row>
    <row r="1745" spans="1:8" x14ac:dyDescent="0.25">
      <c r="A1745" s="127">
        <v>44819</v>
      </c>
      <c r="B1745" s="128" t="s">
        <v>29823</v>
      </c>
      <c r="C1745" s="194" t="s">
        <v>4136</v>
      </c>
      <c r="D1745" s="195">
        <v>2461.4</v>
      </c>
      <c r="E1745" s="196">
        <v>44819</v>
      </c>
      <c r="F1745" s="195">
        <v>2461.4</v>
      </c>
      <c r="G1745" s="197">
        <f>Tabla110[[#This Row],[Importe]]-Tabla110[[#This Row],[Pagado]]</f>
        <v>0</v>
      </c>
      <c r="H1745" s="194" t="s">
        <v>10</v>
      </c>
    </row>
    <row r="1746" spans="1:8" x14ac:dyDescent="0.25">
      <c r="A1746" s="127">
        <v>44819</v>
      </c>
      <c r="B1746" s="128" t="s">
        <v>29824</v>
      </c>
      <c r="C1746" s="194" t="s">
        <v>226</v>
      </c>
      <c r="D1746" s="195">
        <v>13004.8</v>
      </c>
      <c r="E1746" s="196">
        <v>44819</v>
      </c>
      <c r="F1746" s="195">
        <v>13004.8</v>
      </c>
      <c r="G1746" s="197">
        <f>Tabla110[[#This Row],[Importe]]-Tabla110[[#This Row],[Pagado]]</f>
        <v>0</v>
      </c>
      <c r="H1746" s="194" t="s">
        <v>10</v>
      </c>
    </row>
    <row r="1747" spans="1:8" ht="31.5" x14ac:dyDescent="0.25">
      <c r="A1747" s="127">
        <v>44819</v>
      </c>
      <c r="B1747" s="128" t="s">
        <v>29825</v>
      </c>
      <c r="C1747" s="194" t="s">
        <v>142</v>
      </c>
      <c r="D1747" s="195">
        <v>48115.16</v>
      </c>
      <c r="E1747" s="198" t="s">
        <v>31550</v>
      </c>
      <c r="F1747" s="195">
        <f>13836.04+34279.12</f>
        <v>48115.16</v>
      </c>
      <c r="G1747" s="197">
        <f>Tabla110[[#This Row],[Importe]]-Tabla110[[#This Row],[Pagado]]</f>
        <v>0</v>
      </c>
      <c r="H1747" s="194" t="s">
        <v>10</v>
      </c>
    </row>
    <row r="1748" spans="1:8" x14ac:dyDescent="0.25">
      <c r="A1748" s="127">
        <v>44819</v>
      </c>
      <c r="B1748" s="128" t="s">
        <v>29826</v>
      </c>
      <c r="C1748" s="194" t="s">
        <v>1003</v>
      </c>
      <c r="D1748" s="195">
        <v>7833.9</v>
      </c>
      <c r="E1748" s="196">
        <v>44821</v>
      </c>
      <c r="F1748" s="195">
        <v>7833.9</v>
      </c>
      <c r="G1748" s="197">
        <f>Tabla110[[#This Row],[Importe]]-Tabla110[[#This Row],[Pagado]]</f>
        <v>0</v>
      </c>
      <c r="H1748" s="194" t="s">
        <v>10</v>
      </c>
    </row>
    <row r="1749" spans="1:8" x14ac:dyDescent="0.25">
      <c r="A1749" s="127">
        <v>44819</v>
      </c>
      <c r="B1749" s="128" t="s">
        <v>29827</v>
      </c>
      <c r="C1749" s="194" t="s">
        <v>35</v>
      </c>
      <c r="D1749" s="195">
        <v>4781.8</v>
      </c>
      <c r="E1749" s="196">
        <v>44819</v>
      </c>
      <c r="F1749" s="195">
        <v>4781.8</v>
      </c>
      <c r="G1749" s="197">
        <f>Tabla110[[#This Row],[Importe]]-Tabla110[[#This Row],[Pagado]]</f>
        <v>0</v>
      </c>
      <c r="H1749" s="194" t="s">
        <v>10</v>
      </c>
    </row>
    <row r="1750" spans="1:8" x14ac:dyDescent="0.25">
      <c r="A1750" s="127">
        <v>44819</v>
      </c>
      <c r="B1750" s="128" t="s">
        <v>29828</v>
      </c>
      <c r="C1750" s="194" t="s">
        <v>392</v>
      </c>
      <c r="D1750" s="195">
        <v>24768</v>
      </c>
      <c r="E1750" s="196">
        <v>44827</v>
      </c>
      <c r="F1750" s="195">
        <v>24768</v>
      </c>
      <c r="G1750" s="197">
        <f>Tabla110[[#This Row],[Importe]]-Tabla110[[#This Row],[Pagado]]</f>
        <v>0</v>
      </c>
      <c r="H1750" s="194" t="s">
        <v>10</v>
      </c>
    </row>
    <row r="1751" spans="1:8" x14ac:dyDescent="0.25">
      <c r="A1751" s="127">
        <v>44819</v>
      </c>
      <c r="B1751" s="128" t="s">
        <v>29829</v>
      </c>
      <c r="C1751" s="194" t="s">
        <v>157</v>
      </c>
      <c r="D1751" s="195">
        <v>7630.5</v>
      </c>
      <c r="E1751" s="196">
        <v>44819</v>
      </c>
      <c r="F1751" s="195">
        <v>7630.5</v>
      </c>
      <c r="G1751" s="197">
        <f>Tabla110[[#This Row],[Importe]]-Tabla110[[#This Row],[Pagado]]</f>
        <v>0</v>
      </c>
      <c r="H1751" s="194" t="s">
        <v>10</v>
      </c>
    </row>
    <row r="1752" spans="1:8" x14ac:dyDescent="0.25">
      <c r="A1752" s="127">
        <v>44819</v>
      </c>
      <c r="B1752" s="128" t="s">
        <v>29830</v>
      </c>
      <c r="C1752" s="194" t="s">
        <v>31</v>
      </c>
      <c r="D1752" s="195">
        <v>1349.6</v>
      </c>
      <c r="E1752" s="196">
        <v>44819</v>
      </c>
      <c r="F1752" s="195">
        <v>1349.6</v>
      </c>
      <c r="G1752" s="197">
        <f>Tabla110[[#This Row],[Importe]]-Tabla110[[#This Row],[Pagado]]</f>
        <v>0</v>
      </c>
      <c r="H1752" s="194" t="s">
        <v>10</v>
      </c>
    </row>
    <row r="1753" spans="1:8" x14ac:dyDescent="0.25">
      <c r="A1753" s="127">
        <v>44819</v>
      </c>
      <c r="B1753" s="128" t="s">
        <v>29831</v>
      </c>
      <c r="C1753" s="194" t="s">
        <v>647</v>
      </c>
      <c r="D1753" s="195">
        <v>5048.3999999999996</v>
      </c>
      <c r="E1753" s="196">
        <v>44819</v>
      </c>
      <c r="F1753" s="195">
        <v>5048.3999999999996</v>
      </c>
      <c r="G1753" s="197">
        <f>Tabla110[[#This Row],[Importe]]-Tabla110[[#This Row],[Pagado]]</f>
        <v>0</v>
      </c>
      <c r="H1753" s="194" t="s">
        <v>10</v>
      </c>
    </row>
    <row r="1754" spans="1:8" x14ac:dyDescent="0.25">
      <c r="A1754" s="127">
        <v>44819</v>
      </c>
      <c r="B1754" s="128" t="s">
        <v>29832</v>
      </c>
      <c r="C1754" s="194" t="s">
        <v>698</v>
      </c>
      <c r="D1754" s="195">
        <v>11538.02</v>
      </c>
      <c r="E1754" s="196">
        <v>44819</v>
      </c>
      <c r="F1754" s="195">
        <v>11538.02</v>
      </c>
      <c r="G1754" s="197">
        <f>Tabla110[[#This Row],[Importe]]-Tabla110[[#This Row],[Pagado]]</f>
        <v>0</v>
      </c>
      <c r="H1754" s="194" t="s">
        <v>10</v>
      </c>
    </row>
    <row r="1755" spans="1:8" x14ac:dyDescent="0.25">
      <c r="A1755" s="127">
        <v>44819</v>
      </c>
      <c r="B1755" s="128" t="s">
        <v>29833</v>
      </c>
      <c r="C1755" s="194" t="s">
        <v>53</v>
      </c>
      <c r="D1755" s="195">
        <v>1510.9</v>
      </c>
      <c r="E1755" s="196">
        <v>44819</v>
      </c>
      <c r="F1755" s="195">
        <v>1510.9</v>
      </c>
      <c r="G1755" s="197">
        <f>Tabla110[[#This Row],[Importe]]-Tabla110[[#This Row],[Pagado]]</f>
        <v>0</v>
      </c>
      <c r="H1755" s="194" t="s">
        <v>10</v>
      </c>
    </row>
    <row r="1756" spans="1:8" x14ac:dyDescent="0.25">
      <c r="A1756" s="127">
        <v>44819</v>
      </c>
      <c r="B1756" s="128" t="s">
        <v>29834</v>
      </c>
      <c r="C1756" s="194" t="s">
        <v>135</v>
      </c>
      <c r="D1756" s="195">
        <v>1474.4</v>
      </c>
      <c r="E1756" s="196">
        <v>44819</v>
      </c>
      <c r="F1756" s="195">
        <v>1474.4</v>
      </c>
      <c r="G1756" s="197">
        <f>Tabla110[[#This Row],[Importe]]-Tabla110[[#This Row],[Pagado]]</f>
        <v>0</v>
      </c>
      <c r="H1756" s="194" t="s">
        <v>10</v>
      </c>
    </row>
    <row r="1757" spans="1:8" x14ac:dyDescent="0.25">
      <c r="A1757" s="127">
        <v>44819</v>
      </c>
      <c r="B1757" s="128" t="s">
        <v>29835</v>
      </c>
      <c r="C1757" s="194" t="s">
        <v>45</v>
      </c>
      <c r="D1757" s="195">
        <v>22157.8</v>
      </c>
      <c r="E1757" s="196">
        <v>44819</v>
      </c>
      <c r="F1757" s="195">
        <v>22157.8</v>
      </c>
      <c r="G1757" s="197">
        <f>Tabla110[[#This Row],[Importe]]-Tabla110[[#This Row],[Pagado]]</f>
        <v>0</v>
      </c>
      <c r="H1757" s="194" t="s">
        <v>10</v>
      </c>
    </row>
    <row r="1758" spans="1:8" x14ac:dyDescent="0.25">
      <c r="A1758" s="127">
        <v>44819</v>
      </c>
      <c r="B1758" s="128" t="s">
        <v>29836</v>
      </c>
      <c r="C1758" s="194" t="s">
        <v>6252</v>
      </c>
      <c r="D1758" s="195">
        <v>0</v>
      </c>
      <c r="E1758" s="199" t="s">
        <v>189</v>
      </c>
      <c r="F1758" s="195">
        <v>0</v>
      </c>
      <c r="G1758" s="197">
        <f>Tabla110[[#This Row],[Importe]]-Tabla110[[#This Row],[Pagado]]</f>
        <v>0</v>
      </c>
      <c r="H1758" s="200" t="s">
        <v>29837</v>
      </c>
    </row>
    <row r="1759" spans="1:8" x14ac:dyDescent="0.25">
      <c r="A1759" s="127">
        <v>44819</v>
      </c>
      <c r="B1759" s="128" t="s">
        <v>29838</v>
      </c>
      <c r="C1759" s="194" t="s">
        <v>35</v>
      </c>
      <c r="D1759" s="195">
        <v>4769.3</v>
      </c>
      <c r="E1759" s="196">
        <v>44819</v>
      </c>
      <c r="F1759" s="195">
        <v>4769.3</v>
      </c>
      <c r="G1759" s="197">
        <f>Tabla110[[#This Row],[Importe]]-Tabla110[[#This Row],[Pagado]]</f>
        <v>0</v>
      </c>
      <c r="H1759" s="194" t="s">
        <v>10</v>
      </c>
    </row>
    <row r="1760" spans="1:8" x14ac:dyDescent="0.25">
      <c r="A1760" s="127">
        <v>44819</v>
      </c>
      <c r="B1760" s="128" t="s">
        <v>29839</v>
      </c>
      <c r="C1760" s="194" t="s">
        <v>31</v>
      </c>
      <c r="D1760" s="195">
        <v>1762.5</v>
      </c>
      <c r="E1760" s="196">
        <v>44819</v>
      </c>
      <c r="F1760" s="195">
        <v>1762.5</v>
      </c>
      <c r="G1760" s="197">
        <f>Tabla110[[#This Row],[Importe]]-Tabla110[[#This Row],[Pagado]]</f>
        <v>0</v>
      </c>
      <c r="H1760" s="194" t="s">
        <v>10</v>
      </c>
    </row>
    <row r="1761" spans="1:8" x14ac:dyDescent="0.25">
      <c r="A1761" s="127">
        <v>44819</v>
      </c>
      <c r="B1761" s="128" t="s">
        <v>29840</v>
      </c>
      <c r="C1761" s="194" t="s">
        <v>520</v>
      </c>
      <c r="D1761" s="195">
        <v>11252</v>
      </c>
      <c r="E1761" s="196">
        <v>44819</v>
      </c>
      <c r="F1761" s="195">
        <v>11252</v>
      </c>
      <c r="G1761" s="197">
        <f>Tabla110[[#This Row],[Importe]]-Tabla110[[#This Row],[Pagado]]</f>
        <v>0</v>
      </c>
      <c r="H1761" s="194" t="s">
        <v>10</v>
      </c>
    </row>
    <row r="1762" spans="1:8" x14ac:dyDescent="0.25">
      <c r="A1762" s="127">
        <v>44819</v>
      </c>
      <c r="B1762" s="128" t="s">
        <v>29841</v>
      </c>
      <c r="C1762" s="194" t="s">
        <v>12</v>
      </c>
      <c r="D1762" s="195">
        <v>8364.4</v>
      </c>
      <c r="E1762" s="196">
        <v>44821</v>
      </c>
      <c r="F1762" s="195">
        <v>8364.4</v>
      </c>
      <c r="G1762" s="197">
        <f>Tabla110[[#This Row],[Importe]]-Tabla110[[#This Row],[Pagado]]</f>
        <v>0</v>
      </c>
      <c r="H1762" s="194" t="s">
        <v>10</v>
      </c>
    </row>
    <row r="1763" spans="1:8" x14ac:dyDescent="0.25">
      <c r="A1763" s="127">
        <v>44819</v>
      </c>
      <c r="B1763" s="128" t="s">
        <v>29842</v>
      </c>
      <c r="C1763" s="194" t="s">
        <v>154</v>
      </c>
      <c r="D1763" s="195">
        <v>39996.68</v>
      </c>
      <c r="E1763" s="196">
        <v>44824</v>
      </c>
      <c r="F1763" s="195">
        <v>39996.68</v>
      </c>
      <c r="G1763" s="197">
        <f>Tabla110[[#This Row],[Importe]]-Tabla110[[#This Row],[Pagado]]</f>
        <v>0</v>
      </c>
      <c r="H1763" s="194" t="s">
        <v>10</v>
      </c>
    </row>
    <row r="1764" spans="1:8" x14ac:dyDescent="0.25">
      <c r="A1764" s="127">
        <v>44819</v>
      </c>
      <c r="B1764" s="128" t="s">
        <v>29843</v>
      </c>
      <c r="C1764" s="194" t="s">
        <v>208</v>
      </c>
      <c r="D1764" s="195">
        <v>18947.2</v>
      </c>
      <c r="E1764" s="196">
        <v>44820</v>
      </c>
      <c r="F1764" s="195">
        <v>18947.2</v>
      </c>
      <c r="G1764" s="197">
        <f>Tabla110[[#This Row],[Importe]]-Tabla110[[#This Row],[Pagado]]</f>
        <v>0</v>
      </c>
      <c r="H1764" s="194" t="s">
        <v>10</v>
      </c>
    </row>
    <row r="1765" spans="1:8" x14ac:dyDescent="0.25">
      <c r="A1765" s="127">
        <v>44819</v>
      </c>
      <c r="B1765" s="128" t="s">
        <v>29844</v>
      </c>
      <c r="C1765" s="194" t="s">
        <v>218</v>
      </c>
      <c r="D1765" s="195">
        <v>22402</v>
      </c>
      <c r="E1765" s="196">
        <v>44821</v>
      </c>
      <c r="F1765" s="195">
        <v>22402</v>
      </c>
      <c r="G1765" s="197">
        <f>Tabla110[[#This Row],[Importe]]-Tabla110[[#This Row],[Pagado]]</f>
        <v>0</v>
      </c>
      <c r="H1765" s="194" t="s">
        <v>10</v>
      </c>
    </row>
    <row r="1766" spans="1:8" x14ac:dyDescent="0.25">
      <c r="A1766" s="127">
        <v>44819</v>
      </c>
      <c r="B1766" s="128" t="s">
        <v>29845</v>
      </c>
      <c r="C1766" s="194" t="s">
        <v>206</v>
      </c>
      <c r="D1766" s="195">
        <v>36138.6</v>
      </c>
      <c r="E1766" s="196">
        <v>44821</v>
      </c>
      <c r="F1766" s="195">
        <v>36138.6</v>
      </c>
      <c r="G1766" s="197">
        <f>Tabla110[[#This Row],[Importe]]-Tabla110[[#This Row],[Pagado]]</f>
        <v>0</v>
      </c>
      <c r="H1766" s="194" t="s">
        <v>10</v>
      </c>
    </row>
    <row r="1767" spans="1:8" x14ac:dyDescent="0.25">
      <c r="A1767" s="127">
        <v>44819</v>
      </c>
      <c r="B1767" s="128" t="s">
        <v>29846</v>
      </c>
      <c r="C1767" s="194" t="s">
        <v>31</v>
      </c>
      <c r="D1767" s="195">
        <v>2220</v>
      </c>
      <c r="E1767" s="196">
        <v>44819</v>
      </c>
      <c r="F1767" s="195">
        <v>2220</v>
      </c>
      <c r="G1767" s="197">
        <f>Tabla110[[#This Row],[Importe]]-Tabla110[[#This Row],[Pagado]]</f>
        <v>0</v>
      </c>
      <c r="H1767" s="194" t="s">
        <v>10</v>
      </c>
    </row>
    <row r="1768" spans="1:8" x14ac:dyDescent="0.25">
      <c r="A1768" s="127">
        <v>44819</v>
      </c>
      <c r="B1768" s="128" t="s">
        <v>29847</v>
      </c>
      <c r="C1768" s="194" t="s">
        <v>87</v>
      </c>
      <c r="D1768" s="195">
        <v>4839.5</v>
      </c>
      <c r="E1768" s="196">
        <v>44819</v>
      </c>
      <c r="F1768" s="195">
        <v>4839.5</v>
      </c>
      <c r="G1768" s="197">
        <f>Tabla110[[#This Row],[Importe]]-Tabla110[[#This Row],[Pagado]]</f>
        <v>0</v>
      </c>
      <c r="H1768" s="194" t="s">
        <v>10</v>
      </c>
    </row>
    <row r="1769" spans="1:8" x14ac:dyDescent="0.25">
      <c r="A1769" s="127">
        <v>44819</v>
      </c>
      <c r="B1769" s="128" t="s">
        <v>29848</v>
      </c>
      <c r="C1769" s="194" t="s">
        <v>67</v>
      </c>
      <c r="D1769" s="195">
        <v>10984.1</v>
      </c>
      <c r="E1769" s="196">
        <v>44819</v>
      </c>
      <c r="F1769" s="195">
        <v>10984.1</v>
      </c>
      <c r="G1769" s="197">
        <f>Tabla110[[#This Row],[Importe]]-Tabla110[[#This Row],[Pagado]]</f>
        <v>0</v>
      </c>
      <c r="H1769" s="194" t="s">
        <v>10</v>
      </c>
    </row>
    <row r="1770" spans="1:8" x14ac:dyDescent="0.25">
      <c r="A1770" s="127">
        <v>44819</v>
      </c>
      <c r="B1770" s="128" t="s">
        <v>29849</v>
      </c>
      <c r="C1770" s="194" t="s">
        <v>296</v>
      </c>
      <c r="D1770" s="195">
        <v>9804.6</v>
      </c>
      <c r="E1770" s="196">
        <v>44819</v>
      </c>
      <c r="F1770" s="195">
        <v>9804.6</v>
      </c>
      <c r="G1770" s="197">
        <f>Tabla110[[#This Row],[Importe]]-Tabla110[[#This Row],[Pagado]]</f>
        <v>0</v>
      </c>
      <c r="H1770" s="194" t="s">
        <v>10</v>
      </c>
    </row>
    <row r="1771" spans="1:8" x14ac:dyDescent="0.25">
      <c r="A1771" s="127">
        <v>44819</v>
      </c>
      <c r="B1771" s="128" t="s">
        <v>29850</v>
      </c>
      <c r="C1771" s="194" t="s">
        <v>196</v>
      </c>
      <c r="D1771" s="195">
        <v>15710.72</v>
      </c>
      <c r="E1771" s="196">
        <v>44827</v>
      </c>
      <c r="F1771" s="195">
        <v>15710.72</v>
      </c>
      <c r="G1771" s="197">
        <f>Tabla110[[#This Row],[Importe]]-Tabla110[[#This Row],[Pagado]]</f>
        <v>0</v>
      </c>
      <c r="H1771" s="194" t="s">
        <v>10</v>
      </c>
    </row>
    <row r="1772" spans="1:8" x14ac:dyDescent="0.25">
      <c r="A1772" s="127">
        <v>44819</v>
      </c>
      <c r="B1772" s="128" t="s">
        <v>29851</v>
      </c>
      <c r="C1772" s="194" t="s">
        <v>146</v>
      </c>
      <c r="D1772" s="195">
        <v>9381.7999999999993</v>
      </c>
      <c r="E1772" s="196">
        <v>44819</v>
      </c>
      <c r="F1772" s="195">
        <v>9381.7999999999993</v>
      </c>
      <c r="G1772" s="197">
        <f>Tabla110[[#This Row],[Importe]]-Tabla110[[#This Row],[Pagado]]</f>
        <v>0</v>
      </c>
      <c r="H1772" s="194" t="s">
        <v>10</v>
      </c>
    </row>
    <row r="1773" spans="1:8" x14ac:dyDescent="0.25">
      <c r="A1773" s="127">
        <v>44819</v>
      </c>
      <c r="B1773" s="128" t="s">
        <v>29852</v>
      </c>
      <c r="C1773" s="194" t="s">
        <v>670</v>
      </c>
      <c r="D1773" s="195">
        <v>5747.6</v>
      </c>
      <c r="E1773" s="196">
        <v>44819</v>
      </c>
      <c r="F1773" s="195">
        <v>5747.6</v>
      </c>
      <c r="G1773" s="197">
        <f>Tabla110[[#This Row],[Importe]]-Tabla110[[#This Row],[Pagado]]</f>
        <v>0</v>
      </c>
      <c r="H1773" s="194" t="s">
        <v>10</v>
      </c>
    </row>
    <row r="1774" spans="1:8" x14ac:dyDescent="0.25">
      <c r="A1774" s="127">
        <v>44819</v>
      </c>
      <c r="B1774" s="128" t="s">
        <v>29853</v>
      </c>
      <c r="C1774" s="194" t="s">
        <v>35</v>
      </c>
      <c r="D1774" s="195">
        <v>1606.8</v>
      </c>
      <c r="E1774" s="196">
        <v>44819</v>
      </c>
      <c r="F1774" s="195">
        <v>1606.8</v>
      </c>
      <c r="G1774" s="197">
        <f>Tabla110[[#This Row],[Importe]]-Tabla110[[#This Row],[Pagado]]</f>
        <v>0</v>
      </c>
      <c r="H1774" s="194" t="s">
        <v>10</v>
      </c>
    </row>
    <row r="1775" spans="1:8" x14ac:dyDescent="0.25">
      <c r="A1775" s="127">
        <v>44819</v>
      </c>
      <c r="B1775" s="128" t="s">
        <v>29854</v>
      </c>
      <c r="C1775" s="194" t="s">
        <v>35</v>
      </c>
      <c r="D1775" s="195">
        <v>672.6</v>
      </c>
      <c r="E1775" s="196">
        <v>44819</v>
      </c>
      <c r="F1775" s="195">
        <v>672.6</v>
      </c>
      <c r="G1775" s="197">
        <f>Tabla110[[#This Row],[Importe]]-Tabla110[[#This Row],[Pagado]]</f>
        <v>0</v>
      </c>
      <c r="H1775" s="194" t="s">
        <v>10</v>
      </c>
    </row>
    <row r="1776" spans="1:8" x14ac:dyDescent="0.25">
      <c r="A1776" s="127">
        <v>44819</v>
      </c>
      <c r="B1776" s="128" t="s">
        <v>29855</v>
      </c>
      <c r="C1776" s="194" t="s">
        <v>214</v>
      </c>
      <c r="D1776" s="195">
        <v>1440</v>
      </c>
      <c r="E1776" s="196">
        <v>44819</v>
      </c>
      <c r="F1776" s="195">
        <v>1440</v>
      </c>
      <c r="G1776" s="197">
        <f>Tabla110[[#This Row],[Importe]]-Tabla110[[#This Row],[Pagado]]</f>
        <v>0</v>
      </c>
      <c r="H1776" s="194" t="s">
        <v>10</v>
      </c>
    </row>
    <row r="1777" spans="1:8" x14ac:dyDescent="0.25">
      <c r="A1777" s="127">
        <v>44819</v>
      </c>
      <c r="B1777" s="128" t="s">
        <v>29856</v>
      </c>
      <c r="C1777" s="194" t="s">
        <v>357</v>
      </c>
      <c r="D1777" s="195">
        <v>1459.2</v>
      </c>
      <c r="E1777" s="196">
        <v>44819</v>
      </c>
      <c r="F1777" s="195">
        <v>1459.2</v>
      </c>
      <c r="G1777" s="197">
        <f>Tabla110[[#This Row],[Importe]]-Tabla110[[#This Row],[Pagado]]</f>
        <v>0</v>
      </c>
      <c r="H1777" s="194" t="s">
        <v>10</v>
      </c>
    </row>
    <row r="1778" spans="1:8" x14ac:dyDescent="0.25">
      <c r="A1778" s="127">
        <v>44819</v>
      </c>
      <c r="B1778" s="128" t="s">
        <v>29857</v>
      </c>
      <c r="C1778" s="194" t="s">
        <v>140</v>
      </c>
      <c r="D1778" s="195">
        <v>1782.8</v>
      </c>
      <c r="E1778" s="196">
        <v>44819</v>
      </c>
      <c r="F1778" s="195">
        <v>1782.8</v>
      </c>
      <c r="G1778" s="197">
        <f>Tabla110[[#This Row],[Importe]]-Tabla110[[#This Row],[Pagado]]</f>
        <v>0</v>
      </c>
      <c r="H1778" s="194" t="s">
        <v>10</v>
      </c>
    </row>
    <row r="1779" spans="1:8" x14ac:dyDescent="0.25">
      <c r="A1779" s="127">
        <v>44819</v>
      </c>
      <c r="B1779" s="128" t="s">
        <v>29858</v>
      </c>
      <c r="C1779" s="194" t="s">
        <v>6252</v>
      </c>
      <c r="D1779" s="195">
        <v>0</v>
      </c>
      <c r="E1779" s="199" t="s">
        <v>189</v>
      </c>
      <c r="F1779" s="195">
        <v>0</v>
      </c>
      <c r="G1779" s="197">
        <f>Tabla110[[#This Row],[Importe]]-Tabla110[[#This Row],[Pagado]]</f>
        <v>0</v>
      </c>
      <c r="H1779" s="200" t="s">
        <v>29859</v>
      </c>
    </row>
    <row r="1780" spans="1:8" x14ac:dyDescent="0.25">
      <c r="A1780" s="127">
        <v>44819</v>
      </c>
      <c r="B1780" s="128" t="s">
        <v>29860</v>
      </c>
      <c r="C1780" s="194" t="s">
        <v>191</v>
      </c>
      <c r="D1780" s="195">
        <v>2270.4</v>
      </c>
      <c r="E1780" s="196">
        <v>44819</v>
      </c>
      <c r="F1780" s="195">
        <v>2270.4</v>
      </c>
      <c r="G1780" s="197">
        <f>Tabla110[[#This Row],[Importe]]-Tabla110[[#This Row],[Pagado]]</f>
        <v>0</v>
      </c>
      <c r="H1780" s="194" t="s">
        <v>10</v>
      </c>
    </row>
    <row r="1781" spans="1:8" x14ac:dyDescent="0.25">
      <c r="A1781" s="127">
        <v>44819</v>
      </c>
      <c r="B1781" s="128" t="s">
        <v>29861</v>
      </c>
      <c r="C1781" s="194" t="s">
        <v>129</v>
      </c>
      <c r="D1781" s="195">
        <v>2336.6</v>
      </c>
      <c r="E1781" s="196">
        <v>44819</v>
      </c>
      <c r="F1781" s="195">
        <v>2336.6</v>
      </c>
      <c r="G1781" s="197">
        <f>Tabla110[[#This Row],[Importe]]-Tabla110[[#This Row],[Pagado]]</f>
        <v>0</v>
      </c>
      <c r="H1781" s="194" t="s">
        <v>10</v>
      </c>
    </row>
    <row r="1782" spans="1:8" x14ac:dyDescent="0.25">
      <c r="A1782" s="127">
        <v>44819</v>
      </c>
      <c r="B1782" s="128" t="s">
        <v>29862</v>
      </c>
      <c r="C1782" s="194" t="s">
        <v>127</v>
      </c>
      <c r="D1782" s="195">
        <v>7272</v>
      </c>
      <c r="E1782" s="196">
        <v>44819</v>
      </c>
      <c r="F1782" s="195">
        <v>7272</v>
      </c>
      <c r="G1782" s="197">
        <f>Tabla110[[#This Row],[Importe]]-Tabla110[[#This Row],[Pagado]]</f>
        <v>0</v>
      </c>
      <c r="H1782" s="194" t="s">
        <v>10</v>
      </c>
    </row>
    <row r="1783" spans="1:8" x14ac:dyDescent="0.25">
      <c r="A1783" s="127">
        <v>44819</v>
      </c>
      <c r="B1783" s="128" t="s">
        <v>29863</v>
      </c>
      <c r="C1783" s="194" t="s">
        <v>129</v>
      </c>
      <c r="D1783" s="195">
        <v>126</v>
      </c>
      <c r="E1783" s="196">
        <v>44819</v>
      </c>
      <c r="F1783" s="195">
        <v>126</v>
      </c>
      <c r="G1783" s="197">
        <f>Tabla110[[#This Row],[Importe]]-Tabla110[[#This Row],[Pagado]]</f>
        <v>0</v>
      </c>
      <c r="H1783" s="194" t="s">
        <v>10</v>
      </c>
    </row>
    <row r="1784" spans="1:8" x14ac:dyDescent="0.25">
      <c r="A1784" s="127">
        <v>44819</v>
      </c>
      <c r="B1784" s="128" t="s">
        <v>29864</v>
      </c>
      <c r="C1784" s="194" t="s">
        <v>31</v>
      </c>
      <c r="D1784" s="195">
        <v>5736</v>
      </c>
      <c r="E1784" s="196">
        <v>44819</v>
      </c>
      <c r="F1784" s="195">
        <v>5736</v>
      </c>
      <c r="G1784" s="197">
        <f>Tabla110[[#This Row],[Importe]]-Tabla110[[#This Row],[Pagado]]</f>
        <v>0</v>
      </c>
      <c r="H1784" s="194" t="s">
        <v>10</v>
      </c>
    </row>
    <row r="1785" spans="1:8" x14ac:dyDescent="0.25">
      <c r="A1785" s="127">
        <v>44819</v>
      </c>
      <c r="B1785" s="128" t="s">
        <v>29865</v>
      </c>
      <c r="C1785" s="194" t="s">
        <v>24</v>
      </c>
      <c r="D1785" s="195">
        <v>1276.4000000000001</v>
      </c>
      <c r="E1785" s="196">
        <v>44819</v>
      </c>
      <c r="F1785" s="195">
        <v>1276.4000000000001</v>
      </c>
      <c r="G1785" s="197">
        <f>Tabla110[[#This Row],[Importe]]-Tabla110[[#This Row],[Pagado]]</f>
        <v>0</v>
      </c>
      <c r="H1785" s="194" t="s">
        <v>10</v>
      </c>
    </row>
    <row r="1786" spans="1:8" x14ac:dyDescent="0.25">
      <c r="A1786" s="127">
        <v>44819</v>
      </c>
      <c r="B1786" s="128" t="s">
        <v>29866</v>
      </c>
      <c r="C1786" s="194" t="s">
        <v>31</v>
      </c>
      <c r="D1786" s="195">
        <v>727.5</v>
      </c>
      <c r="E1786" s="196">
        <v>44819</v>
      </c>
      <c r="F1786" s="195">
        <v>727.5</v>
      </c>
      <c r="G1786" s="197">
        <f>Tabla110[[#This Row],[Importe]]-Tabla110[[#This Row],[Pagado]]</f>
        <v>0</v>
      </c>
      <c r="H1786" s="194" t="s">
        <v>10</v>
      </c>
    </row>
    <row r="1787" spans="1:8" x14ac:dyDescent="0.25">
      <c r="A1787" s="127">
        <v>44819</v>
      </c>
      <c r="B1787" s="128" t="s">
        <v>29867</v>
      </c>
      <c r="C1787" s="194" t="s">
        <v>339</v>
      </c>
      <c r="D1787" s="195">
        <v>722</v>
      </c>
      <c r="E1787" s="196">
        <v>44819</v>
      </c>
      <c r="F1787" s="195">
        <v>722</v>
      </c>
      <c r="G1787" s="197">
        <f>Tabla110[[#This Row],[Importe]]-Tabla110[[#This Row],[Pagado]]</f>
        <v>0</v>
      </c>
      <c r="H1787" s="194" t="s">
        <v>10</v>
      </c>
    </row>
    <row r="1788" spans="1:8" x14ac:dyDescent="0.25">
      <c r="A1788" s="127">
        <v>44819</v>
      </c>
      <c r="B1788" s="128" t="s">
        <v>29868</v>
      </c>
      <c r="C1788" s="194" t="s">
        <v>1362</v>
      </c>
      <c r="D1788" s="195">
        <v>5434.8</v>
      </c>
      <c r="E1788" s="196">
        <v>44819</v>
      </c>
      <c r="F1788" s="195">
        <v>5434.8</v>
      </c>
      <c r="G1788" s="197">
        <f>Tabla110[[#This Row],[Importe]]-Tabla110[[#This Row],[Pagado]]</f>
        <v>0</v>
      </c>
      <c r="H1788" s="194" t="s">
        <v>10</v>
      </c>
    </row>
    <row r="1789" spans="1:8" x14ac:dyDescent="0.25">
      <c r="A1789" s="127">
        <v>44819</v>
      </c>
      <c r="B1789" s="128" t="s">
        <v>29869</v>
      </c>
      <c r="C1789" s="194" t="s">
        <v>107</v>
      </c>
      <c r="D1789" s="195">
        <v>29053</v>
      </c>
      <c r="E1789" s="196">
        <v>44819</v>
      </c>
      <c r="F1789" s="195">
        <v>29053</v>
      </c>
      <c r="G1789" s="197">
        <f>Tabla110[[#This Row],[Importe]]-Tabla110[[#This Row],[Pagado]]</f>
        <v>0</v>
      </c>
      <c r="H1789" s="194" t="s">
        <v>10</v>
      </c>
    </row>
    <row r="1790" spans="1:8" x14ac:dyDescent="0.25">
      <c r="A1790" s="127">
        <v>44819</v>
      </c>
      <c r="B1790" s="128" t="s">
        <v>29870</v>
      </c>
      <c r="C1790" s="194" t="s">
        <v>228</v>
      </c>
      <c r="D1790" s="195">
        <v>8074.4</v>
      </c>
      <c r="E1790" s="196">
        <v>44819</v>
      </c>
      <c r="F1790" s="195">
        <v>8074.4</v>
      </c>
      <c r="G1790" s="197">
        <f>Tabla110[[#This Row],[Importe]]-Tabla110[[#This Row],[Pagado]]</f>
        <v>0</v>
      </c>
      <c r="H1790" s="194" t="s">
        <v>10</v>
      </c>
    </row>
    <row r="1791" spans="1:8" x14ac:dyDescent="0.25">
      <c r="A1791" s="127">
        <v>44819</v>
      </c>
      <c r="B1791" s="128" t="s">
        <v>29871</v>
      </c>
      <c r="C1791" s="194" t="s">
        <v>2377</v>
      </c>
      <c r="D1791" s="195">
        <v>46559.4</v>
      </c>
      <c r="E1791" s="196">
        <v>44819</v>
      </c>
      <c r="F1791" s="195">
        <v>46559.4</v>
      </c>
      <c r="G1791" s="197">
        <f>Tabla110[[#This Row],[Importe]]-Tabla110[[#This Row],[Pagado]]</f>
        <v>0</v>
      </c>
      <c r="H1791" s="194" t="s">
        <v>10</v>
      </c>
    </row>
    <row r="1792" spans="1:8" x14ac:dyDescent="0.25">
      <c r="A1792" s="127">
        <v>44819</v>
      </c>
      <c r="B1792" s="128" t="s">
        <v>29872</v>
      </c>
      <c r="C1792" s="194" t="s">
        <v>31</v>
      </c>
      <c r="D1792" s="195">
        <v>210</v>
      </c>
      <c r="E1792" s="196">
        <v>44819</v>
      </c>
      <c r="F1792" s="195">
        <v>210</v>
      </c>
      <c r="G1792" s="197">
        <f>Tabla110[[#This Row],[Importe]]-Tabla110[[#This Row],[Pagado]]</f>
        <v>0</v>
      </c>
      <c r="H1792" s="194" t="s">
        <v>10</v>
      </c>
    </row>
    <row r="1793" spans="1:8" x14ac:dyDescent="0.25">
      <c r="A1793" s="127">
        <v>44819</v>
      </c>
      <c r="B1793" s="128" t="s">
        <v>29873</v>
      </c>
      <c r="C1793" s="194" t="s">
        <v>28087</v>
      </c>
      <c r="D1793" s="195">
        <v>13096</v>
      </c>
      <c r="E1793" s="196">
        <v>44893</v>
      </c>
      <c r="F1793" s="195">
        <v>13096</v>
      </c>
      <c r="G1793" s="197">
        <f>Tabla110[[#This Row],[Importe]]-Tabla110[[#This Row],[Pagado]]</f>
        <v>0</v>
      </c>
      <c r="H1793" s="78" t="s">
        <v>17776</v>
      </c>
    </row>
    <row r="1794" spans="1:8" x14ac:dyDescent="0.25">
      <c r="A1794" s="127">
        <v>44819</v>
      </c>
      <c r="B1794" s="128" t="s">
        <v>29874</v>
      </c>
      <c r="C1794" s="194" t="s">
        <v>19582</v>
      </c>
      <c r="D1794" s="195">
        <v>0</v>
      </c>
      <c r="E1794" s="199" t="s">
        <v>189</v>
      </c>
      <c r="F1794" s="195">
        <v>0</v>
      </c>
      <c r="G1794" s="197">
        <f>Tabla110[[#This Row],[Importe]]-Tabla110[[#This Row],[Pagado]]</f>
        <v>0</v>
      </c>
      <c r="H1794" s="200" t="s">
        <v>29875</v>
      </c>
    </row>
    <row r="1795" spans="1:8" x14ac:dyDescent="0.25">
      <c r="A1795" s="127">
        <v>44819</v>
      </c>
      <c r="B1795" s="128" t="s">
        <v>29876</v>
      </c>
      <c r="C1795" s="194" t="s">
        <v>31</v>
      </c>
      <c r="D1795" s="195">
        <v>277.2</v>
      </c>
      <c r="E1795" s="196">
        <v>44819</v>
      </c>
      <c r="F1795" s="195">
        <v>277.2</v>
      </c>
      <c r="G1795" s="197">
        <f>Tabla110[[#This Row],[Importe]]-Tabla110[[#This Row],[Pagado]]</f>
        <v>0</v>
      </c>
      <c r="H1795" s="194" t="s">
        <v>10</v>
      </c>
    </row>
    <row r="1796" spans="1:8" x14ac:dyDescent="0.25">
      <c r="A1796" s="127">
        <v>44819</v>
      </c>
      <c r="B1796" s="128" t="s">
        <v>29877</v>
      </c>
      <c r="C1796" s="194" t="s">
        <v>31</v>
      </c>
      <c r="D1796" s="195">
        <v>765</v>
      </c>
      <c r="E1796" s="196">
        <v>44819</v>
      </c>
      <c r="F1796" s="195">
        <v>765</v>
      </c>
      <c r="G1796" s="197">
        <f>Tabla110[[#This Row],[Importe]]-Tabla110[[#This Row],[Pagado]]</f>
        <v>0</v>
      </c>
      <c r="H1796" s="194" t="s">
        <v>10</v>
      </c>
    </row>
    <row r="1797" spans="1:8" x14ac:dyDescent="0.25">
      <c r="A1797" s="127">
        <v>44819</v>
      </c>
      <c r="B1797" s="128" t="s">
        <v>29878</v>
      </c>
      <c r="C1797" s="194" t="s">
        <v>31</v>
      </c>
      <c r="D1797" s="195">
        <v>5388.5</v>
      </c>
      <c r="E1797" s="196">
        <v>44819</v>
      </c>
      <c r="F1797" s="195">
        <v>5388.5</v>
      </c>
      <c r="G1797" s="197">
        <f>Tabla110[[#This Row],[Importe]]-Tabla110[[#This Row],[Pagado]]</f>
        <v>0</v>
      </c>
      <c r="H1797" s="194" t="s">
        <v>10</v>
      </c>
    </row>
    <row r="1798" spans="1:8" x14ac:dyDescent="0.25">
      <c r="A1798" s="127">
        <v>44819</v>
      </c>
      <c r="B1798" s="128" t="s">
        <v>29879</v>
      </c>
      <c r="C1798" s="194" t="s">
        <v>414</v>
      </c>
      <c r="D1798" s="195">
        <v>29895</v>
      </c>
      <c r="E1798" s="196">
        <v>44825</v>
      </c>
      <c r="F1798" s="195">
        <v>29895</v>
      </c>
      <c r="G1798" s="197">
        <f>Tabla110[[#This Row],[Importe]]-Tabla110[[#This Row],[Pagado]]</f>
        <v>0</v>
      </c>
      <c r="H1798" s="194" t="s">
        <v>10</v>
      </c>
    </row>
    <row r="1799" spans="1:8" x14ac:dyDescent="0.25">
      <c r="A1799" s="127">
        <v>44819</v>
      </c>
      <c r="B1799" s="128" t="s">
        <v>29880</v>
      </c>
      <c r="C1799" s="194" t="s">
        <v>167</v>
      </c>
      <c r="D1799" s="195">
        <v>90335</v>
      </c>
      <c r="E1799" s="196">
        <v>44819</v>
      </c>
      <c r="F1799" s="195">
        <v>90335</v>
      </c>
      <c r="G1799" s="197">
        <f>Tabla110[[#This Row],[Importe]]-Tabla110[[#This Row],[Pagado]]</f>
        <v>0</v>
      </c>
      <c r="H1799" s="194" t="s">
        <v>10</v>
      </c>
    </row>
    <row r="1800" spans="1:8" x14ac:dyDescent="0.25">
      <c r="A1800" s="127">
        <v>44819</v>
      </c>
      <c r="B1800" s="128" t="s">
        <v>29881</v>
      </c>
      <c r="C1800" s="194" t="s">
        <v>16</v>
      </c>
      <c r="D1800" s="195">
        <v>713.9</v>
      </c>
      <c r="E1800" s="196">
        <v>44819</v>
      </c>
      <c r="F1800" s="195">
        <v>713.9</v>
      </c>
      <c r="G1800" s="197">
        <f>Tabla110[[#This Row],[Importe]]-Tabla110[[#This Row],[Pagado]]</f>
        <v>0</v>
      </c>
      <c r="H1800" s="194" t="s">
        <v>10</v>
      </c>
    </row>
    <row r="1801" spans="1:8" x14ac:dyDescent="0.25">
      <c r="A1801" s="127">
        <v>44819</v>
      </c>
      <c r="B1801" s="128" t="s">
        <v>29882</v>
      </c>
      <c r="C1801" s="194" t="s">
        <v>167</v>
      </c>
      <c r="D1801" s="195">
        <v>1200</v>
      </c>
      <c r="E1801" s="196">
        <v>44819</v>
      </c>
      <c r="F1801" s="195">
        <v>1200</v>
      </c>
      <c r="G1801" s="197">
        <f>Tabla110[[#This Row],[Importe]]-Tabla110[[#This Row],[Pagado]]</f>
        <v>0</v>
      </c>
      <c r="H1801" s="194" t="s">
        <v>10</v>
      </c>
    </row>
    <row r="1802" spans="1:8" x14ac:dyDescent="0.25">
      <c r="A1802" s="127">
        <v>44819</v>
      </c>
      <c r="B1802" s="128" t="s">
        <v>29883</v>
      </c>
      <c r="C1802" s="194" t="s">
        <v>31</v>
      </c>
      <c r="D1802" s="195">
        <v>4182</v>
      </c>
      <c r="E1802" s="196">
        <v>44819</v>
      </c>
      <c r="F1802" s="195">
        <v>4182</v>
      </c>
      <c r="G1802" s="197">
        <f>Tabla110[[#This Row],[Importe]]-Tabla110[[#This Row],[Pagado]]</f>
        <v>0</v>
      </c>
      <c r="H1802" s="194" t="s">
        <v>10</v>
      </c>
    </row>
    <row r="1803" spans="1:8" x14ac:dyDescent="0.25">
      <c r="A1803" s="127">
        <v>44819</v>
      </c>
      <c r="B1803" s="128" t="s">
        <v>29884</v>
      </c>
      <c r="C1803" s="194" t="s">
        <v>191</v>
      </c>
      <c r="D1803" s="195">
        <v>1723.8</v>
      </c>
      <c r="E1803" s="196">
        <v>44819</v>
      </c>
      <c r="F1803" s="195">
        <v>1723.8</v>
      </c>
      <c r="G1803" s="197">
        <f>Tabla110[[#This Row],[Importe]]-Tabla110[[#This Row],[Pagado]]</f>
        <v>0</v>
      </c>
      <c r="H1803" s="194" t="s">
        <v>10</v>
      </c>
    </row>
    <row r="1804" spans="1:8" x14ac:dyDescent="0.25">
      <c r="A1804" s="127">
        <v>44819</v>
      </c>
      <c r="B1804" s="128" t="s">
        <v>29885</v>
      </c>
      <c r="C1804" s="194" t="s">
        <v>1421</v>
      </c>
      <c r="D1804" s="195">
        <v>45942.6</v>
      </c>
      <c r="E1804" s="196">
        <v>44819</v>
      </c>
      <c r="F1804" s="195">
        <v>45942.6</v>
      </c>
      <c r="G1804" s="197">
        <f>Tabla110[[#This Row],[Importe]]-Tabla110[[#This Row],[Pagado]]</f>
        <v>0</v>
      </c>
      <c r="H1804" s="194" t="s">
        <v>10</v>
      </c>
    </row>
    <row r="1805" spans="1:8" x14ac:dyDescent="0.25">
      <c r="A1805" s="127">
        <v>44819</v>
      </c>
      <c r="B1805" s="128" t="s">
        <v>29886</v>
      </c>
      <c r="C1805" s="194" t="s">
        <v>273</v>
      </c>
      <c r="D1805" s="195">
        <v>2908.7</v>
      </c>
      <c r="E1805" s="196">
        <v>44819</v>
      </c>
      <c r="F1805" s="195">
        <v>2908.7</v>
      </c>
      <c r="G1805" s="197">
        <f>Tabla110[[#This Row],[Importe]]-Tabla110[[#This Row],[Pagado]]</f>
        <v>0</v>
      </c>
      <c r="H1805" s="194" t="s">
        <v>10</v>
      </c>
    </row>
    <row r="1806" spans="1:8" x14ac:dyDescent="0.25">
      <c r="A1806" s="127">
        <v>44819</v>
      </c>
      <c r="B1806" s="128" t="s">
        <v>29887</v>
      </c>
      <c r="C1806" s="194" t="s">
        <v>9827</v>
      </c>
      <c r="D1806" s="195">
        <v>4612.5</v>
      </c>
      <c r="E1806" s="196">
        <v>44819</v>
      </c>
      <c r="F1806" s="195">
        <v>4612.5</v>
      </c>
      <c r="G1806" s="197">
        <f>Tabla110[[#This Row],[Importe]]-Tabla110[[#This Row],[Pagado]]</f>
        <v>0</v>
      </c>
      <c r="H1806" s="194" t="s">
        <v>10</v>
      </c>
    </row>
    <row r="1807" spans="1:8" x14ac:dyDescent="0.25">
      <c r="A1807" s="127">
        <v>44819</v>
      </c>
      <c r="B1807" s="128" t="s">
        <v>29888</v>
      </c>
      <c r="C1807" s="194" t="s">
        <v>475</v>
      </c>
      <c r="D1807" s="195">
        <v>3120</v>
      </c>
      <c r="E1807" s="196">
        <v>44821</v>
      </c>
      <c r="F1807" s="195">
        <v>3120</v>
      </c>
      <c r="G1807" s="197">
        <f>Tabla110[[#This Row],[Importe]]-Tabla110[[#This Row],[Pagado]]</f>
        <v>0</v>
      </c>
      <c r="H1807" s="194" t="s">
        <v>10</v>
      </c>
    </row>
    <row r="1808" spans="1:8" x14ac:dyDescent="0.25">
      <c r="A1808" s="127">
        <v>44819</v>
      </c>
      <c r="B1808" s="128" t="s">
        <v>29889</v>
      </c>
      <c r="C1808" s="194" t="s">
        <v>14</v>
      </c>
      <c r="D1808" s="195">
        <v>8409.2000000000007</v>
      </c>
      <c r="E1808" s="196">
        <v>44819</v>
      </c>
      <c r="F1808" s="195">
        <v>8409.2000000000007</v>
      </c>
      <c r="G1808" s="197">
        <f>Tabla110[[#This Row],[Importe]]-Tabla110[[#This Row],[Pagado]]</f>
        <v>0</v>
      </c>
      <c r="H1808" s="194" t="s">
        <v>10</v>
      </c>
    </row>
    <row r="1809" spans="1:8" x14ac:dyDescent="0.25">
      <c r="A1809" s="127">
        <v>44819</v>
      </c>
      <c r="B1809" s="128" t="s">
        <v>29890</v>
      </c>
      <c r="C1809" s="194" t="s">
        <v>16</v>
      </c>
      <c r="D1809" s="195">
        <v>7431.6</v>
      </c>
      <c r="E1809" s="196">
        <v>44819</v>
      </c>
      <c r="F1809" s="195">
        <v>7431.6</v>
      </c>
      <c r="G1809" s="197">
        <f>Tabla110[[#This Row],[Importe]]-Tabla110[[#This Row],[Pagado]]</f>
        <v>0</v>
      </c>
      <c r="H1809" s="194" t="s">
        <v>10</v>
      </c>
    </row>
    <row r="1810" spans="1:8" x14ac:dyDescent="0.25">
      <c r="A1810" s="127">
        <v>44819</v>
      </c>
      <c r="B1810" s="128" t="s">
        <v>29891</v>
      </c>
      <c r="C1810" s="194" t="s">
        <v>16</v>
      </c>
      <c r="D1810" s="195">
        <v>649</v>
      </c>
      <c r="E1810" s="196">
        <v>44819</v>
      </c>
      <c r="F1810" s="195">
        <v>649</v>
      </c>
      <c r="G1810" s="197">
        <f>Tabla110[[#This Row],[Importe]]-Tabla110[[#This Row],[Pagado]]</f>
        <v>0</v>
      </c>
      <c r="H1810" s="194" t="s">
        <v>10</v>
      </c>
    </row>
    <row r="1811" spans="1:8" x14ac:dyDescent="0.25">
      <c r="A1811" s="127">
        <v>44819</v>
      </c>
      <c r="B1811" s="128" t="s">
        <v>29892</v>
      </c>
      <c r="C1811" s="194" t="s">
        <v>10190</v>
      </c>
      <c r="D1811" s="195">
        <v>30189</v>
      </c>
      <c r="E1811" s="196">
        <v>44820</v>
      </c>
      <c r="F1811" s="195">
        <v>30189</v>
      </c>
      <c r="G1811" s="197">
        <f>Tabla110[[#This Row],[Importe]]-Tabla110[[#This Row],[Pagado]]</f>
        <v>0</v>
      </c>
      <c r="H1811" s="194" t="s">
        <v>10</v>
      </c>
    </row>
    <row r="1812" spans="1:8" x14ac:dyDescent="0.25">
      <c r="A1812" s="127">
        <v>44819</v>
      </c>
      <c r="B1812" s="128" t="s">
        <v>29893</v>
      </c>
      <c r="C1812" s="194" t="s">
        <v>402</v>
      </c>
      <c r="D1812" s="195">
        <v>21724.46</v>
      </c>
      <c r="E1812" s="196">
        <v>44826</v>
      </c>
      <c r="F1812" s="195">
        <v>21724.46</v>
      </c>
      <c r="G1812" s="197">
        <f>Tabla110[[#This Row],[Importe]]-Tabla110[[#This Row],[Pagado]]</f>
        <v>0</v>
      </c>
      <c r="H1812" s="194" t="s">
        <v>10</v>
      </c>
    </row>
    <row r="1813" spans="1:8" x14ac:dyDescent="0.25">
      <c r="A1813" s="127">
        <v>44819</v>
      </c>
      <c r="B1813" s="128" t="s">
        <v>29894</v>
      </c>
      <c r="C1813" s="194" t="s">
        <v>31</v>
      </c>
      <c r="D1813" s="195">
        <v>4117.5</v>
      </c>
      <c r="E1813" s="196">
        <v>44819</v>
      </c>
      <c r="F1813" s="195">
        <v>4117.5</v>
      </c>
      <c r="G1813" s="197">
        <f>Tabla110[[#This Row],[Importe]]-Tabla110[[#This Row],[Pagado]]</f>
        <v>0</v>
      </c>
      <c r="H1813" s="194" t="s">
        <v>10</v>
      </c>
    </row>
    <row r="1814" spans="1:8" x14ac:dyDescent="0.25">
      <c r="A1814" s="127">
        <v>44819</v>
      </c>
      <c r="B1814" s="128" t="s">
        <v>29895</v>
      </c>
      <c r="C1814" s="194" t="s">
        <v>875</v>
      </c>
      <c r="D1814" s="195">
        <v>54089.64</v>
      </c>
      <c r="E1814" s="196">
        <v>44819</v>
      </c>
      <c r="F1814" s="195">
        <v>54089.64</v>
      </c>
      <c r="G1814" s="197">
        <f>Tabla110[[#This Row],[Importe]]-Tabla110[[#This Row],[Pagado]]</f>
        <v>0</v>
      </c>
      <c r="H1814" s="194" t="s">
        <v>10</v>
      </c>
    </row>
    <row r="1815" spans="1:8" x14ac:dyDescent="0.25">
      <c r="A1815" s="127">
        <v>44819</v>
      </c>
      <c r="B1815" s="128" t="s">
        <v>29896</v>
      </c>
      <c r="C1815" s="194" t="s">
        <v>107</v>
      </c>
      <c r="D1815" s="195">
        <v>118.5</v>
      </c>
      <c r="E1815" s="196">
        <v>44819</v>
      </c>
      <c r="F1815" s="195">
        <v>118.5</v>
      </c>
      <c r="G1815" s="197">
        <f>Tabla110[[#This Row],[Importe]]-Tabla110[[#This Row],[Pagado]]</f>
        <v>0</v>
      </c>
      <c r="H1815" s="194" t="s">
        <v>10</v>
      </c>
    </row>
    <row r="1816" spans="1:8" x14ac:dyDescent="0.25">
      <c r="A1816" s="127">
        <v>44819</v>
      </c>
      <c r="B1816" s="128" t="s">
        <v>29897</v>
      </c>
      <c r="C1816" s="194" t="s">
        <v>12</v>
      </c>
      <c r="D1816" s="195">
        <v>2880.4</v>
      </c>
      <c r="E1816" s="196">
        <v>44821</v>
      </c>
      <c r="F1816" s="195">
        <v>2880.4</v>
      </c>
      <c r="G1816" s="197">
        <f>Tabla110[[#This Row],[Importe]]-Tabla110[[#This Row],[Pagado]]</f>
        <v>0</v>
      </c>
      <c r="H1816" s="194" t="s">
        <v>10</v>
      </c>
    </row>
    <row r="1817" spans="1:8" x14ac:dyDescent="0.25">
      <c r="A1817" s="127">
        <v>44819</v>
      </c>
      <c r="B1817" s="128" t="s">
        <v>29898</v>
      </c>
      <c r="C1817" s="194" t="s">
        <v>142</v>
      </c>
      <c r="D1817" s="195">
        <v>53088</v>
      </c>
      <c r="E1817" s="196">
        <v>44851</v>
      </c>
      <c r="F1817" s="195">
        <v>53088</v>
      </c>
      <c r="G1817" s="197">
        <f>Tabla110[[#This Row],[Importe]]-Tabla110[[#This Row],[Pagado]]</f>
        <v>0</v>
      </c>
      <c r="H1817" s="194" t="s">
        <v>10</v>
      </c>
    </row>
    <row r="1818" spans="1:8" x14ac:dyDescent="0.25">
      <c r="A1818" s="127">
        <v>44819</v>
      </c>
      <c r="B1818" s="128" t="s">
        <v>29899</v>
      </c>
      <c r="C1818" s="194" t="s">
        <v>31</v>
      </c>
      <c r="D1818" s="195">
        <v>1267.5</v>
      </c>
      <c r="E1818" s="196">
        <v>44819</v>
      </c>
      <c r="F1818" s="195">
        <v>1267.5</v>
      </c>
      <c r="G1818" s="197">
        <f>Tabla110[[#This Row],[Importe]]-Tabla110[[#This Row],[Pagado]]</f>
        <v>0</v>
      </c>
      <c r="H1818" s="194" t="s">
        <v>10</v>
      </c>
    </row>
    <row r="1819" spans="1:8" x14ac:dyDescent="0.25">
      <c r="A1819" s="127">
        <v>44819</v>
      </c>
      <c r="B1819" s="128" t="s">
        <v>29900</v>
      </c>
      <c r="C1819" s="194" t="s">
        <v>10273</v>
      </c>
      <c r="D1819" s="195">
        <v>2920.4</v>
      </c>
      <c r="E1819" s="196">
        <v>44819</v>
      </c>
      <c r="F1819" s="195">
        <v>2920.4</v>
      </c>
      <c r="G1819" s="197">
        <f>Tabla110[[#This Row],[Importe]]-Tabla110[[#This Row],[Pagado]]</f>
        <v>0</v>
      </c>
      <c r="H1819" s="194" t="s">
        <v>10</v>
      </c>
    </row>
    <row r="1820" spans="1:8" x14ac:dyDescent="0.25">
      <c r="A1820" s="127">
        <v>44819</v>
      </c>
      <c r="B1820" s="128" t="s">
        <v>29901</v>
      </c>
      <c r="C1820" s="194" t="s">
        <v>31</v>
      </c>
      <c r="D1820" s="195">
        <v>1807.5</v>
      </c>
      <c r="E1820" s="196">
        <v>44819</v>
      </c>
      <c r="F1820" s="195">
        <v>1807.5</v>
      </c>
      <c r="G1820" s="197">
        <f>Tabla110[[#This Row],[Importe]]-Tabla110[[#This Row],[Pagado]]</f>
        <v>0</v>
      </c>
      <c r="H1820" s="194" t="s">
        <v>10</v>
      </c>
    </row>
    <row r="1821" spans="1:8" x14ac:dyDescent="0.25">
      <c r="A1821" s="127">
        <v>44819</v>
      </c>
      <c r="B1821" s="128" t="s">
        <v>29902</v>
      </c>
      <c r="C1821" s="194" t="s">
        <v>31</v>
      </c>
      <c r="D1821" s="195">
        <v>180.4</v>
      </c>
      <c r="E1821" s="196">
        <v>44819</v>
      </c>
      <c r="F1821" s="195">
        <v>180.4</v>
      </c>
      <c r="G1821" s="197">
        <f>Tabla110[[#This Row],[Importe]]-Tabla110[[#This Row],[Pagado]]</f>
        <v>0</v>
      </c>
      <c r="H1821" s="194" t="s">
        <v>10</v>
      </c>
    </row>
    <row r="1822" spans="1:8" x14ac:dyDescent="0.25">
      <c r="A1822" s="127">
        <v>44819</v>
      </c>
      <c r="B1822" s="128" t="s">
        <v>29903</v>
      </c>
      <c r="C1822" s="194" t="s">
        <v>373</v>
      </c>
      <c r="D1822" s="195">
        <v>240</v>
      </c>
      <c r="E1822" s="196">
        <v>44819</v>
      </c>
      <c r="F1822" s="195">
        <v>240</v>
      </c>
      <c r="G1822" s="197">
        <f>Tabla110[[#This Row],[Importe]]-Tabla110[[#This Row],[Pagado]]</f>
        <v>0</v>
      </c>
      <c r="H1822" s="194" t="s">
        <v>10</v>
      </c>
    </row>
    <row r="1823" spans="1:8" x14ac:dyDescent="0.25">
      <c r="A1823" s="127">
        <v>44819</v>
      </c>
      <c r="B1823" s="128" t="s">
        <v>29904</v>
      </c>
      <c r="C1823" s="194" t="s">
        <v>8685</v>
      </c>
      <c r="D1823" s="195">
        <v>0</v>
      </c>
      <c r="E1823" s="199" t="s">
        <v>189</v>
      </c>
      <c r="F1823" s="195">
        <v>0</v>
      </c>
      <c r="G1823" s="197">
        <f>Tabla110[[#This Row],[Importe]]-Tabla110[[#This Row],[Pagado]]</f>
        <v>0</v>
      </c>
      <c r="H1823" s="200" t="s">
        <v>29905</v>
      </c>
    </row>
    <row r="1824" spans="1:8" x14ac:dyDescent="0.25">
      <c r="A1824" s="127">
        <v>44819</v>
      </c>
      <c r="B1824" s="128" t="s">
        <v>29906</v>
      </c>
      <c r="C1824" s="194" t="s">
        <v>284</v>
      </c>
      <c r="D1824" s="195">
        <v>7695</v>
      </c>
      <c r="E1824" s="196">
        <v>44820</v>
      </c>
      <c r="F1824" s="195">
        <v>7695</v>
      </c>
      <c r="G1824" s="197">
        <f>Tabla110[[#This Row],[Importe]]-Tabla110[[#This Row],[Pagado]]</f>
        <v>0</v>
      </c>
      <c r="H1824" s="194" t="s">
        <v>10</v>
      </c>
    </row>
    <row r="1825" spans="1:8" x14ac:dyDescent="0.25">
      <c r="A1825" s="127">
        <v>44819</v>
      </c>
      <c r="B1825" s="128" t="s">
        <v>29907</v>
      </c>
      <c r="C1825" s="194" t="s">
        <v>282</v>
      </c>
      <c r="D1825" s="195">
        <v>6950</v>
      </c>
      <c r="E1825" s="196">
        <v>44820</v>
      </c>
      <c r="F1825" s="195">
        <v>6950</v>
      </c>
      <c r="G1825" s="197">
        <f>Tabla110[[#This Row],[Importe]]-Tabla110[[#This Row],[Pagado]]</f>
        <v>0</v>
      </c>
      <c r="H1825" s="194" t="s">
        <v>10</v>
      </c>
    </row>
    <row r="1826" spans="1:8" x14ac:dyDescent="0.25">
      <c r="A1826" s="127">
        <v>44819</v>
      </c>
      <c r="B1826" s="128" t="s">
        <v>29908</v>
      </c>
      <c r="C1826" s="194" t="s">
        <v>280</v>
      </c>
      <c r="D1826" s="195">
        <v>1440</v>
      </c>
      <c r="E1826" s="196">
        <v>44820</v>
      </c>
      <c r="F1826" s="195">
        <v>1440</v>
      </c>
      <c r="G1826" s="197">
        <f>Tabla110[[#This Row],[Importe]]-Tabla110[[#This Row],[Pagado]]</f>
        <v>0</v>
      </c>
      <c r="H1826" s="194" t="s">
        <v>10</v>
      </c>
    </row>
    <row r="1827" spans="1:8" x14ac:dyDescent="0.25">
      <c r="A1827" s="127">
        <v>44819</v>
      </c>
      <c r="B1827" s="128" t="s">
        <v>29909</v>
      </c>
      <c r="C1827" s="194" t="s">
        <v>10819</v>
      </c>
      <c r="D1827" s="195">
        <v>1290</v>
      </c>
      <c r="E1827" s="196">
        <v>44820</v>
      </c>
      <c r="F1827" s="195">
        <v>1290</v>
      </c>
      <c r="G1827" s="197">
        <f>Tabla110[[#This Row],[Importe]]-Tabla110[[#This Row],[Pagado]]</f>
        <v>0</v>
      </c>
      <c r="H1827" s="194" t="s">
        <v>10</v>
      </c>
    </row>
    <row r="1828" spans="1:8" x14ac:dyDescent="0.25">
      <c r="A1828" s="127">
        <v>44819</v>
      </c>
      <c r="B1828" s="128" t="s">
        <v>29910</v>
      </c>
      <c r="C1828" s="194" t="s">
        <v>24</v>
      </c>
      <c r="D1828" s="195">
        <v>1998.2</v>
      </c>
      <c r="E1828" s="196">
        <v>44819</v>
      </c>
      <c r="F1828" s="195">
        <v>1998.2</v>
      </c>
      <c r="G1828" s="197">
        <f>Tabla110[[#This Row],[Importe]]-Tabla110[[#This Row],[Pagado]]</f>
        <v>0</v>
      </c>
      <c r="H1828" s="194" t="s">
        <v>10</v>
      </c>
    </row>
    <row r="1829" spans="1:8" x14ac:dyDescent="0.25">
      <c r="A1829" s="127">
        <v>44819</v>
      </c>
      <c r="B1829" s="128" t="s">
        <v>29911</v>
      </c>
      <c r="C1829" s="194" t="s">
        <v>31</v>
      </c>
      <c r="D1829" s="195">
        <v>7257.6</v>
      </c>
      <c r="E1829" s="196">
        <v>44819</v>
      </c>
      <c r="F1829" s="195">
        <v>7257.6</v>
      </c>
      <c r="G1829" s="197">
        <f>Tabla110[[#This Row],[Importe]]-Tabla110[[#This Row],[Pagado]]</f>
        <v>0</v>
      </c>
      <c r="H1829" s="194" t="s">
        <v>10</v>
      </c>
    </row>
    <row r="1830" spans="1:8" x14ac:dyDescent="0.25">
      <c r="A1830" s="127">
        <v>44819</v>
      </c>
      <c r="B1830" s="128" t="s">
        <v>29912</v>
      </c>
      <c r="C1830" s="194" t="s">
        <v>28087</v>
      </c>
      <c r="D1830" s="195">
        <v>98112.92</v>
      </c>
      <c r="E1830" s="196">
        <v>44893</v>
      </c>
      <c r="F1830" s="195">
        <v>98112.92</v>
      </c>
      <c r="G1830" s="197">
        <f>Tabla110[[#This Row],[Importe]]-Tabla110[[#This Row],[Pagado]]</f>
        <v>0</v>
      </c>
      <c r="H1830" s="78" t="s">
        <v>17776</v>
      </c>
    </row>
    <row r="1831" spans="1:8" x14ac:dyDescent="0.25">
      <c r="A1831" s="127">
        <v>44819</v>
      </c>
      <c r="B1831" s="128" t="s">
        <v>29913</v>
      </c>
      <c r="C1831" s="194" t="s">
        <v>10678</v>
      </c>
      <c r="D1831" s="195">
        <v>1891.2</v>
      </c>
      <c r="E1831" s="196">
        <v>44819</v>
      </c>
      <c r="F1831" s="195">
        <v>1891.2</v>
      </c>
      <c r="G1831" s="197">
        <f>Tabla110[[#This Row],[Importe]]-Tabla110[[#This Row],[Pagado]]</f>
        <v>0</v>
      </c>
      <c r="H1831" s="194" t="s">
        <v>10</v>
      </c>
    </row>
    <row r="1832" spans="1:8" x14ac:dyDescent="0.25">
      <c r="A1832" s="127">
        <v>44819</v>
      </c>
      <c r="B1832" s="128" t="s">
        <v>29914</v>
      </c>
      <c r="C1832" s="194" t="s">
        <v>431</v>
      </c>
      <c r="D1832" s="195">
        <v>2977.5</v>
      </c>
      <c r="E1832" s="196">
        <v>44820</v>
      </c>
      <c r="F1832" s="195">
        <v>2977.5</v>
      </c>
      <c r="G1832" s="197">
        <f>Tabla110[[#This Row],[Importe]]-Tabla110[[#This Row],[Pagado]]</f>
        <v>0</v>
      </c>
      <c r="H1832" s="194" t="s">
        <v>10</v>
      </c>
    </row>
    <row r="1833" spans="1:8" x14ac:dyDescent="0.25">
      <c r="A1833" s="127">
        <v>44819</v>
      </c>
      <c r="B1833" s="128" t="s">
        <v>29915</v>
      </c>
      <c r="C1833" s="194" t="s">
        <v>5345</v>
      </c>
      <c r="D1833" s="195">
        <v>1912.5</v>
      </c>
      <c r="E1833" s="196">
        <v>44820</v>
      </c>
      <c r="F1833" s="195">
        <v>1912.5</v>
      </c>
      <c r="G1833" s="197">
        <f>Tabla110[[#This Row],[Importe]]-Tabla110[[#This Row],[Pagado]]</f>
        <v>0</v>
      </c>
      <c r="H1833" s="194" t="s">
        <v>10</v>
      </c>
    </row>
    <row r="1834" spans="1:8" x14ac:dyDescent="0.25">
      <c r="A1834" s="127">
        <v>44819</v>
      </c>
      <c r="B1834" s="128" t="s">
        <v>29916</v>
      </c>
      <c r="C1834" s="194" t="s">
        <v>31</v>
      </c>
      <c r="D1834" s="195">
        <v>229.5</v>
      </c>
      <c r="E1834" s="196">
        <v>44819</v>
      </c>
      <c r="F1834" s="195">
        <v>229.5</v>
      </c>
      <c r="G1834" s="197">
        <f>Tabla110[[#This Row],[Importe]]-Tabla110[[#This Row],[Pagado]]</f>
        <v>0</v>
      </c>
      <c r="H1834" s="194" t="s">
        <v>10</v>
      </c>
    </row>
    <row r="1835" spans="1:8" x14ac:dyDescent="0.25">
      <c r="A1835" s="127">
        <v>44819</v>
      </c>
      <c r="B1835" s="128" t="s">
        <v>29917</v>
      </c>
      <c r="C1835" s="194" t="s">
        <v>5345</v>
      </c>
      <c r="D1835" s="195">
        <v>1575</v>
      </c>
      <c r="E1835" s="196">
        <v>44820</v>
      </c>
      <c r="F1835" s="195">
        <v>1575</v>
      </c>
      <c r="G1835" s="197">
        <f>Tabla110[[#This Row],[Importe]]-Tabla110[[#This Row],[Pagado]]</f>
        <v>0</v>
      </c>
      <c r="H1835" s="194" t="s">
        <v>10</v>
      </c>
    </row>
    <row r="1836" spans="1:8" x14ac:dyDescent="0.25">
      <c r="A1836" s="127">
        <v>44819</v>
      </c>
      <c r="B1836" s="128" t="s">
        <v>29918</v>
      </c>
      <c r="C1836" s="194" t="s">
        <v>2139</v>
      </c>
      <c r="D1836" s="195">
        <v>1351.1</v>
      </c>
      <c r="E1836" s="196">
        <v>44819</v>
      </c>
      <c r="F1836" s="195">
        <v>1351.1</v>
      </c>
      <c r="G1836" s="197">
        <f>Tabla110[[#This Row],[Importe]]-Tabla110[[#This Row],[Pagado]]</f>
        <v>0</v>
      </c>
      <c r="H1836" s="194" t="s">
        <v>10</v>
      </c>
    </row>
    <row r="1837" spans="1:8" x14ac:dyDescent="0.25">
      <c r="A1837" s="127">
        <v>44819</v>
      </c>
      <c r="B1837" s="128" t="s">
        <v>29919</v>
      </c>
      <c r="C1837" s="194" t="s">
        <v>19637</v>
      </c>
      <c r="D1837" s="195">
        <v>8802.7000000000007</v>
      </c>
      <c r="E1837" s="196">
        <v>44837</v>
      </c>
      <c r="F1837" s="195">
        <v>8802.7000000000007</v>
      </c>
      <c r="G1837" s="197">
        <f>Tabla110[[#This Row],[Importe]]-Tabla110[[#This Row],[Pagado]]</f>
        <v>0</v>
      </c>
      <c r="H1837" s="194" t="s">
        <v>10</v>
      </c>
    </row>
    <row r="1838" spans="1:8" x14ac:dyDescent="0.25">
      <c r="A1838" s="127">
        <v>44819</v>
      </c>
      <c r="B1838" s="128" t="s">
        <v>29920</v>
      </c>
      <c r="C1838" s="194" t="s">
        <v>246</v>
      </c>
      <c r="D1838" s="195">
        <v>12096</v>
      </c>
      <c r="E1838" s="196">
        <v>44819</v>
      </c>
      <c r="F1838" s="195">
        <v>12096</v>
      </c>
      <c r="G1838" s="197">
        <f>Tabla110[[#This Row],[Importe]]-Tabla110[[#This Row],[Pagado]]</f>
        <v>0</v>
      </c>
      <c r="H1838" s="194" t="s">
        <v>10</v>
      </c>
    </row>
    <row r="1839" spans="1:8" x14ac:dyDescent="0.25">
      <c r="A1839" s="127">
        <v>44819</v>
      </c>
      <c r="B1839" s="128" t="s">
        <v>29921</v>
      </c>
      <c r="C1839" s="194" t="s">
        <v>400</v>
      </c>
      <c r="D1839" s="195">
        <v>10666.4</v>
      </c>
      <c r="E1839" s="196">
        <v>44826</v>
      </c>
      <c r="F1839" s="195">
        <v>10666.4</v>
      </c>
      <c r="G1839" s="197">
        <f>Tabla110[[#This Row],[Importe]]-Tabla110[[#This Row],[Pagado]]</f>
        <v>0</v>
      </c>
      <c r="H1839" s="194" t="s">
        <v>10</v>
      </c>
    </row>
    <row r="1840" spans="1:8" x14ac:dyDescent="0.25">
      <c r="A1840" s="127">
        <v>44820</v>
      </c>
      <c r="B1840" s="128" t="s">
        <v>29922</v>
      </c>
      <c r="C1840" s="194" t="s">
        <v>83</v>
      </c>
      <c r="D1840" s="195">
        <v>10028</v>
      </c>
      <c r="E1840" s="196">
        <v>44820</v>
      </c>
      <c r="F1840" s="195">
        <v>10028</v>
      </c>
      <c r="G1840" s="197">
        <f>Tabla110[[#This Row],[Importe]]-Tabla110[[#This Row],[Pagado]]</f>
        <v>0</v>
      </c>
      <c r="H1840" s="194" t="s">
        <v>10</v>
      </c>
    </row>
    <row r="1841" spans="1:8" x14ac:dyDescent="0.25">
      <c r="A1841" s="127">
        <v>44820</v>
      </c>
      <c r="B1841" s="128" t="s">
        <v>29923</v>
      </c>
      <c r="C1841" s="194" t="s">
        <v>371</v>
      </c>
      <c r="D1841" s="195">
        <v>52774.2</v>
      </c>
      <c r="E1841" s="196">
        <v>44820</v>
      </c>
      <c r="F1841" s="195">
        <v>52774.2</v>
      </c>
      <c r="G1841" s="197">
        <f>Tabla110[[#This Row],[Importe]]-Tabla110[[#This Row],[Pagado]]</f>
        <v>0</v>
      </c>
      <c r="H1841" s="194" t="s">
        <v>10</v>
      </c>
    </row>
    <row r="1842" spans="1:8" x14ac:dyDescent="0.25">
      <c r="A1842" s="127">
        <v>44820</v>
      </c>
      <c r="B1842" s="128" t="s">
        <v>29924</v>
      </c>
      <c r="C1842" s="194" t="s">
        <v>9415</v>
      </c>
      <c r="D1842" s="195">
        <v>28828.799999999999</v>
      </c>
      <c r="E1842" s="196">
        <v>44823</v>
      </c>
      <c r="F1842" s="195">
        <v>28828.799999999999</v>
      </c>
      <c r="G1842" s="197">
        <f>Tabla110[[#This Row],[Importe]]-Tabla110[[#This Row],[Pagado]]</f>
        <v>0</v>
      </c>
      <c r="H1842" s="194" t="s">
        <v>10</v>
      </c>
    </row>
    <row r="1843" spans="1:8" x14ac:dyDescent="0.25">
      <c r="A1843" s="127">
        <v>44820</v>
      </c>
      <c r="B1843" s="128" t="s">
        <v>29925</v>
      </c>
      <c r="C1843" s="194" t="s">
        <v>37</v>
      </c>
      <c r="D1843" s="195">
        <v>4065.6</v>
      </c>
      <c r="E1843" s="196">
        <v>44820</v>
      </c>
      <c r="F1843" s="195">
        <v>4065.6</v>
      </c>
      <c r="G1843" s="197">
        <f>Tabla110[[#This Row],[Importe]]-Tabla110[[#This Row],[Pagado]]</f>
        <v>0</v>
      </c>
      <c r="H1843" s="194" t="s">
        <v>10</v>
      </c>
    </row>
    <row r="1844" spans="1:8" x14ac:dyDescent="0.25">
      <c r="A1844" s="127">
        <v>44820</v>
      </c>
      <c r="B1844" s="128" t="s">
        <v>29926</v>
      </c>
      <c r="C1844" s="194" t="s">
        <v>9</v>
      </c>
      <c r="D1844" s="195">
        <v>6010.2</v>
      </c>
      <c r="E1844" s="196">
        <v>44820</v>
      </c>
      <c r="F1844" s="195">
        <v>6010.2</v>
      </c>
      <c r="G1844" s="197">
        <f>Tabla110[[#This Row],[Importe]]-Tabla110[[#This Row],[Pagado]]</f>
        <v>0</v>
      </c>
      <c r="H1844" s="194" t="s">
        <v>10</v>
      </c>
    </row>
    <row r="1845" spans="1:8" x14ac:dyDescent="0.25">
      <c r="A1845" s="127">
        <v>44820</v>
      </c>
      <c r="B1845" s="128" t="s">
        <v>29927</v>
      </c>
      <c r="C1845" s="194" t="s">
        <v>15868</v>
      </c>
      <c r="D1845" s="195">
        <v>55129.599999999999</v>
      </c>
      <c r="E1845" s="196">
        <v>44821</v>
      </c>
      <c r="F1845" s="195">
        <v>55129.599999999999</v>
      </c>
      <c r="G1845" s="197">
        <f>Tabla110[[#This Row],[Importe]]-Tabla110[[#This Row],[Pagado]]</f>
        <v>0</v>
      </c>
      <c r="H1845" s="194" t="s">
        <v>10</v>
      </c>
    </row>
    <row r="1846" spans="1:8" x14ac:dyDescent="0.25">
      <c r="A1846" s="127">
        <v>44820</v>
      </c>
      <c r="B1846" s="128" t="s">
        <v>29928</v>
      </c>
      <c r="C1846" s="194" t="s">
        <v>196</v>
      </c>
      <c r="D1846" s="195">
        <v>145559.48000000001</v>
      </c>
      <c r="E1846" s="196">
        <v>44827</v>
      </c>
      <c r="F1846" s="195">
        <v>145559.48000000001</v>
      </c>
      <c r="G1846" s="197">
        <f>Tabla110[[#This Row],[Importe]]-Tabla110[[#This Row],[Pagado]]</f>
        <v>0</v>
      </c>
      <c r="H1846" s="194" t="s">
        <v>10</v>
      </c>
    </row>
    <row r="1847" spans="1:8" x14ac:dyDescent="0.25">
      <c r="A1847" s="127">
        <v>44820</v>
      </c>
      <c r="B1847" s="128" t="s">
        <v>29929</v>
      </c>
      <c r="C1847" s="194" t="s">
        <v>167</v>
      </c>
      <c r="D1847" s="195">
        <v>37843.199999999997</v>
      </c>
      <c r="E1847" s="196">
        <v>44820</v>
      </c>
      <c r="F1847" s="195">
        <v>37843.199999999997</v>
      </c>
      <c r="G1847" s="197">
        <f>Tabla110[[#This Row],[Importe]]-Tabla110[[#This Row],[Pagado]]</f>
        <v>0</v>
      </c>
      <c r="H1847" s="194" t="s">
        <v>10</v>
      </c>
    </row>
    <row r="1848" spans="1:8" x14ac:dyDescent="0.25">
      <c r="A1848" s="127">
        <v>44820</v>
      </c>
      <c r="B1848" s="128" t="s">
        <v>29930</v>
      </c>
      <c r="C1848" s="194" t="s">
        <v>555</v>
      </c>
      <c r="D1848" s="195">
        <v>19500</v>
      </c>
      <c r="E1848" s="196">
        <v>44821</v>
      </c>
      <c r="F1848" s="195">
        <v>19500</v>
      </c>
      <c r="G1848" s="197">
        <f>Tabla110[[#This Row],[Importe]]-Tabla110[[#This Row],[Pagado]]</f>
        <v>0</v>
      </c>
      <c r="H1848" s="194" t="s">
        <v>10</v>
      </c>
    </row>
    <row r="1849" spans="1:8" x14ac:dyDescent="0.25">
      <c r="A1849" s="127">
        <v>44820</v>
      </c>
      <c r="B1849" s="128" t="s">
        <v>29931</v>
      </c>
      <c r="C1849" s="194" t="s">
        <v>29932</v>
      </c>
      <c r="D1849" s="195">
        <v>0</v>
      </c>
      <c r="E1849" s="199" t="s">
        <v>189</v>
      </c>
      <c r="F1849" s="195">
        <v>0</v>
      </c>
      <c r="G1849" s="197">
        <f>Tabla110[[#This Row],[Importe]]-Tabla110[[#This Row],[Pagado]]</f>
        <v>0</v>
      </c>
      <c r="H1849" s="194" t="s">
        <v>189</v>
      </c>
    </row>
    <row r="1850" spans="1:8" x14ac:dyDescent="0.25">
      <c r="A1850" s="127">
        <v>44820</v>
      </c>
      <c r="B1850" s="128" t="s">
        <v>29933</v>
      </c>
      <c r="C1850" s="194" t="s">
        <v>218</v>
      </c>
      <c r="D1850" s="195">
        <v>28432.400000000001</v>
      </c>
      <c r="E1850" s="196">
        <v>44825</v>
      </c>
      <c r="F1850" s="195">
        <v>28432.400000000001</v>
      </c>
      <c r="G1850" s="197">
        <f>Tabla110[[#This Row],[Importe]]-Tabla110[[#This Row],[Pagado]]</f>
        <v>0</v>
      </c>
      <c r="H1850" s="194" t="s">
        <v>10</v>
      </c>
    </row>
    <row r="1851" spans="1:8" x14ac:dyDescent="0.25">
      <c r="A1851" s="127">
        <v>44820</v>
      </c>
      <c r="B1851" s="128" t="s">
        <v>29934</v>
      </c>
      <c r="C1851" s="194" t="s">
        <v>154</v>
      </c>
      <c r="D1851" s="195">
        <v>64277.599999999999</v>
      </c>
      <c r="E1851" s="196">
        <v>44824</v>
      </c>
      <c r="F1851" s="195">
        <v>64277.599999999999</v>
      </c>
      <c r="G1851" s="197">
        <f>Tabla110[[#This Row],[Importe]]-Tabla110[[#This Row],[Pagado]]</f>
        <v>0</v>
      </c>
      <c r="H1851" s="194" t="s">
        <v>10</v>
      </c>
    </row>
    <row r="1852" spans="1:8" x14ac:dyDescent="0.25">
      <c r="A1852" s="127">
        <v>44820</v>
      </c>
      <c r="B1852" s="128" t="s">
        <v>29935</v>
      </c>
      <c r="C1852" s="194" t="s">
        <v>206</v>
      </c>
      <c r="D1852" s="195">
        <v>26272</v>
      </c>
      <c r="E1852" s="196">
        <v>44825</v>
      </c>
      <c r="F1852" s="195">
        <v>26272</v>
      </c>
      <c r="G1852" s="197">
        <f>Tabla110[[#This Row],[Importe]]-Tabla110[[#This Row],[Pagado]]</f>
        <v>0</v>
      </c>
      <c r="H1852" s="194" t="s">
        <v>10</v>
      </c>
    </row>
    <row r="1853" spans="1:8" x14ac:dyDescent="0.25">
      <c r="A1853" s="127">
        <v>44820</v>
      </c>
      <c r="B1853" s="128" t="s">
        <v>29936</v>
      </c>
      <c r="C1853" s="194" t="s">
        <v>45</v>
      </c>
      <c r="D1853" s="195">
        <v>11090.2</v>
      </c>
      <c r="E1853" s="196">
        <v>44820</v>
      </c>
      <c r="F1853" s="195">
        <v>11090.2</v>
      </c>
      <c r="G1853" s="197">
        <f>Tabla110[[#This Row],[Importe]]-Tabla110[[#This Row],[Pagado]]</f>
        <v>0</v>
      </c>
      <c r="H1853" s="194" t="s">
        <v>10</v>
      </c>
    </row>
    <row r="1854" spans="1:8" x14ac:dyDescent="0.25">
      <c r="A1854" s="127">
        <v>44820</v>
      </c>
      <c r="B1854" s="128" t="s">
        <v>29937</v>
      </c>
      <c r="C1854" s="194" t="s">
        <v>87</v>
      </c>
      <c r="D1854" s="195">
        <v>2717</v>
      </c>
      <c r="E1854" s="196">
        <v>44820</v>
      </c>
      <c r="F1854" s="195">
        <v>2717</v>
      </c>
      <c r="G1854" s="197">
        <f>Tabla110[[#This Row],[Importe]]-Tabla110[[#This Row],[Pagado]]</f>
        <v>0</v>
      </c>
      <c r="H1854" s="194" t="s">
        <v>10</v>
      </c>
    </row>
    <row r="1855" spans="1:8" x14ac:dyDescent="0.25">
      <c r="A1855" s="127">
        <v>44820</v>
      </c>
      <c r="B1855" s="128" t="s">
        <v>29938</v>
      </c>
      <c r="C1855" s="194" t="s">
        <v>20</v>
      </c>
      <c r="D1855" s="195">
        <v>2544</v>
      </c>
      <c r="E1855" s="196">
        <v>44820</v>
      </c>
      <c r="F1855" s="195">
        <v>2544</v>
      </c>
      <c r="G1855" s="197">
        <f>Tabla110[[#This Row],[Importe]]-Tabla110[[#This Row],[Pagado]]</f>
        <v>0</v>
      </c>
      <c r="H1855" s="194" t="s">
        <v>10</v>
      </c>
    </row>
    <row r="1856" spans="1:8" x14ac:dyDescent="0.25">
      <c r="A1856" s="127">
        <v>44820</v>
      </c>
      <c r="B1856" s="128" t="s">
        <v>29939</v>
      </c>
      <c r="C1856" s="194" t="s">
        <v>396</v>
      </c>
      <c r="D1856" s="195">
        <v>9056</v>
      </c>
      <c r="E1856" s="196">
        <v>44826</v>
      </c>
      <c r="F1856" s="195">
        <v>9056</v>
      </c>
      <c r="G1856" s="197">
        <f>Tabla110[[#This Row],[Importe]]-Tabla110[[#This Row],[Pagado]]</f>
        <v>0</v>
      </c>
      <c r="H1856" s="194" t="s">
        <v>10</v>
      </c>
    </row>
    <row r="1857" spans="1:8" x14ac:dyDescent="0.25">
      <c r="A1857" s="127">
        <v>44820</v>
      </c>
      <c r="B1857" s="128" t="s">
        <v>29940</v>
      </c>
      <c r="C1857" s="194" t="s">
        <v>16</v>
      </c>
      <c r="D1857" s="195">
        <v>4200</v>
      </c>
      <c r="E1857" s="196">
        <v>44820</v>
      </c>
      <c r="F1857" s="195">
        <v>4200</v>
      </c>
      <c r="G1857" s="197">
        <f>Tabla110[[#This Row],[Importe]]-Tabla110[[#This Row],[Pagado]]</f>
        <v>0</v>
      </c>
      <c r="H1857" s="194" t="s">
        <v>10</v>
      </c>
    </row>
    <row r="1858" spans="1:8" x14ac:dyDescent="0.25">
      <c r="A1858" s="127">
        <v>44820</v>
      </c>
      <c r="B1858" s="128" t="s">
        <v>29941</v>
      </c>
      <c r="C1858" s="194" t="s">
        <v>804</v>
      </c>
      <c r="D1858" s="195">
        <v>15866.5</v>
      </c>
      <c r="E1858" s="196">
        <v>44820</v>
      </c>
      <c r="F1858" s="195">
        <v>15866.5</v>
      </c>
      <c r="G1858" s="197">
        <f>Tabla110[[#This Row],[Importe]]-Tabla110[[#This Row],[Pagado]]</f>
        <v>0</v>
      </c>
      <c r="H1858" s="194" t="s">
        <v>10</v>
      </c>
    </row>
    <row r="1859" spans="1:8" x14ac:dyDescent="0.25">
      <c r="A1859" s="127">
        <v>44820</v>
      </c>
      <c r="B1859" s="128" t="s">
        <v>29942</v>
      </c>
      <c r="C1859" s="194" t="s">
        <v>56</v>
      </c>
      <c r="D1859" s="195">
        <v>10491.9</v>
      </c>
      <c r="E1859" s="196">
        <v>44820</v>
      </c>
      <c r="F1859" s="195">
        <v>10491.9</v>
      </c>
      <c r="G1859" s="197">
        <f>Tabla110[[#This Row],[Importe]]-Tabla110[[#This Row],[Pagado]]</f>
        <v>0</v>
      </c>
      <c r="H1859" s="194" t="s">
        <v>10</v>
      </c>
    </row>
    <row r="1860" spans="1:8" x14ac:dyDescent="0.25">
      <c r="A1860" s="127">
        <v>44820</v>
      </c>
      <c r="B1860" s="128" t="s">
        <v>29943</v>
      </c>
      <c r="C1860" s="194" t="s">
        <v>56</v>
      </c>
      <c r="D1860" s="195">
        <v>740</v>
      </c>
      <c r="E1860" s="196">
        <v>44820</v>
      </c>
      <c r="F1860" s="195">
        <v>740</v>
      </c>
      <c r="G1860" s="197">
        <f>Tabla110[[#This Row],[Importe]]-Tabla110[[#This Row],[Pagado]]</f>
        <v>0</v>
      </c>
      <c r="H1860" s="194" t="s">
        <v>10</v>
      </c>
    </row>
    <row r="1861" spans="1:8" x14ac:dyDescent="0.25">
      <c r="A1861" s="127">
        <v>44820</v>
      </c>
      <c r="B1861" s="128" t="s">
        <v>29944</v>
      </c>
      <c r="C1861" s="194" t="s">
        <v>31</v>
      </c>
      <c r="D1861" s="195">
        <v>2623.6</v>
      </c>
      <c r="E1861" s="196">
        <v>44820</v>
      </c>
      <c r="F1861" s="195">
        <v>2623.6</v>
      </c>
      <c r="G1861" s="197">
        <f>Tabla110[[#This Row],[Importe]]-Tabla110[[#This Row],[Pagado]]</f>
        <v>0</v>
      </c>
      <c r="H1861" s="194" t="s">
        <v>10</v>
      </c>
    </row>
    <row r="1862" spans="1:8" x14ac:dyDescent="0.25">
      <c r="A1862" s="127">
        <v>44820</v>
      </c>
      <c r="B1862" s="128" t="s">
        <v>29945</v>
      </c>
      <c r="C1862" s="194" t="s">
        <v>79</v>
      </c>
      <c r="D1862" s="195">
        <v>18465</v>
      </c>
      <c r="E1862" s="196">
        <v>44820</v>
      </c>
      <c r="F1862" s="195">
        <v>18465</v>
      </c>
      <c r="G1862" s="197">
        <f>Tabla110[[#This Row],[Importe]]-Tabla110[[#This Row],[Pagado]]</f>
        <v>0</v>
      </c>
      <c r="H1862" s="194" t="s">
        <v>10</v>
      </c>
    </row>
    <row r="1863" spans="1:8" x14ac:dyDescent="0.25">
      <c r="A1863" s="127">
        <v>44820</v>
      </c>
      <c r="B1863" s="128" t="s">
        <v>29946</v>
      </c>
      <c r="C1863" s="194" t="s">
        <v>31</v>
      </c>
      <c r="D1863" s="195">
        <v>8809.4</v>
      </c>
      <c r="E1863" s="196">
        <v>44820</v>
      </c>
      <c r="F1863" s="195">
        <v>8809.4</v>
      </c>
      <c r="G1863" s="197">
        <f>Tabla110[[#This Row],[Importe]]-Tabla110[[#This Row],[Pagado]]</f>
        <v>0</v>
      </c>
      <c r="H1863" s="194" t="s">
        <v>10</v>
      </c>
    </row>
    <row r="1864" spans="1:8" x14ac:dyDescent="0.25">
      <c r="A1864" s="127">
        <v>44820</v>
      </c>
      <c r="B1864" s="128" t="s">
        <v>29947</v>
      </c>
      <c r="C1864" s="194" t="s">
        <v>314</v>
      </c>
      <c r="D1864" s="195">
        <v>4170</v>
      </c>
      <c r="E1864" s="196">
        <v>44820</v>
      </c>
      <c r="F1864" s="195">
        <v>4170</v>
      </c>
      <c r="G1864" s="197">
        <f>Tabla110[[#This Row],[Importe]]-Tabla110[[#This Row],[Pagado]]</f>
        <v>0</v>
      </c>
      <c r="H1864" s="194" t="s">
        <v>10</v>
      </c>
    </row>
    <row r="1865" spans="1:8" x14ac:dyDescent="0.25">
      <c r="A1865" s="127">
        <v>44820</v>
      </c>
      <c r="B1865" s="128" t="s">
        <v>29948</v>
      </c>
      <c r="C1865" s="194" t="s">
        <v>31</v>
      </c>
      <c r="D1865" s="195">
        <v>2140.5</v>
      </c>
      <c r="E1865" s="196">
        <v>44820</v>
      </c>
      <c r="F1865" s="195">
        <v>2140.5</v>
      </c>
      <c r="G1865" s="197">
        <f>Tabla110[[#This Row],[Importe]]-Tabla110[[#This Row],[Pagado]]</f>
        <v>0</v>
      </c>
      <c r="H1865" s="194" t="s">
        <v>10</v>
      </c>
    </row>
    <row r="1866" spans="1:8" x14ac:dyDescent="0.25">
      <c r="A1866" s="127">
        <v>44820</v>
      </c>
      <c r="B1866" s="128" t="s">
        <v>29949</v>
      </c>
      <c r="C1866" s="194" t="s">
        <v>365</v>
      </c>
      <c r="D1866" s="195">
        <v>2319.6</v>
      </c>
      <c r="E1866" s="196">
        <v>44820</v>
      </c>
      <c r="F1866" s="195">
        <v>2319.6</v>
      </c>
      <c r="G1866" s="197">
        <f>Tabla110[[#This Row],[Importe]]-Tabla110[[#This Row],[Pagado]]</f>
        <v>0</v>
      </c>
      <c r="H1866" s="194" t="s">
        <v>10</v>
      </c>
    </row>
    <row r="1867" spans="1:8" x14ac:dyDescent="0.25">
      <c r="A1867" s="127">
        <v>44820</v>
      </c>
      <c r="B1867" s="128" t="s">
        <v>29950</v>
      </c>
      <c r="C1867" s="194" t="s">
        <v>29951</v>
      </c>
      <c r="D1867" s="195">
        <v>0</v>
      </c>
      <c r="E1867" s="199" t="s">
        <v>189</v>
      </c>
      <c r="F1867" s="195">
        <v>0</v>
      </c>
      <c r="G1867" s="197">
        <f>Tabla110[[#This Row],[Importe]]-Tabla110[[#This Row],[Pagado]]</f>
        <v>0</v>
      </c>
      <c r="H1867" s="194" t="s">
        <v>189</v>
      </c>
    </row>
    <row r="1868" spans="1:8" x14ac:dyDescent="0.25">
      <c r="A1868" s="127">
        <v>44820</v>
      </c>
      <c r="B1868" s="128" t="s">
        <v>29952</v>
      </c>
      <c r="C1868" s="194" t="s">
        <v>49</v>
      </c>
      <c r="D1868" s="195">
        <v>4373.7</v>
      </c>
      <c r="E1868" s="196">
        <v>44820</v>
      </c>
      <c r="F1868" s="195">
        <v>4373.7</v>
      </c>
      <c r="G1868" s="197">
        <f>Tabla110[[#This Row],[Importe]]-Tabla110[[#This Row],[Pagado]]</f>
        <v>0</v>
      </c>
      <c r="H1868" s="194" t="s">
        <v>10</v>
      </c>
    </row>
    <row r="1869" spans="1:8" x14ac:dyDescent="0.25">
      <c r="A1869" s="127">
        <v>44820</v>
      </c>
      <c r="B1869" s="128" t="s">
        <v>29953</v>
      </c>
      <c r="C1869" s="194" t="s">
        <v>35</v>
      </c>
      <c r="D1869" s="195">
        <v>1374</v>
      </c>
      <c r="E1869" s="196">
        <v>44820</v>
      </c>
      <c r="F1869" s="195">
        <v>1374</v>
      </c>
      <c r="G1869" s="197">
        <f>Tabla110[[#This Row],[Importe]]-Tabla110[[#This Row],[Pagado]]</f>
        <v>0</v>
      </c>
      <c r="H1869" s="194" t="s">
        <v>10</v>
      </c>
    </row>
    <row r="1870" spans="1:8" x14ac:dyDescent="0.25">
      <c r="A1870" s="127">
        <v>44820</v>
      </c>
      <c r="B1870" s="128" t="s">
        <v>29954</v>
      </c>
      <c r="C1870" s="194" t="s">
        <v>173</v>
      </c>
      <c r="D1870" s="195">
        <v>18022.400000000001</v>
      </c>
      <c r="E1870" s="196">
        <v>44821</v>
      </c>
      <c r="F1870" s="195">
        <v>18022.400000000001</v>
      </c>
      <c r="G1870" s="197">
        <f>Tabla110[[#This Row],[Importe]]-Tabla110[[#This Row],[Pagado]]</f>
        <v>0</v>
      </c>
      <c r="H1870" s="194" t="s">
        <v>10</v>
      </c>
    </row>
    <row r="1871" spans="1:8" x14ac:dyDescent="0.25">
      <c r="A1871" s="127">
        <v>44820</v>
      </c>
      <c r="B1871" s="128" t="s">
        <v>29955</v>
      </c>
      <c r="C1871" s="194" t="s">
        <v>212</v>
      </c>
      <c r="D1871" s="195">
        <v>102512.4</v>
      </c>
      <c r="E1871" s="196">
        <v>44824</v>
      </c>
      <c r="F1871" s="195">
        <v>102512.4</v>
      </c>
      <c r="G1871" s="197">
        <f>Tabla110[[#This Row],[Importe]]-Tabla110[[#This Row],[Pagado]]</f>
        <v>0</v>
      </c>
      <c r="H1871" s="194" t="s">
        <v>10</v>
      </c>
    </row>
    <row r="1872" spans="1:8" x14ac:dyDescent="0.25">
      <c r="A1872" s="127">
        <v>44820</v>
      </c>
      <c r="B1872" s="128" t="s">
        <v>29956</v>
      </c>
      <c r="C1872" s="194" t="s">
        <v>29</v>
      </c>
      <c r="D1872" s="195">
        <v>6330</v>
      </c>
      <c r="E1872" s="196">
        <v>44820</v>
      </c>
      <c r="F1872" s="195">
        <v>6330</v>
      </c>
      <c r="G1872" s="197">
        <f>Tabla110[[#This Row],[Importe]]-Tabla110[[#This Row],[Pagado]]</f>
        <v>0</v>
      </c>
      <c r="H1872" s="194" t="s">
        <v>10</v>
      </c>
    </row>
    <row r="1873" spans="1:8" x14ac:dyDescent="0.25">
      <c r="A1873" s="127">
        <v>44820</v>
      </c>
      <c r="B1873" s="128" t="s">
        <v>29957</v>
      </c>
      <c r="C1873" s="194" t="s">
        <v>233</v>
      </c>
      <c r="D1873" s="195">
        <v>6368.8</v>
      </c>
      <c r="E1873" s="196">
        <v>44820</v>
      </c>
      <c r="F1873" s="195">
        <v>6368.8</v>
      </c>
      <c r="G1873" s="197">
        <f>Tabla110[[#This Row],[Importe]]-Tabla110[[#This Row],[Pagado]]</f>
        <v>0</v>
      </c>
      <c r="H1873" s="194" t="s">
        <v>10</v>
      </c>
    </row>
    <row r="1874" spans="1:8" x14ac:dyDescent="0.25">
      <c r="A1874" s="127">
        <v>44820</v>
      </c>
      <c r="B1874" s="128" t="s">
        <v>29958</v>
      </c>
      <c r="C1874" s="194" t="s">
        <v>29951</v>
      </c>
      <c r="D1874" s="195">
        <v>0</v>
      </c>
      <c r="E1874" s="199" t="s">
        <v>189</v>
      </c>
      <c r="F1874" s="195">
        <v>0</v>
      </c>
      <c r="G1874" s="197">
        <f>Tabla110[[#This Row],[Importe]]-Tabla110[[#This Row],[Pagado]]</f>
        <v>0</v>
      </c>
      <c r="H1874" s="194" t="s">
        <v>189</v>
      </c>
    </row>
    <row r="1875" spans="1:8" x14ac:dyDescent="0.25">
      <c r="A1875" s="127">
        <v>44820</v>
      </c>
      <c r="B1875" s="128" t="s">
        <v>29959</v>
      </c>
      <c r="C1875" s="194" t="s">
        <v>29960</v>
      </c>
      <c r="D1875" s="195">
        <v>0</v>
      </c>
      <c r="E1875" s="199" t="s">
        <v>189</v>
      </c>
      <c r="F1875" s="195">
        <v>0</v>
      </c>
      <c r="G1875" s="197">
        <f>Tabla110[[#This Row],[Importe]]-Tabla110[[#This Row],[Pagado]]</f>
        <v>0</v>
      </c>
      <c r="H1875" s="200" t="s">
        <v>29961</v>
      </c>
    </row>
    <row r="1876" spans="1:8" x14ac:dyDescent="0.25">
      <c r="A1876" s="127">
        <v>44820</v>
      </c>
      <c r="B1876" s="128" t="s">
        <v>29962</v>
      </c>
      <c r="C1876" s="194" t="s">
        <v>815</v>
      </c>
      <c r="D1876" s="195">
        <v>6462.5</v>
      </c>
      <c r="E1876" s="196">
        <v>44820</v>
      </c>
      <c r="F1876" s="195">
        <v>6462.5</v>
      </c>
      <c r="G1876" s="197">
        <f>Tabla110[[#This Row],[Importe]]-Tabla110[[#This Row],[Pagado]]</f>
        <v>0</v>
      </c>
      <c r="H1876" s="194" t="s">
        <v>10</v>
      </c>
    </row>
    <row r="1877" spans="1:8" x14ac:dyDescent="0.25">
      <c r="A1877" s="127">
        <v>44820</v>
      </c>
      <c r="B1877" s="128" t="s">
        <v>29963</v>
      </c>
      <c r="C1877" s="194" t="s">
        <v>28087</v>
      </c>
      <c r="D1877" s="195">
        <v>19144.41</v>
      </c>
      <c r="E1877" s="196">
        <v>44893</v>
      </c>
      <c r="F1877" s="195">
        <v>19144.41</v>
      </c>
      <c r="G1877" s="197">
        <f>Tabla110[[#This Row],[Importe]]-Tabla110[[#This Row],[Pagado]]</f>
        <v>0</v>
      </c>
      <c r="H1877" s="78" t="s">
        <v>17776</v>
      </c>
    </row>
    <row r="1878" spans="1:8" x14ac:dyDescent="0.25">
      <c r="A1878" s="127">
        <v>44820</v>
      </c>
      <c r="B1878" s="128" t="s">
        <v>29964</v>
      </c>
      <c r="C1878" s="194" t="s">
        <v>133</v>
      </c>
      <c r="D1878" s="195">
        <v>28336</v>
      </c>
      <c r="E1878" s="196">
        <v>44821</v>
      </c>
      <c r="F1878" s="195">
        <v>28336</v>
      </c>
      <c r="G1878" s="197">
        <f>Tabla110[[#This Row],[Importe]]-Tabla110[[#This Row],[Pagado]]</f>
        <v>0</v>
      </c>
      <c r="H1878" s="194" t="s">
        <v>10</v>
      </c>
    </row>
    <row r="1879" spans="1:8" x14ac:dyDescent="0.25">
      <c r="A1879" s="127">
        <v>44820</v>
      </c>
      <c r="B1879" s="128" t="s">
        <v>29965</v>
      </c>
      <c r="C1879" s="194" t="s">
        <v>1644</v>
      </c>
      <c r="D1879" s="195">
        <v>15515.5</v>
      </c>
      <c r="E1879" s="196">
        <v>44821</v>
      </c>
      <c r="F1879" s="195">
        <v>15515.5</v>
      </c>
      <c r="G1879" s="197">
        <f>Tabla110[[#This Row],[Importe]]-Tabla110[[#This Row],[Pagado]]</f>
        <v>0</v>
      </c>
      <c r="H1879" s="194" t="s">
        <v>10</v>
      </c>
    </row>
    <row r="1880" spans="1:8" x14ac:dyDescent="0.25">
      <c r="A1880" s="127">
        <v>44820</v>
      </c>
      <c r="B1880" s="128" t="s">
        <v>29966</v>
      </c>
      <c r="C1880" s="194" t="s">
        <v>1378</v>
      </c>
      <c r="D1880" s="195">
        <v>38623.199999999997</v>
      </c>
      <c r="E1880" s="196">
        <v>44821</v>
      </c>
      <c r="F1880" s="195">
        <v>38623.199999999997</v>
      </c>
      <c r="G1880" s="197">
        <f>Tabla110[[#This Row],[Importe]]-Tabla110[[#This Row],[Pagado]]</f>
        <v>0</v>
      </c>
      <c r="H1880" s="194" t="s">
        <v>10</v>
      </c>
    </row>
    <row r="1881" spans="1:8" x14ac:dyDescent="0.25">
      <c r="A1881" s="127">
        <v>44820</v>
      </c>
      <c r="B1881" s="128" t="s">
        <v>29967</v>
      </c>
      <c r="C1881" s="194" t="s">
        <v>191</v>
      </c>
      <c r="D1881" s="195">
        <v>1794</v>
      </c>
      <c r="E1881" s="196">
        <v>44820</v>
      </c>
      <c r="F1881" s="195">
        <v>1794</v>
      </c>
      <c r="G1881" s="197">
        <f>Tabla110[[#This Row],[Importe]]-Tabla110[[#This Row],[Pagado]]</f>
        <v>0</v>
      </c>
      <c r="H1881" s="194" t="s">
        <v>10</v>
      </c>
    </row>
    <row r="1882" spans="1:8" x14ac:dyDescent="0.25">
      <c r="A1882" s="127">
        <v>44820</v>
      </c>
      <c r="B1882" s="128" t="s">
        <v>29968</v>
      </c>
      <c r="C1882" s="194" t="s">
        <v>359</v>
      </c>
      <c r="D1882" s="195">
        <v>1915.2</v>
      </c>
      <c r="E1882" s="196">
        <v>44820</v>
      </c>
      <c r="F1882" s="195">
        <v>1915.2</v>
      </c>
      <c r="G1882" s="197">
        <f>Tabla110[[#This Row],[Importe]]-Tabla110[[#This Row],[Pagado]]</f>
        <v>0</v>
      </c>
      <c r="H1882" s="194" t="s">
        <v>10</v>
      </c>
    </row>
    <row r="1883" spans="1:8" x14ac:dyDescent="0.25">
      <c r="A1883" s="127">
        <v>44820</v>
      </c>
      <c r="B1883" s="128" t="s">
        <v>29969</v>
      </c>
      <c r="C1883" s="194" t="s">
        <v>175</v>
      </c>
      <c r="D1883" s="195">
        <v>18416</v>
      </c>
      <c r="E1883" s="196">
        <v>44820</v>
      </c>
      <c r="F1883" s="195">
        <v>18416</v>
      </c>
      <c r="G1883" s="197">
        <f>Tabla110[[#This Row],[Importe]]-Tabla110[[#This Row],[Pagado]]</f>
        <v>0</v>
      </c>
      <c r="H1883" s="194" t="s">
        <v>10</v>
      </c>
    </row>
    <row r="1884" spans="1:8" x14ac:dyDescent="0.25">
      <c r="A1884" s="127">
        <v>44820</v>
      </c>
      <c r="B1884" s="128" t="s">
        <v>29970</v>
      </c>
      <c r="C1884" s="194" t="s">
        <v>51</v>
      </c>
      <c r="D1884" s="195">
        <v>4989.2</v>
      </c>
      <c r="E1884" s="196">
        <v>44820</v>
      </c>
      <c r="F1884" s="195">
        <v>4989.2</v>
      </c>
      <c r="G1884" s="197">
        <f>Tabla110[[#This Row],[Importe]]-Tabla110[[#This Row],[Pagado]]</f>
        <v>0</v>
      </c>
      <c r="H1884" s="194" t="s">
        <v>10</v>
      </c>
    </row>
    <row r="1885" spans="1:8" x14ac:dyDescent="0.25">
      <c r="A1885" s="127">
        <v>44820</v>
      </c>
      <c r="B1885" s="128" t="s">
        <v>29971</v>
      </c>
      <c r="C1885" s="194" t="s">
        <v>592</v>
      </c>
      <c r="D1885" s="195">
        <v>15118.9</v>
      </c>
      <c r="E1885" s="196">
        <v>44821</v>
      </c>
      <c r="F1885" s="195">
        <v>15118.9</v>
      </c>
      <c r="G1885" s="197">
        <f>Tabla110[[#This Row],[Importe]]-Tabla110[[#This Row],[Pagado]]</f>
        <v>0</v>
      </c>
      <c r="H1885" s="194" t="s">
        <v>10</v>
      </c>
    </row>
    <row r="1886" spans="1:8" x14ac:dyDescent="0.25">
      <c r="A1886" s="127">
        <v>44820</v>
      </c>
      <c r="B1886" s="128" t="s">
        <v>29972</v>
      </c>
      <c r="C1886" s="194" t="s">
        <v>142</v>
      </c>
      <c r="D1886" s="195">
        <v>71394.820000000007</v>
      </c>
      <c r="E1886" s="196">
        <v>44851</v>
      </c>
      <c r="F1886" s="195">
        <v>71394.820000000007</v>
      </c>
      <c r="G1886" s="197">
        <f>Tabla110[[#This Row],[Importe]]-Tabla110[[#This Row],[Pagado]]</f>
        <v>0</v>
      </c>
      <c r="H1886" s="194" t="s">
        <v>10</v>
      </c>
    </row>
    <row r="1887" spans="1:8" x14ac:dyDescent="0.25">
      <c r="A1887" s="127">
        <v>44820</v>
      </c>
      <c r="B1887" s="128" t="s">
        <v>29973</v>
      </c>
      <c r="C1887" s="194" t="s">
        <v>849</v>
      </c>
      <c r="D1887" s="195">
        <v>5660.8</v>
      </c>
      <c r="E1887" s="196">
        <v>44820</v>
      </c>
      <c r="F1887" s="195">
        <v>5660.8</v>
      </c>
      <c r="G1887" s="197">
        <f>Tabla110[[#This Row],[Importe]]-Tabla110[[#This Row],[Pagado]]</f>
        <v>0</v>
      </c>
      <c r="H1887" s="194" t="s">
        <v>10</v>
      </c>
    </row>
    <row r="1888" spans="1:8" x14ac:dyDescent="0.25">
      <c r="A1888" s="127">
        <v>44820</v>
      </c>
      <c r="B1888" s="128" t="s">
        <v>29974</v>
      </c>
      <c r="C1888" s="194" t="s">
        <v>541</v>
      </c>
      <c r="D1888" s="195">
        <v>45189</v>
      </c>
      <c r="E1888" s="196">
        <v>44821</v>
      </c>
      <c r="F1888" s="195">
        <v>45189</v>
      </c>
      <c r="G1888" s="197">
        <f>Tabla110[[#This Row],[Importe]]-Tabla110[[#This Row],[Pagado]]</f>
        <v>0</v>
      </c>
      <c r="H1888" s="194" t="s">
        <v>10</v>
      </c>
    </row>
    <row r="1889" spans="1:8" x14ac:dyDescent="0.25">
      <c r="A1889" s="127">
        <v>44820</v>
      </c>
      <c r="B1889" s="128" t="s">
        <v>29975</v>
      </c>
      <c r="C1889" s="194" t="s">
        <v>200</v>
      </c>
      <c r="D1889" s="195">
        <v>1560</v>
      </c>
      <c r="E1889" s="196">
        <v>44820</v>
      </c>
      <c r="F1889" s="195">
        <v>1560</v>
      </c>
      <c r="G1889" s="197">
        <f>Tabla110[[#This Row],[Importe]]-Tabla110[[#This Row],[Pagado]]</f>
        <v>0</v>
      </c>
      <c r="H1889" s="194" t="s">
        <v>10</v>
      </c>
    </row>
    <row r="1890" spans="1:8" x14ac:dyDescent="0.25">
      <c r="A1890" s="127">
        <v>44820</v>
      </c>
      <c r="B1890" s="128" t="s">
        <v>29976</v>
      </c>
      <c r="C1890" s="194" t="s">
        <v>142</v>
      </c>
      <c r="D1890" s="195">
        <v>7659</v>
      </c>
      <c r="E1890" s="196">
        <v>44851</v>
      </c>
      <c r="F1890" s="195">
        <v>7659</v>
      </c>
      <c r="G1890" s="197">
        <f>Tabla110[[#This Row],[Importe]]-Tabla110[[#This Row],[Pagado]]</f>
        <v>0</v>
      </c>
      <c r="H1890" s="194" t="s">
        <v>10</v>
      </c>
    </row>
    <row r="1891" spans="1:8" x14ac:dyDescent="0.25">
      <c r="A1891" s="127">
        <v>44820</v>
      </c>
      <c r="B1891" s="128" t="s">
        <v>29977</v>
      </c>
      <c r="C1891" s="194" t="s">
        <v>75</v>
      </c>
      <c r="D1891" s="195">
        <v>7882.5</v>
      </c>
      <c r="E1891" s="196">
        <v>44820</v>
      </c>
      <c r="F1891" s="195">
        <v>7882.5</v>
      </c>
      <c r="G1891" s="197">
        <f>Tabla110[[#This Row],[Importe]]-Tabla110[[#This Row],[Pagado]]</f>
        <v>0</v>
      </c>
      <c r="H1891" s="194" t="s">
        <v>10</v>
      </c>
    </row>
    <row r="1892" spans="1:8" x14ac:dyDescent="0.25">
      <c r="A1892" s="127">
        <v>44820</v>
      </c>
      <c r="B1892" s="128" t="s">
        <v>29978</v>
      </c>
      <c r="C1892" s="194" t="s">
        <v>31</v>
      </c>
      <c r="D1892" s="195">
        <v>1200</v>
      </c>
      <c r="E1892" s="196">
        <v>44820</v>
      </c>
      <c r="F1892" s="195">
        <v>1200</v>
      </c>
      <c r="G1892" s="197">
        <f>Tabla110[[#This Row],[Importe]]-Tabla110[[#This Row],[Pagado]]</f>
        <v>0</v>
      </c>
      <c r="H1892" s="194" t="s">
        <v>10</v>
      </c>
    </row>
    <row r="1893" spans="1:8" x14ac:dyDescent="0.25">
      <c r="A1893" s="127">
        <v>44820</v>
      </c>
      <c r="B1893" s="128" t="s">
        <v>29979</v>
      </c>
      <c r="C1893" s="194" t="s">
        <v>173</v>
      </c>
      <c r="D1893" s="195">
        <v>35790</v>
      </c>
      <c r="E1893" s="196">
        <v>44821</v>
      </c>
      <c r="F1893" s="195">
        <v>35790</v>
      </c>
      <c r="G1893" s="197">
        <f>Tabla110[[#This Row],[Importe]]-Tabla110[[#This Row],[Pagado]]</f>
        <v>0</v>
      </c>
      <c r="H1893" s="194" t="s">
        <v>10</v>
      </c>
    </row>
    <row r="1894" spans="1:8" x14ac:dyDescent="0.25">
      <c r="A1894" s="127">
        <v>44820</v>
      </c>
      <c r="B1894" s="128" t="s">
        <v>29980</v>
      </c>
      <c r="C1894" s="194" t="s">
        <v>289</v>
      </c>
      <c r="D1894" s="195">
        <v>13832</v>
      </c>
      <c r="E1894" s="196">
        <v>44820</v>
      </c>
      <c r="F1894" s="195">
        <v>13832</v>
      </c>
      <c r="G1894" s="197">
        <f>Tabla110[[#This Row],[Importe]]-Tabla110[[#This Row],[Pagado]]</f>
        <v>0</v>
      </c>
      <c r="H1894" s="194" t="s">
        <v>10</v>
      </c>
    </row>
    <row r="1895" spans="1:8" x14ac:dyDescent="0.25">
      <c r="A1895" s="127">
        <v>44820</v>
      </c>
      <c r="B1895" s="128" t="s">
        <v>29981</v>
      </c>
      <c r="C1895" s="194" t="s">
        <v>29951</v>
      </c>
      <c r="D1895" s="195">
        <v>0</v>
      </c>
      <c r="E1895" s="199" t="s">
        <v>189</v>
      </c>
      <c r="F1895" s="195">
        <v>0</v>
      </c>
      <c r="G1895" s="197">
        <f>Tabla110[[#This Row],[Importe]]-Tabla110[[#This Row],[Pagado]]</f>
        <v>0</v>
      </c>
      <c r="H1895" s="194" t="s">
        <v>189</v>
      </c>
    </row>
    <row r="1896" spans="1:8" x14ac:dyDescent="0.25">
      <c r="A1896" s="127">
        <v>44820</v>
      </c>
      <c r="B1896" s="128" t="s">
        <v>29982</v>
      </c>
      <c r="C1896" s="194" t="s">
        <v>214</v>
      </c>
      <c r="D1896" s="195">
        <v>1680</v>
      </c>
      <c r="E1896" s="196">
        <v>44820</v>
      </c>
      <c r="F1896" s="195">
        <v>1680</v>
      </c>
      <c r="G1896" s="197">
        <f>Tabla110[[#This Row],[Importe]]-Tabla110[[#This Row],[Pagado]]</f>
        <v>0</v>
      </c>
      <c r="H1896" s="194" t="s">
        <v>10</v>
      </c>
    </row>
    <row r="1897" spans="1:8" x14ac:dyDescent="0.25">
      <c r="A1897" s="127">
        <v>44820</v>
      </c>
      <c r="B1897" s="128" t="s">
        <v>29983</v>
      </c>
      <c r="C1897" s="194" t="s">
        <v>28087</v>
      </c>
      <c r="D1897" s="195">
        <v>134388.25</v>
      </c>
      <c r="E1897" s="196">
        <v>40875</v>
      </c>
      <c r="F1897" s="195">
        <v>134388.25</v>
      </c>
      <c r="G1897" s="197">
        <f>Tabla110[[#This Row],[Importe]]-Tabla110[[#This Row],[Pagado]]</f>
        <v>0</v>
      </c>
      <c r="H1897" s="78" t="s">
        <v>17776</v>
      </c>
    </row>
    <row r="1898" spans="1:8" x14ac:dyDescent="0.25">
      <c r="A1898" s="127">
        <v>44820</v>
      </c>
      <c r="B1898" s="128" t="s">
        <v>29984</v>
      </c>
      <c r="C1898" s="194" t="s">
        <v>97</v>
      </c>
      <c r="D1898" s="195">
        <v>4560</v>
      </c>
      <c r="E1898" s="196">
        <v>44820</v>
      </c>
      <c r="F1898" s="195">
        <v>4560</v>
      </c>
      <c r="G1898" s="197">
        <f>Tabla110[[#This Row],[Importe]]-Tabla110[[#This Row],[Pagado]]</f>
        <v>0</v>
      </c>
      <c r="H1898" s="194" t="s">
        <v>10</v>
      </c>
    </row>
    <row r="1899" spans="1:8" x14ac:dyDescent="0.25">
      <c r="A1899" s="127">
        <v>44820</v>
      </c>
      <c r="B1899" s="128" t="s">
        <v>29985</v>
      </c>
      <c r="C1899" s="194" t="s">
        <v>31</v>
      </c>
      <c r="D1899" s="195">
        <v>510</v>
      </c>
      <c r="E1899" s="196">
        <v>44820</v>
      </c>
      <c r="F1899" s="195">
        <v>510</v>
      </c>
      <c r="G1899" s="197">
        <f>Tabla110[[#This Row],[Importe]]-Tabla110[[#This Row],[Pagado]]</f>
        <v>0</v>
      </c>
      <c r="H1899" s="194" t="s">
        <v>10</v>
      </c>
    </row>
    <row r="1900" spans="1:8" x14ac:dyDescent="0.25">
      <c r="A1900" s="127">
        <v>44820</v>
      </c>
      <c r="B1900" s="128" t="s">
        <v>29986</v>
      </c>
      <c r="C1900" s="194" t="s">
        <v>31</v>
      </c>
      <c r="D1900" s="195">
        <v>561</v>
      </c>
      <c r="E1900" s="196">
        <v>44820</v>
      </c>
      <c r="F1900" s="195">
        <v>561</v>
      </c>
      <c r="G1900" s="197">
        <f>Tabla110[[#This Row],[Importe]]-Tabla110[[#This Row],[Pagado]]</f>
        <v>0</v>
      </c>
      <c r="H1900" s="194" t="s">
        <v>10</v>
      </c>
    </row>
    <row r="1901" spans="1:8" x14ac:dyDescent="0.25">
      <c r="A1901" s="127">
        <v>44820</v>
      </c>
      <c r="B1901" s="128" t="s">
        <v>29987</v>
      </c>
      <c r="C1901" s="194" t="s">
        <v>284</v>
      </c>
      <c r="D1901" s="195">
        <v>11370</v>
      </c>
      <c r="E1901" s="196">
        <v>44821</v>
      </c>
      <c r="F1901" s="195">
        <v>11370</v>
      </c>
      <c r="G1901" s="197">
        <f>Tabla110[[#This Row],[Importe]]-Tabla110[[#This Row],[Pagado]]</f>
        <v>0</v>
      </c>
      <c r="H1901" s="194" t="s">
        <v>10</v>
      </c>
    </row>
    <row r="1902" spans="1:8" x14ac:dyDescent="0.25">
      <c r="A1902" s="127">
        <v>44820</v>
      </c>
      <c r="B1902" s="128" t="s">
        <v>29988</v>
      </c>
      <c r="C1902" s="194" t="s">
        <v>431</v>
      </c>
      <c r="D1902" s="195">
        <v>1860</v>
      </c>
      <c r="E1902" s="196">
        <v>44821</v>
      </c>
      <c r="F1902" s="195">
        <v>1860</v>
      </c>
      <c r="G1902" s="197">
        <f>Tabla110[[#This Row],[Importe]]-Tabla110[[#This Row],[Pagado]]</f>
        <v>0</v>
      </c>
      <c r="H1902" s="194" t="s">
        <v>10</v>
      </c>
    </row>
    <row r="1903" spans="1:8" x14ac:dyDescent="0.25">
      <c r="A1903" s="127">
        <v>44820</v>
      </c>
      <c r="B1903" s="128" t="s">
        <v>29989</v>
      </c>
      <c r="C1903" s="194" t="s">
        <v>280</v>
      </c>
      <c r="D1903" s="195">
        <v>2475</v>
      </c>
      <c r="E1903" s="196">
        <v>44821</v>
      </c>
      <c r="F1903" s="195">
        <v>2475</v>
      </c>
      <c r="G1903" s="197">
        <f>Tabla110[[#This Row],[Importe]]-Tabla110[[#This Row],[Pagado]]</f>
        <v>0</v>
      </c>
      <c r="H1903" s="194" t="s">
        <v>10</v>
      </c>
    </row>
    <row r="1904" spans="1:8" x14ac:dyDescent="0.25">
      <c r="A1904" s="127">
        <v>44820</v>
      </c>
      <c r="B1904" s="128" t="s">
        <v>29990</v>
      </c>
      <c r="C1904" s="194" t="s">
        <v>5345</v>
      </c>
      <c r="D1904" s="195">
        <v>1875</v>
      </c>
      <c r="E1904" s="196">
        <v>44821</v>
      </c>
      <c r="F1904" s="195">
        <v>1875</v>
      </c>
      <c r="G1904" s="197">
        <f>Tabla110[[#This Row],[Importe]]-Tabla110[[#This Row],[Pagado]]</f>
        <v>0</v>
      </c>
      <c r="H1904" s="194" t="s">
        <v>10</v>
      </c>
    </row>
    <row r="1905" spans="1:8" x14ac:dyDescent="0.25">
      <c r="A1905" s="127">
        <v>44820</v>
      </c>
      <c r="B1905" s="128" t="s">
        <v>29991</v>
      </c>
      <c r="C1905" s="194" t="s">
        <v>5345</v>
      </c>
      <c r="D1905" s="195">
        <v>1290</v>
      </c>
      <c r="E1905" s="196">
        <v>44821</v>
      </c>
      <c r="F1905" s="195">
        <v>1290</v>
      </c>
      <c r="G1905" s="197">
        <f>Tabla110[[#This Row],[Importe]]-Tabla110[[#This Row],[Pagado]]</f>
        <v>0</v>
      </c>
      <c r="H1905" s="194" t="s">
        <v>10</v>
      </c>
    </row>
    <row r="1906" spans="1:8" x14ac:dyDescent="0.25">
      <c r="A1906" s="127">
        <v>44820</v>
      </c>
      <c r="B1906" s="128" t="s">
        <v>29992</v>
      </c>
      <c r="C1906" s="194" t="s">
        <v>10819</v>
      </c>
      <c r="D1906" s="195">
        <v>1875</v>
      </c>
      <c r="E1906" s="196">
        <v>44821</v>
      </c>
      <c r="F1906" s="195">
        <v>1875</v>
      </c>
      <c r="G1906" s="197">
        <f>Tabla110[[#This Row],[Importe]]-Tabla110[[#This Row],[Pagado]]</f>
        <v>0</v>
      </c>
      <c r="H1906" s="194" t="s">
        <v>10</v>
      </c>
    </row>
    <row r="1907" spans="1:8" x14ac:dyDescent="0.25">
      <c r="A1907" s="127">
        <v>44820</v>
      </c>
      <c r="B1907" s="128" t="s">
        <v>29993</v>
      </c>
      <c r="C1907" s="194" t="s">
        <v>282</v>
      </c>
      <c r="D1907" s="195">
        <v>3532.5</v>
      </c>
      <c r="E1907" s="196">
        <v>44821</v>
      </c>
      <c r="F1907" s="195">
        <v>3532.5</v>
      </c>
      <c r="G1907" s="197">
        <f>Tabla110[[#This Row],[Importe]]-Tabla110[[#This Row],[Pagado]]</f>
        <v>0</v>
      </c>
      <c r="H1907" s="194" t="s">
        <v>10</v>
      </c>
    </row>
    <row r="1908" spans="1:8" x14ac:dyDescent="0.25">
      <c r="A1908" s="127">
        <v>44820</v>
      </c>
      <c r="B1908" s="128" t="s">
        <v>29994</v>
      </c>
      <c r="C1908" s="194" t="s">
        <v>191</v>
      </c>
      <c r="D1908" s="195">
        <v>1976.8</v>
      </c>
      <c r="E1908" s="196">
        <v>44820</v>
      </c>
      <c r="F1908" s="195">
        <v>1976.8</v>
      </c>
      <c r="G1908" s="197">
        <f>Tabla110[[#This Row],[Importe]]-Tabla110[[#This Row],[Pagado]]</f>
        <v>0</v>
      </c>
      <c r="H1908" s="194" t="s">
        <v>10</v>
      </c>
    </row>
    <row r="1909" spans="1:8" x14ac:dyDescent="0.25">
      <c r="A1909" s="127">
        <v>44820</v>
      </c>
      <c r="B1909" s="128" t="s">
        <v>29995</v>
      </c>
      <c r="C1909" s="194" t="s">
        <v>31</v>
      </c>
      <c r="D1909" s="195">
        <v>2300.1</v>
      </c>
      <c r="E1909" s="196">
        <v>44820</v>
      </c>
      <c r="F1909" s="195">
        <v>2300.1</v>
      </c>
      <c r="G1909" s="197">
        <f>Tabla110[[#This Row],[Importe]]-Tabla110[[#This Row],[Pagado]]</f>
        <v>0</v>
      </c>
      <c r="H1909" s="194" t="s">
        <v>10</v>
      </c>
    </row>
    <row r="1910" spans="1:8" x14ac:dyDescent="0.25">
      <c r="A1910" s="127">
        <v>44820</v>
      </c>
      <c r="B1910" s="128" t="s">
        <v>29996</v>
      </c>
      <c r="C1910" s="194" t="s">
        <v>448</v>
      </c>
      <c r="D1910" s="195">
        <v>23560</v>
      </c>
      <c r="E1910" s="196">
        <v>44821</v>
      </c>
      <c r="F1910" s="195">
        <v>23560</v>
      </c>
      <c r="G1910" s="197">
        <f>Tabla110[[#This Row],[Importe]]-Tabla110[[#This Row],[Pagado]]</f>
        <v>0</v>
      </c>
      <c r="H1910" s="194" t="s">
        <v>10</v>
      </c>
    </row>
    <row r="1911" spans="1:8" x14ac:dyDescent="0.25">
      <c r="A1911" s="127">
        <v>44820</v>
      </c>
      <c r="B1911" s="128" t="s">
        <v>29997</v>
      </c>
      <c r="C1911" s="194" t="s">
        <v>31</v>
      </c>
      <c r="D1911" s="195">
        <v>172.5</v>
      </c>
      <c r="E1911" s="196">
        <v>44821</v>
      </c>
      <c r="F1911" s="195">
        <v>172.5</v>
      </c>
      <c r="G1911" s="197">
        <f>Tabla110[[#This Row],[Importe]]-Tabla110[[#This Row],[Pagado]]</f>
        <v>0</v>
      </c>
      <c r="H1911" s="194" t="s">
        <v>10</v>
      </c>
    </row>
    <row r="1912" spans="1:8" x14ac:dyDescent="0.25">
      <c r="A1912" s="127">
        <v>44820</v>
      </c>
      <c r="B1912" s="128" t="s">
        <v>29998</v>
      </c>
      <c r="C1912" s="194" t="s">
        <v>31</v>
      </c>
      <c r="D1912" s="195">
        <v>477</v>
      </c>
      <c r="E1912" s="196">
        <v>44820</v>
      </c>
      <c r="F1912" s="195">
        <v>477</v>
      </c>
      <c r="G1912" s="197">
        <f>Tabla110[[#This Row],[Importe]]-Tabla110[[#This Row],[Pagado]]</f>
        <v>0</v>
      </c>
      <c r="H1912" s="194" t="s">
        <v>10</v>
      </c>
    </row>
    <row r="1913" spans="1:8" x14ac:dyDescent="0.25">
      <c r="A1913" s="127">
        <v>44820</v>
      </c>
      <c r="B1913" s="128" t="s">
        <v>29999</v>
      </c>
      <c r="C1913" s="194" t="s">
        <v>53</v>
      </c>
      <c r="D1913" s="195">
        <v>1763.3</v>
      </c>
      <c r="E1913" s="196">
        <v>44820</v>
      </c>
      <c r="F1913" s="195">
        <v>1763.3</v>
      </c>
      <c r="G1913" s="197">
        <f>Tabla110[[#This Row],[Importe]]-Tabla110[[#This Row],[Pagado]]</f>
        <v>0</v>
      </c>
      <c r="H1913" s="194" t="s">
        <v>10</v>
      </c>
    </row>
    <row r="1914" spans="1:8" x14ac:dyDescent="0.25">
      <c r="A1914" s="127">
        <v>44820</v>
      </c>
      <c r="B1914" s="128" t="s">
        <v>30000</v>
      </c>
      <c r="C1914" s="194" t="s">
        <v>4027</v>
      </c>
      <c r="D1914" s="195">
        <v>200</v>
      </c>
      <c r="E1914" s="196">
        <v>44821</v>
      </c>
      <c r="F1914" s="195">
        <v>200</v>
      </c>
      <c r="G1914" s="197">
        <f>Tabla110[[#This Row],[Importe]]-Tabla110[[#This Row],[Pagado]]</f>
        <v>0</v>
      </c>
      <c r="H1914" s="194" t="s">
        <v>10</v>
      </c>
    </row>
    <row r="1915" spans="1:8" x14ac:dyDescent="0.25">
      <c r="A1915" s="127">
        <v>44821</v>
      </c>
      <c r="B1915" s="128" t="s">
        <v>30001</v>
      </c>
      <c r="C1915" s="194" t="s">
        <v>887</v>
      </c>
      <c r="D1915" s="195">
        <v>23760</v>
      </c>
      <c r="E1915" s="196">
        <v>44821</v>
      </c>
      <c r="F1915" s="195">
        <v>23760</v>
      </c>
      <c r="G1915" s="197">
        <f>Tabla110[[#This Row],[Importe]]-Tabla110[[#This Row],[Pagado]]</f>
        <v>0</v>
      </c>
      <c r="H1915" s="194" t="s">
        <v>10</v>
      </c>
    </row>
    <row r="1916" spans="1:8" x14ac:dyDescent="0.25">
      <c r="A1916" s="127">
        <v>44821</v>
      </c>
      <c r="B1916" s="128" t="s">
        <v>30002</v>
      </c>
      <c r="C1916" s="194" t="s">
        <v>475</v>
      </c>
      <c r="D1916" s="195">
        <v>65524.800000000003</v>
      </c>
      <c r="E1916" s="196">
        <v>44822</v>
      </c>
      <c r="F1916" s="195">
        <v>65524.800000000003</v>
      </c>
      <c r="G1916" s="197">
        <f>Tabla110[[#This Row],[Importe]]-Tabla110[[#This Row],[Pagado]]</f>
        <v>0</v>
      </c>
      <c r="H1916" s="194" t="s">
        <v>10</v>
      </c>
    </row>
    <row r="1917" spans="1:8" x14ac:dyDescent="0.25">
      <c r="A1917" s="127">
        <v>44821</v>
      </c>
      <c r="B1917" s="128" t="s">
        <v>30003</v>
      </c>
      <c r="C1917" s="194" t="s">
        <v>475</v>
      </c>
      <c r="D1917" s="195">
        <v>1126.8</v>
      </c>
      <c r="E1917" s="196">
        <v>44822</v>
      </c>
      <c r="F1917" s="195">
        <v>1126.8</v>
      </c>
      <c r="G1917" s="197">
        <f>Tabla110[[#This Row],[Importe]]-Tabla110[[#This Row],[Pagado]]</f>
        <v>0</v>
      </c>
      <c r="H1917" s="194" t="s">
        <v>10</v>
      </c>
    </row>
    <row r="1918" spans="1:8" x14ac:dyDescent="0.25">
      <c r="A1918" s="127">
        <v>44821</v>
      </c>
      <c r="B1918" s="128" t="s">
        <v>30004</v>
      </c>
      <c r="C1918" s="194" t="s">
        <v>12</v>
      </c>
      <c r="D1918" s="195">
        <v>29690.95</v>
      </c>
      <c r="E1918" s="196">
        <v>44822</v>
      </c>
      <c r="F1918" s="195">
        <v>29690.95</v>
      </c>
      <c r="G1918" s="197">
        <f>Tabla110[[#This Row],[Importe]]-Tabla110[[#This Row],[Pagado]]</f>
        <v>0</v>
      </c>
      <c r="H1918" s="194" t="s">
        <v>10</v>
      </c>
    </row>
    <row r="1919" spans="1:8" x14ac:dyDescent="0.25">
      <c r="A1919" s="127">
        <v>44821</v>
      </c>
      <c r="B1919" s="128" t="s">
        <v>30005</v>
      </c>
      <c r="C1919" s="194" t="s">
        <v>12</v>
      </c>
      <c r="D1919" s="195">
        <v>975</v>
      </c>
      <c r="E1919" s="196">
        <v>44822</v>
      </c>
      <c r="F1919" s="195">
        <v>975</v>
      </c>
      <c r="G1919" s="197">
        <f>Tabla110[[#This Row],[Importe]]-Tabla110[[#This Row],[Pagado]]</f>
        <v>0</v>
      </c>
      <c r="H1919" s="194" t="s">
        <v>10</v>
      </c>
    </row>
    <row r="1920" spans="1:8" x14ac:dyDescent="0.25">
      <c r="A1920" s="127">
        <v>44821</v>
      </c>
      <c r="B1920" s="128" t="s">
        <v>30006</v>
      </c>
      <c r="C1920" s="194" t="s">
        <v>111</v>
      </c>
      <c r="D1920" s="195">
        <v>10944</v>
      </c>
      <c r="E1920" s="196">
        <v>44823</v>
      </c>
      <c r="F1920" s="195">
        <v>10944</v>
      </c>
      <c r="G1920" s="197">
        <f>Tabla110[[#This Row],[Importe]]-Tabla110[[#This Row],[Pagado]]</f>
        <v>0</v>
      </c>
      <c r="H1920" s="194" t="s">
        <v>10</v>
      </c>
    </row>
    <row r="1921" spans="1:8" ht="31.5" x14ac:dyDescent="0.25">
      <c r="A1921" s="127">
        <v>44821</v>
      </c>
      <c r="B1921" s="128" t="s">
        <v>30007</v>
      </c>
      <c r="C1921" s="194" t="s">
        <v>60</v>
      </c>
      <c r="D1921" s="195">
        <v>5248.8</v>
      </c>
      <c r="E1921" s="198" t="s">
        <v>30008</v>
      </c>
      <c r="F1921" s="195">
        <f>4000+1248.8</f>
        <v>5248.8</v>
      </c>
      <c r="G1921" s="197">
        <f>Tabla110[[#This Row],[Importe]]-Tabla110[[#This Row],[Pagado]]</f>
        <v>0</v>
      </c>
      <c r="H1921" s="194" t="s">
        <v>10</v>
      </c>
    </row>
    <row r="1922" spans="1:8" x14ac:dyDescent="0.25">
      <c r="A1922" s="127">
        <v>44821</v>
      </c>
      <c r="B1922" s="128" t="s">
        <v>30009</v>
      </c>
      <c r="C1922" s="194" t="s">
        <v>326</v>
      </c>
      <c r="D1922" s="195">
        <v>17446</v>
      </c>
      <c r="E1922" s="196">
        <v>44823</v>
      </c>
      <c r="F1922" s="195">
        <v>17446</v>
      </c>
      <c r="G1922" s="197">
        <f>Tabla110[[#This Row],[Importe]]-Tabla110[[#This Row],[Pagado]]</f>
        <v>0</v>
      </c>
      <c r="H1922" s="194" t="s">
        <v>10</v>
      </c>
    </row>
    <row r="1923" spans="1:8" x14ac:dyDescent="0.25">
      <c r="A1923" s="127">
        <v>44821</v>
      </c>
      <c r="B1923" s="128" t="s">
        <v>30010</v>
      </c>
      <c r="C1923" s="194" t="s">
        <v>39</v>
      </c>
      <c r="D1923" s="195">
        <v>12244.2</v>
      </c>
      <c r="E1923" s="196">
        <v>44823</v>
      </c>
      <c r="F1923" s="195">
        <v>12244.2</v>
      </c>
      <c r="G1923" s="197">
        <f>Tabla110[[#This Row],[Importe]]-Tabla110[[#This Row],[Pagado]]</f>
        <v>0</v>
      </c>
      <c r="H1923" s="194" t="s">
        <v>10</v>
      </c>
    </row>
    <row r="1924" spans="1:8" x14ac:dyDescent="0.25">
      <c r="A1924" s="127">
        <v>44821</v>
      </c>
      <c r="B1924" s="128" t="s">
        <v>30011</v>
      </c>
      <c r="C1924" s="194" t="s">
        <v>348</v>
      </c>
      <c r="D1924" s="195">
        <v>5629.3</v>
      </c>
      <c r="E1924" s="196">
        <v>44821</v>
      </c>
      <c r="F1924" s="195">
        <v>5629.3</v>
      </c>
      <c r="G1924" s="197">
        <f>Tabla110[[#This Row],[Importe]]-Tabla110[[#This Row],[Pagado]]</f>
        <v>0</v>
      </c>
      <c r="H1924" s="194" t="s">
        <v>10</v>
      </c>
    </row>
    <row r="1925" spans="1:8" x14ac:dyDescent="0.25">
      <c r="A1925" s="127">
        <v>44821</v>
      </c>
      <c r="B1925" s="128" t="s">
        <v>30012</v>
      </c>
      <c r="C1925" s="194" t="s">
        <v>105</v>
      </c>
      <c r="D1925" s="195">
        <v>6816</v>
      </c>
      <c r="E1925" s="196">
        <v>44821</v>
      </c>
      <c r="F1925" s="195">
        <v>6816</v>
      </c>
      <c r="G1925" s="197">
        <f>Tabla110[[#This Row],[Importe]]-Tabla110[[#This Row],[Pagado]]</f>
        <v>0</v>
      </c>
      <c r="H1925" s="194" t="s">
        <v>10</v>
      </c>
    </row>
    <row r="1926" spans="1:8" x14ac:dyDescent="0.25">
      <c r="A1926" s="127">
        <v>44821</v>
      </c>
      <c r="B1926" s="128" t="s">
        <v>30013</v>
      </c>
      <c r="C1926" s="194" t="s">
        <v>319</v>
      </c>
      <c r="D1926" s="195">
        <v>9744.2000000000007</v>
      </c>
      <c r="E1926" s="196">
        <v>44821</v>
      </c>
      <c r="F1926" s="195">
        <v>9744.2000000000007</v>
      </c>
      <c r="G1926" s="197">
        <f>Tabla110[[#This Row],[Importe]]-Tabla110[[#This Row],[Pagado]]</f>
        <v>0</v>
      </c>
      <c r="H1926" s="194" t="s">
        <v>10</v>
      </c>
    </row>
    <row r="1927" spans="1:8" x14ac:dyDescent="0.25">
      <c r="A1927" s="127">
        <v>44821</v>
      </c>
      <c r="B1927" s="128" t="s">
        <v>30014</v>
      </c>
      <c r="C1927" s="194" t="s">
        <v>518</v>
      </c>
      <c r="D1927" s="195">
        <v>1354</v>
      </c>
      <c r="E1927" s="196">
        <v>44821</v>
      </c>
      <c r="F1927" s="195">
        <v>1354</v>
      </c>
      <c r="G1927" s="197">
        <f>Tabla110[[#This Row],[Importe]]-Tabla110[[#This Row],[Pagado]]</f>
        <v>0</v>
      </c>
      <c r="H1927" s="194" t="s">
        <v>10</v>
      </c>
    </row>
    <row r="1928" spans="1:8" x14ac:dyDescent="0.25">
      <c r="A1928" s="127">
        <v>44821</v>
      </c>
      <c r="B1928" s="128" t="s">
        <v>30015</v>
      </c>
      <c r="C1928" s="194" t="s">
        <v>345</v>
      </c>
      <c r="D1928" s="195">
        <v>403.2</v>
      </c>
      <c r="E1928" s="196">
        <v>44821</v>
      </c>
      <c r="F1928" s="195">
        <v>403.2</v>
      </c>
      <c r="G1928" s="197">
        <f>Tabla110[[#This Row],[Importe]]-Tabla110[[#This Row],[Pagado]]</f>
        <v>0</v>
      </c>
      <c r="H1928" s="194" t="s">
        <v>10</v>
      </c>
    </row>
    <row r="1929" spans="1:8" x14ac:dyDescent="0.25">
      <c r="A1929" s="127">
        <v>44821</v>
      </c>
      <c r="B1929" s="128" t="s">
        <v>30016</v>
      </c>
      <c r="C1929" s="194" t="s">
        <v>64</v>
      </c>
      <c r="D1929" s="195">
        <v>9669</v>
      </c>
      <c r="E1929" s="196">
        <v>44823</v>
      </c>
      <c r="F1929" s="195">
        <v>9669</v>
      </c>
      <c r="G1929" s="197">
        <f>Tabla110[[#This Row],[Importe]]-Tabla110[[#This Row],[Pagado]]</f>
        <v>0</v>
      </c>
      <c r="H1929" s="194" t="s">
        <v>10</v>
      </c>
    </row>
    <row r="1930" spans="1:8" x14ac:dyDescent="0.25">
      <c r="A1930" s="127">
        <v>44821</v>
      </c>
      <c r="B1930" s="128" t="s">
        <v>30017</v>
      </c>
      <c r="C1930" s="194" t="s">
        <v>2151</v>
      </c>
      <c r="D1930" s="195">
        <v>36327.699999999997</v>
      </c>
      <c r="E1930" s="196">
        <v>44821</v>
      </c>
      <c r="F1930" s="195">
        <v>36327.699999999997</v>
      </c>
      <c r="G1930" s="197">
        <f>Tabla110[[#This Row],[Importe]]-Tabla110[[#This Row],[Pagado]]</f>
        <v>0</v>
      </c>
      <c r="H1930" s="194" t="s">
        <v>10</v>
      </c>
    </row>
    <row r="1931" spans="1:8" x14ac:dyDescent="0.25">
      <c r="A1931" s="127">
        <v>44821</v>
      </c>
      <c r="B1931" s="128" t="s">
        <v>30018</v>
      </c>
      <c r="C1931" s="194" t="s">
        <v>157</v>
      </c>
      <c r="D1931" s="195">
        <v>7514.5</v>
      </c>
      <c r="E1931" s="196">
        <v>44821</v>
      </c>
      <c r="F1931" s="195">
        <v>7514.5</v>
      </c>
      <c r="G1931" s="197">
        <f>Tabla110[[#This Row],[Importe]]-Tabla110[[#This Row],[Pagado]]</f>
        <v>0</v>
      </c>
      <c r="H1931" s="194" t="s">
        <v>10</v>
      </c>
    </row>
    <row r="1932" spans="1:8" x14ac:dyDescent="0.25">
      <c r="A1932" s="127">
        <v>44821</v>
      </c>
      <c r="B1932" s="128" t="s">
        <v>30019</v>
      </c>
      <c r="C1932" s="194" t="s">
        <v>520</v>
      </c>
      <c r="D1932" s="195">
        <v>14615.6</v>
      </c>
      <c r="E1932" s="196">
        <v>44821</v>
      </c>
      <c r="F1932" s="195">
        <v>14615.6</v>
      </c>
      <c r="G1932" s="197">
        <f>Tabla110[[#This Row],[Importe]]-Tabla110[[#This Row],[Pagado]]</f>
        <v>0</v>
      </c>
      <c r="H1932" s="194" t="s">
        <v>10</v>
      </c>
    </row>
    <row r="1933" spans="1:8" ht="31.5" x14ac:dyDescent="0.25">
      <c r="A1933" s="127">
        <v>44821</v>
      </c>
      <c r="B1933" s="128" t="s">
        <v>30020</v>
      </c>
      <c r="C1933" s="194" t="s">
        <v>99</v>
      </c>
      <c r="D1933" s="195">
        <v>7410</v>
      </c>
      <c r="E1933" s="198" t="s">
        <v>30021</v>
      </c>
      <c r="F1933" s="195">
        <f>2500+4910</f>
        <v>7410</v>
      </c>
      <c r="G1933" s="197">
        <f>Tabla110[[#This Row],[Importe]]-Tabla110[[#This Row],[Pagado]]</f>
        <v>0</v>
      </c>
      <c r="H1933" s="194" t="s">
        <v>10</v>
      </c>
    </row>
    <row r="1934" spans="1:8" x14ac:dyDescent="0.25">
      <c r="A1934" s="127">
        <v>44821</v>
      </c>
      <c r="B1934" s="128" t="s">
        <v>30022</v>
      </c>
      <c r="C1934" s="194" t="s">
        <v>114</v>
      </c>
      <c r="D1934" s="195">
        <v>16812.8</v>
      </c>
      <c r="E1934" s="196">
        <v>44823</v>
      </c>
      <c r="F1934" s="195">
        <v>16812.8</v>
      </c>
      <c r="G1934" s="197">
        <f>Tabla110[[#This Row],[Importe]]-Tabla110[[#This Row],[Pagado]]</f>
        <v>0</v>
      </c>
      <c r="H1934" s="194" t="s">
        <v>10</v>
      </c>
    </row>
    <row r="1935" spans="1:8" x14ac:dyDescent="0.25">
      <c r="A1935" s="127">
        <v>44821</v>
      </c>
      <c r="B1935" s="128" t="s">
        <v>30023</v>
      </c>
      <c r="C1935" s="194" t="s">
        <v>95</v>
      </c>
      <c r="D1935" s="195">
        <v>9810.2000000000007</v>
      </c>
      <c r="E1935" s="196">
        <v>44821</v>
      </c>
      <c r="F1935" s="195">
        <v>9810.2000000000007</v>
      </c>
      <c r="G1935" s="197">
        <f>Tabla110[[#This Row],[Importe]]-Tabla110[[#This Row],[Pagado]]</f>
        <v>0</v>
      </c>
      <c r="H1935" s="194" t="s">
        <v>10</v>
      </c>
    </row>
    <row r="1936" spans="1:8" x14ac:dyDescent="0.25">
      <c r="A1936" s="127">
        <v>44821</v>
      </c>
      <c r="B1936" s="128" t="s">
        <v>30024</v>
      </c>
      <c r="C1936" s="194" t="s">
        <v>89</v>
      </c>
      <c r="D1936" s="195">
        <v>14885.7</v>
      </c>
      <c r="E1936" s="196">
        <v>44823</v>
      </c>
      <c r="F1936" s="195">
        <v>14885.7</v>
      </c>
      <c r="G1936" s="197">
        <f>Tabla110[[#This Row],[Importe]]-Tabla110[[#This Row],[Pagado]]</f>
        <v>0</v>
      </c>
      <c r="H1936" s="194" t="s">
        <v>10</v>
      </c>
    </row>
    <row r="1937" spans="1:8" ht="31.5" x14ac:dyDescent="0.25">
      <c r="A1937" s="127">
        <v>44821</v>
      </c>
      <c r="B1937" s="128" t="s">
        <v>30025</v>
      </c>
      <c r="C1937" s="194" t="s">
        <v>93</v>
      </c>
      <c r="D1937" s="195">
        <v>18706.5</v>
      </c>
      <c r="E1937" s="198" t="s">
        <v>30026</v>
      </c>
      <c r="F1937" s="195">
        <f>10000+8706.5</f>
        <v>18706.5</v>
      </c>
      <c r="G1937" s="197">
        <f>Tabla110[[#This Row],[Importe]]-Tabla110[[#This Row],[Pagado]]</f>
        <v>0</v>
      </c>
      <c r="H1937" s="194" t="s">
        <v>10</v>
      </c>
    </row>
    <row r="1938" spans="1:8" x14ac:dyDescent="0.25">
      <c r="A1938" s="127">
        <v>44821</v>
      </c>
      <c r="B1938" s="128" t="s">
        <v>30027</v>
      </c>
      <c r="C1938" s="194" t="s">
        <v>9</v>
      </c>
      <c r="D1938" s="195">
        <v>10296.299999999999</v>
      </c>
      <c r="E1938" s="196">
        <v>44821</v>
      </c>
      <c r="F1938" s="195">
        <v>10296.299999999999</v>
      </c>
      <c r="G1938" s="197">
        <f>Tabla110[[#This Row],[Importe]]-Tabla110[[#This Row],[Pagado]]</f>
        <v>0</v>
      </c>
      <c r="H1938" s="194" t="s">
        <v>10</v>
      </c>
    </row>
    <row r="1939" spans="1:8" x14ac:dyDescent="0.25">
      <c r="A1939" s="127">
        <v>44821</v>
      </c>
      <c r="B1939" s="128" t="s">
        <v>30028</v>
      </c>
      <c r="C1939" s="194" t="s">
        <v>30029</v>
      </c>
      <c r="D1939" s="195">
        <v>5600</v>
      </c>
      <c r="E1939" s="196">
        <v>44823</v>
      </c>
      <c r="F1939" s="195">
        <v>5600</v>
      </c>
      <c r="G1939" s="197">
        <f>Tabla110[[#This Row],[Importe]]-Tabla110[[#This Row],[Pagado]]</f>
        <v>0</v>
      </c>
      <c r="H1939" s="194" t="s">
        <v>10</v>
      </c>
    </row>
    <row r="1940" spans="1:8" x14ac:dyDescent="0.25">
      <c r="A1940" s="127">
        <v>44821</v>
      </c>
      <c r="B1940" s="128" t="s">
        <v>30030</v>
      </c>
      <c r="C1940" s="194" t="s">
        <v>75</v>
      </c>
      <c r="D1940" s="195">
        <v>12975</v>
      </c>
      <c r="E1940" s="196">
        <v>44821</v>
      </c>
      <c r="F1940" s="195">
        <v>12975</v>
      </c>
      <c r="G1940" s="197">
        <f>Tabla110[[#This Row],[Importe]]-Tabla110[[#This Row],[Pagado]]</f>
        <v>0</v>
      </c>
      <c r="H1940" s="194" t="s">
        <v>10</v>
      </c>
    </row>
    <row r="1941" spans="1:8" ht="31.5" x14ac:dyDescent="0.25">
      <c r="A1941" s="127">
        <v>44821</v>
      </c>
      <c r="B1941" s="128" t="s">
        <v>30031</v>
      </c>
      <c r="C1941" s="194" t="s">
        <v>22</v>
      </c>
      <c r="D1941" s="195">
        <v>74454.3</v>
      </c>
      <c r="E1941" s="198" t="s">
        <v>30032</v>
      </c>
      <c r="F1941" s="195">
        <f>10000+64454.3</f>
        <v>74454.3</v>
      </c>
      <c r="G1941" s="197">
        <f>Tabla110[[#This Row],[Importe]]-Tabla110[[#This Row],[Pagado]]</f>
        <v>0</v>
      </c>
      <c r="H1941" s="194" t="s">
        <v>10</v>
      </c>
    </row>
    <row r="1942" spans="1:8" x14ac:dyDescent="0.25">
      <c r="A1942" s="127">
        <v>44821</v>
      </c>
      <c r="B1942" s="128" t="s">
        <v>30033</v>
      </c>
      <c r="C1942" s="194" t="s">
        <v>97</v>
      </c>
      <c r="D1942" s="195">
        <v>11614.2</v>
      </c>
      <c r="E1942" s="196">
        <v>44823</v>
      </c>
      <c r="F1942" s="195">
        <v>11614.2</v>
      </c>
      <c r="G1942" s="197">
        <f>Tabla110[[#This Row],[Importe]]-Tabla110[[#This Row],[Pagado]]</f>
        <v>0</v>
      </c>
      <c r="H1942" s="194" t="s">
        <v>10</v>
      </c>
    </row>
    <row r="1943" spans="1:8" x14ac:dyDescent="0.25">
      <c r="A1943" s="127">
        <v>44821</v>
      </c>
      <c r="B1943" s="128" t="s">
        <v>30034</v>
      </c>
      <c r="C1943" s="194" t="s">
        <v>473</v>
      </c>
      <c r="D1943" s="195">
        <v>6110.7</v>
      </c>
      <c r="E1943" s="196">
        <v>44821</v>
      </c>
      <c r="F1943" s="195">
        <v>6110.7</v>
      </c>
      <c r="G1943" s="197">
        <f>Tabla110[[#This Row],[Importe]]-Tabla110[[#This Row],[Pagado]]</f>
        <v>0</v>
      </c>
      <c r="H1943" s="194" t="s">
        <v>10</v>
      </c>
    </row>
    <row r="1944" spans="1:8" x14ac:dyDescent="0.25">
      <c r="A1944" s="127">
        <v>44821</v>
      </c>
      <c r="B1944" s="128" t="s">
        <v>30035</v>
      </c>
      <c r="C1944" s="194" t="s">
        <v>31</v>
      </c>
      <c r="D1944" s="195">
        <v>690</v>
      </c>
      <c r="E1944" s="196">
        <v>44821</v>
      </c>
      <c r="F1944" s="195">
        <v>690</v>
      </c>
      <c r="G1944" s="197">
        <f>Tabla110[[#This Row],[Importe]]-Tabla110[[#This Row],[Pagado]]</f>
        <v>0</v>
      </c>
      <c r="H1944" s="194" t="s">
        <v>10</v>
      </c>
    </row>
    <row r="1945" spans="1:8" x14ac:dyDescent="0.25">
      <c r="A1945" s="127">
        <v>44821</v>
      </c>
      <c r="B1945" s="128" t="s">
        <v>30036</v>
      </c>
      <c r="C1945" s="194" t="s">
        <v>31</v>
      </c>
      <c r="D1945" s="195">
        <v>11726</v>
      </c>
      <c r="E1945" s="196">
        <v>44821</v>
      </c>
      <c r="F1945" s="195">
        <v>11726</v>
      </c>
      <c r="G1945" s="197">
        <f>Tabla110[[#This Row],[Importe]]-Tabla110[[#This Row],[Pagado]]</f>
        <v>0</v>
      </c>
      <c r="H1945" s="194" t="s">
        <v>10</v>
      </c>
    </row>
    <row r="1946" spans="1:8" x14ac:dyDescent="0.25">
      <c r="A1946" s="127">
        <v>44821</v>
      </c>
      <c r="B1946" s="128" t="s">
        <v>30037</v>
      </c>
      <c r="C1946" s="194" t="s">
        <v>1187</v>
      </c>
      <c r="D1946" s="195">
        <v>1837.8</v>
      </c>
      <c r="E1946" s="196">
        <v>44821</v>
      </c>
      <c r="F1946" s="195">
        <v>1837.8</v>
      </c>
      <c r="G1946" s="197">
        <f>Tabla110[[#This Row],[Importe]]-Tabla110[[#This Row],[Pagado]]</f>
        <v>0</v>
      </c>
      <c r="H1946" s="194" t="s">
        <v>10</v>
      </c>
    </row>
    <row r="1947" spans="1:8" x14ac:dyDescent="0.25">
      <c r="A1947" s="127">
        <v>44821</v>
      </c>
      <c r="B1947" s="128" t="s">
        <v>30038</v>
      </c>
      <c r="C1947" s="194" t="s">
        <v>555</v>
      </c>
      <c r="D1947" s="195">
        <v>23712</v>
      </c>
      <c r="E1947" s="196">
        <v>44821</v>
      </c>
      <c r="F1947" s="195">
        <v>23712</v>
      </c>
      <c r="G1947" s="197">
        <f>Tabla110[[#This Row],[Importe]]-Tabla110[[#This Row],[Pagado]]</f>
        <v>0</v>
      </c>
      <c r="H1947" s="194" t="s">
        <v>10</v>
      </c>
    </row>
    <row r="1948" spans="1:8" x14ac:dyDescent="0.25">
      <c r="A1948" s="127">
        <v>44821</v>
      </c>
      <c r="B1948" s="128" t="s">
        <v>30039</v>
      </c>
      <c r="C1948" s="194" t="s">
        <v>49</v>
      </c>
      <c r="D1948" s="195">
        <v>4591.5</v>
      </c>
      <c r="E1948" s="196">
        <v>44821</v>
      </c>
      <c r="F1948" s="195">
        <v>4591.5</v>
      </c>
      <c r="G1948" s="197">
        <f>Tabla110[[#This Row],[Importe]]-Tabla110[[#This Row],[Pagado]]</f>
        <v>0</v>
      </c>
      <c r="H1948" s="194" t="s">
        <v>10</v>
      </c>
    </row>
    <row r="1949" spans="1:8" x14ac:dyDescent="0.25">
      <c r="A1949" s="127">
        <v>44821</v>
      </c>
      <c r="B1949" s="128" t="s">
        <v>30040</v>
      </c>
      <c r="C1949" s="194" t="s">
        <v>79</v>
      </c>
      <c r="D1949" s="195">
        <v>23471.4</v>
      </c>
      <c r="E1949" s="196">
        <v>44821</v>
      </c>
      <c r="F1949" s="195">
        <v>23471.4</v>
      </c>
      <c r="G1949" s="197">
        <f>Tabla110[[#This Row],[Importe]]-Tabla110[[#This Row],[Pagado]]</f>
        <v>0</v>
      </c>
      <c r="H1949" s="194" t="s">
        <v>10</v>
      </c>
    </row>
    <row r="1950" spans="1:8" x14ac:dyDescent="0.25">
      <c r="A1950" s="127">
        <v>44821</v>
      </c>
      <c r="B1950" s="128" t="s">
        <v>30041</v>
      </c>
      <c r="C1950" s="194" t="s">
        <v>29</v>
      </c>
      <c r="D1950" s="195">
        <v>9150</v>
      </c>
      <c r="E1950" s="196">
        <v>44821</v>
      </c>
      <c r="F1950" s="195">
        <v>9150</v>
      </c>
      <c r="G1950" s="197">
        <f>Tabla110[[#This Row],[Importe]]-Tabla110[[#This Row],[Pagado]]</f>
        <v>0</v>
      </c>
      <c r="H1950" s="194" t="s">
        <v>10</v>
      </c>
    </row>
    <row r="1951" spans="1:8" x14ac:dyDescent="0.25">
      <c r="A1951" s="127">
        <v>44821</v>
      </c>
      <c r="B1951" s="128" t="s">
        <v>30042</v>
      </c>
      <c r="C1951" s="194" t="s">
        <v>17556</v>
      </c>
      <c r="D1951" s="195">
        <v>4050.8</v>
      </c>
      <c r="E1951" s="196">
        <v>44821</v>
      </c>
      <c r="F1951" s="195">
        <v>4050.8</v>
      </c>
      <c r="G1951" s="197">
        <f>Tabla110[[#This Row],[Importe]]-Tabla110[[#This Row],[Pagado]]</f>
        <v>0</v>
      </c>
      <c r="H1951" s="194" t="s">
        <v>10</v>
      </c>
    </row>
    <row r="1952" spans="1:8" x14ac:dyDescent="0.25">
      <c r="A1952" s="127">
        <v>44821</v>
      </c>
      <c r="B1952" s="128" t="s">
        <v>30043</v>
      </c>
      <c r="C1952" s="194" t="s">
        <v>159</v>
      </c>
      <c r="D1952" s="195">
        <v>3186</v>
      </c>
      <c r="E1952" s="196">
        <v>44821</v>
      </c>
      <c r="F1952" s="195">
        <v>3186</v>
      </c>
      <c r="G1952" s="197">
        <f>Tabla110[[#This Row],[Importe]]-Tabla110[[#This Row],[Pagado]]</f>
        <v>0</v>
      </c>
      <c r="H1952" s="194" t="s">
        <v>10</v>
      </c>
    </row>
    <row r="1953" spans="1:8" x14ac:dyDescent="0.25">
      <c r="A1953" s="127">
        <v>44821</v>
      </c>
      <c r="B1953" s="128" t="s">
        <v>30044</v>
      </c>
      <c r="C1953" s="194" t="s">
        <v>196</v>
      </c>
      <c r="D1953" s="195">
        <v>43231.199999999997</v>
      </c>
      <c r="E1953" s="196">
        <v>44827</v>
      </c>
      <c r="F1953" s="195">
        <v>43231.199999999997</v>
      </c>
      <c r="G1953" s="197">
        <f>Tabla110[[#This Row],[Importe]]-Tabla110[[#This Row],[Pagado]]</f>
        <v>0</v>
      </c>
      <c r="H1953" s="194" t="s">
        <v>10</v>
      </c>
    </row>
    <row r="1954" spans="1:8" x14ac:dyDescent="0.25">
      <c r="A1954" s="127">
        <v>44821</v>
      </c>
      <c r="B1954" s="128" t="s">
        <v>30045</v>
      </c>
      <c r="C1954" s="194" t="s">
        <v>27</v>
      </c>
      <c r="D1954" s="195">
        <v>641.20000000000005</v>
      </c>
      <c r="E1954" s="196">
        <v>44821</v>
      </c>
      <c r="F1954" s="195">
        <v>641.20000000000005</v>
      </c>
      <c r="G1954" s="197">
        <f>Tabla110[[#This Row],[Importe]]-Tabla110[[#This Row],[Pagado]]</f>
        <v>0</v>
      </c>
      <c r="H1954" s="194" t="s">
        <v>10</v>
      </c>
    </row>
    <row r="1955" spans="1:8" x14ac:dyDescent="0.25">
      <c r="A1955" s="127">
        <v>44821</v>
      </c>
      <c r="B1955" s="128" t="s">
        <v>30046</v>
      </c>
      <c r="C1955" s="194" t="s">
        <v>31</v>
      </c>
      <c r="D1955" s="195">
        <v>13726.7</v>
      </c>
      <c r="E1955" s="196">
        <v>44821</v>
      </c>
      <c r="F1955" s="195">
        <v>13726.7</v>
      </c>
      <c r="G1955" s="197">
        <f>Tabla110[[#This Row],[Importe]]-Tabla110[[#This Row],[Pagado]]</f>
        <v>0</v>
      </c>
      <c r="H1955" s="194" t="s">
        <v>10</v>
      </c>
    </row>
    <row r="1956" spans="1:8" x14ac:dyDescent="0.25">
      <c r="A1956" s="127">
        <v>44821</v>
      </c>
      <c r="B1956" s="128" t="s">
        <v>30047</v>
      </c>
      <c r="C1956" s="194" t="s">
        <v>16</v>
      </c>
      <c r="D1956" s="195">
        <v>6895.9</v>
      </c>
      <c r="E1956" s="196">
        <v>44821</v>
      </c>
      <c r="F1956" s="195">
        <v>6895.9</v>
      </c>
      <c r="G1956" s="197">
        <f>Tabla110[[#This Row],[Importe]]-Tabla110[[#This Row],[Pagado]]</f>
        <v>0</v>
      </c>
      <c r="H1956" s="194" t="s">
        <v>10</v>
      </c>
    </row>
    <row r="1957" spans="1:8" x14ac:dyDescent="0.25">
      <c r="A1957" s="127">
        <v>44821</v>
      </c>
      <c r="B1957" s="128" t="s">
        <v>30048</v>
      </c>
      <c r="C1957" s="194" t="s">
        <v>53</v>
      </c>
      <c r="D1957" s="195">
        <v>2402.4</v>
      </c>
      <c r="E1957" s="196">
        <v>44821</v>
      </c>
      <c r="F1957" s="195">
        <v>2402.4</v>
      </c>
      <c r="G1957" s="197">
        <f>Tabla110[[#This Row],[Importe]]-Tabla110[[#This Row],[Pagado]]</f>
        <v>0</v>
      </c>
      <c r="H1957" s="194" t="s">
        <v>10</v>
      </c>
    </row>
    <row r="1958" spans="1:8" x14ac:dyDescent="0.25">
      <c r="A1958" s="127">
        <v>44821</v>
      </c>
      <c r="B1958" s="128" t="s">
        <v>30049</v>
      </c>
      <c r="C1958" s="194" t="s">
        <v>196</v>
      </c>
      <c r="D1958" s="195">
        <v>74093.38</v>
      </c>
      <c r="E1958" s="196">
        <v>44827</v>
      </c>
      <c r="F1958" s="195">
        <f>35520.76+38572.62</f>
        <v>74093.38</v>
      </c>
      <c r="G1958" s="197">
        <f>Tabla110[[#This Row],[Importe]]-Tabla110[[#This Row],[Pagado]]</f>
        <v>0</v>
      </c>
      <c r="H1958" s="194" t="s">
        <v>10</v>
      </c>
    </row>
    <row r="1959" spans="1:8" x14ac:dyDescent="0.25">
      <c r="A1959" s="127">
        <v>44821</v>
      </c>
      <c r="B1959" s="128" t="s">
        <v>30050</v>
      </c>
      <c r="C1959" s="194" t="s">
        <v>45</v>
      </c>
      <c r="D1959" s="195">
        <v>10568.1</v>
      </c>
      <c r="E1959" s="196">
        <v>44821</v>
      </c>
      <c r="F1959" s="195">
        <v>10568.1</v>
      </c>
      <c r="G1959" s="197">
        <f>Tabla110[[#This Row],[Importe]]-Tabla110[[#This Row],[Pagado]]</f>
        <v>0</v>
      </c>
      <c r="H1959" s="194" t="s">
        <v>10</v>
      </c>
    </row>
    <row r="1960" spans="1:8" x14ac:dyDescent="0.25">
      <c r="A1960" s="127">
        <v>44821</v>
      </c>
      <c r="B1960" s="128" t="s">
        <v>30051</v>
      </c>
      <c r="C1960" s="194" t="s">
        <v>146</v>
      </c>
      <c r="D1960" s="195">
        <v>7924.8</v>
      </c>
      <c r="E1960" s="196">
        <v>44821</v>
      </c>
      <c r="F1960" s="195">
        <v>7924.8</v>
      </c>
      <c r="G1960" s="197">
        <f>Tabla110[[#This Row],[Importe]]-Tabla110[[#This Row],[Pagado]]</f>
        <v>0</v>
      </c>
      <c r="H1960" s="194" t="s">
        <v>10</v>
      </c>
    </row>
    <row r="1961" spans="1:8" x14ac:dyDescent="0.25">
      <c r="A1961" s="127">
        <v>44821</v>
      </c>
      <c r="B1961" s="128" t="s">
        <v>30052</v>
      </c>
      <c r="C1961" s="194" t="s">
        <v>30053</v>
      </c>
      <c r="D1961" s="195">
        <v>0</v>
      </c>
      <c r="E1961" s="199" t="s">
        <v>189</v>
      </c>
      <c r="F1961" s="195">
        <v>0</v>
      </c>
      <c r="G1961" s="197">
        <f>Tabla110[[#This Row],[Importe]]-Tabla110[[#This Row],[Pagado]]</f>
        <v>0</v>
      </c>
      <c r="H1961" s="194" t="s">
        <v>189</v>
      </c>
    </row>
    <row r="1962" spans="1:8" x14ac:dyDescent="0.25">
      <c r="A1962" s="127">
        <v>44821</v>
      </c>
      <c r="B1962" s="128" t="s">
        <v>30054</v>
      </c>
      <c r="C1962" s="194" t="s">
        <v>333</v>
      </c>
      <c r="D1962" s="195">
        <v>1193.4000000000001</v>
      </c>
      <c r="E1962" s="196">
        <v>44821</v>
      </c>
      <c r="F1962" s="195">
        <v>1193.4000000000001</v>
      </c>
      <c r="G1962" s="197">
        <f>Tabla110[[#This Row],[Importe]]-Tabla110[[#This Row],[Pagado]]</f>
        <v>0</v>
      </c>
      <c r="H1962" s="194" t="s">
        <v>10</v>
      </c>
    </row>
    <row r="1963" spans="1:8" x14ac:dyDescent="0.25">
      <c r="A1963" s="127">
        <v>44821</v>
      </c>
      <c r="B1963" s="128" t="s">
        <v>30055</v>
      </c>
      <c r="C1963" s="194" t="s">
        <v>442</v>
      </c>
      <c r="D1963" s="195">
        <v>22800</v>
      </c>
      <c r="E1963" s="196">
        <v>44821</v>
      </c>
      <c r="F1963" s="195">
        <v>22800</v>
      </c>
      <c r="G1963" s="197">
        <f>Tabla110[[#This Row],[Importe]]-Tabla110[[#This Row],[Pagado]]</f>
        <v>0</v>
      </c>
      <c r="H1963" s="194" t="s">
        <v>10</v>
      </c>
    </row>
    <row r="1964" spans="1:8" x14ac:dyDescent="0.25">
      <c r="A1964" s="127">
        <v>44821</v>
      </c>
      <c r="B1964" s="128" t="s">
        <v>30056</v>
      </c>
      <c r="C1964" s="194" t="s">
        <v>107</v>
      </c>
      <c r="D1964" s="195">
        <v>10313.4</v>
      </c>
      <c r="E1964" s="196">
        <v>44821</v>
      </c>
      <c r="F1964" s="195">
        <v>10313.4</v>
      </c>
      <c r="G1964" s="197">
        <f>Tabla110[[#This Row],[Importe]]-Tabla110[[#This Row],[Pagado]]</f>
        <v>0</v>
      </c>
      <c r="H1964" s="194" t="s">
        <v>10</v>
      </c>
    </row>
    <row r="1965" spans="1:8" x14ac:dyDescent="0.25">
      <c r="A1965" s="127">
        <v>44821</v>
      </c>
      <c r="B1965" s="128" t="s">
        <v>30057</v>
      </c>
      <c r="C1965" s="194" t="s">
        <v>216</v>
      </c>
      <c r="D1965" s="195">
        <v>1282.5</v>
      </c>
      <c r="E1965" s="196">
        <v>44821</v>
      </c>
      <c r="F1965" s="195">
        <v>1282.5</v>
      </c>
      <c r="G1965" s="197">
        <f>Tabla110[[#This Row],[Importe]]-Tabla110[[#This Row],[Pagado]]</f>
        <v>0</v>
      </c>
      <c r="H1965" s="194" t="s">
        <v>10</v>
      </c>
    </row>
    <row r="1966" spans="1:8" x14ac:dyDescent="0.25">
      <c r="A1966" s="127">
        <v>44821</v>
      </c>
      <c r="B1966" s="128" t="s">
        <v>30058</v>
      </c>
      <c r="C1966" s="194" t="s">
        <v>140</v>
      </c>
      <c r="D1966" s="195">
        <v>2211.6</v>
      </c>
      <c r="E1966" s="196">
        <v>44821</v>
      </c>
      <c r="F1966" s="195">
        <v>2211.6</v>
      </c>
      <c r="G1966" s="197">
        <f>Tabla110[[#This Row],[Importe]]-Tabla110[[#This Row],[Pagado]]</f>
        <v>0</v>
      </c>
      <c r="H1966" s="194" t="s">
        <v>10</v>
      </c>
    </row>
    <row r="1967" spans="1:8" x14ac:dyDescent="0.25">
      <c r="A1967" s="127">
        <v>44821</v>
      </c>
      <c r="B1967" s="128" t="s">
        <v>30059</v>
      </c>
      <c r="C1967" s="194" t="s">
        <v>371</v>
      </c>
      <c r="D1967" s="195">
        <v>52504.1</v>
      </c>
      <c r="E1967" s="196">
        <v>44821</v>
      </c>
      <c r="F1967" s="195">
        <v>52504.1</v>
      </c>
      <c r="G1967" s="197">
        <f>Tabla110[[#This Row],[Importe]]-Tabla110[[#This Row],[Pagado]]</f>
        <v>0</v>
      </c>
      <c r="H1967" s="194" t="s">
        <v>10</v>
      </c>
    </row>
    <row r="1968" spans="1:8" x14ac:dyDescent="0.25">
      <c r="A1968" s="127">
        <v>44821</v>
      </c>
      <c r="B1968" s="128" t="s">
        <v>30060</v>
      </c>
      <c r="C1968" s="194" t="s">
        <v>1362</v>
      </c>
      <c r="D1968" s="195">
        <v>18187.099999999999</v>
      </c>
      <c r="E1968" s="196">
        <v>44821</v>
      </c>
      <c r="F1968" s="195">
        <v>18187.099999999999</v>
      </c>
      <c r="G1968" s="197">
        <f>Tabla110[[#This Row],[Importe]]-Tabla110[[#This Row],[Pagado]]</f>
        <v>0</v>
      </c>
      <c r="H1968" s="194" t="s">
        <v>10</v>
      </c>
    </row>
    <row r="1969" spans="1:8" x14ac:dyDescent="0.25">
      <c r="A1969" s="127">
        <v>44821</v>
      </c>
      <c r="B1969" s="128" t="s">
        <v>30061</v>
      </c>
      <c r="C1969" s="194" t="s">
        <v>357</v>
      </c>
      <c r="D1969" s="195">
        <v>1060.4000000000001</v>
      </c>
      <c r="E1969" s="196">
        <v>44821</v>
      </c>
      <c r="F1969" s="195">
        <v>1060.4000000000001</v>
      </c>
      <c r="G1969" s="197">
        <f>Tabla110[[#This Row],[Importe]]-Tabla110[[#This Row],[Pagado]]</f>
        <v>0</v>
      </c>
      <c r="H1969" s="194" t="s">
        <v>10</v>
      </c>
    </row>
    <row r="1970" spans="1:8" x14ac:dyDescent="0.25">
      <c r="A1970" s="127">
        <v>44821</v>
      </c>
      <c r="B1970" s="128" t="s">
        <v>30062</v>
      </c>
      <c r="C1970" s="194" t="s">
        <v>129</v>
      </c>
      <c r="D1970" s="195">
        <v>1329.4</v>
      </c>
      <c r="E1970" s="196">
        <v>44821</v>
      </c>
      <c r="F1970" s="195">
        <v>1329.4</v>
      </c>
      <c r="G1970" s="197">
        <f>Tabla110[[#This Row],[Importe]]-Tabla110[[#This Row],[Pagado]]</f>
        <v>0</v>
      </c>
      <c r="H1970" s="194" t="s">
        <v>10</v>
      </c>
    </row>
    <row r="1971" spans="1:8" x14ac:dyDescent="0.25">
      <c r="A1971" s="127">
        <v>44821</v>
      </c>
      <c r="B1971" s="128" t="s">
        <v>30063</v>
      </c>
      <c r="C1971" s="194" t="s">
        <v>1003</v>
      </c>
      <c r="D1971" s="195">
        <v>3127.1</v>
      </c>
      <c r="E1971" s="196">
        <v>44822</v>
      </c>
      <c r="F1971" s="195">
        <v>3127.1</v>
      </c>
      <c r="G1971" s="197">
        <f>Tabla110[[#This Row],[Importe]]-Tabla110[[#This Row],[Pagado]]</f>
        <v>0</v>
      </c>
      <c r="H1971" s="194" t="s">
        <v>10</v>
      </c>
    </row>
    <row r="1972" spans="1:8" x14ac:dyDescent="0.25">
      <c r="A1972" s="127">
        <v>44821</v>
      </c>
      <c r="B1972" s="128" t="s">
        <v>30064</v>
      </c>
      <c r="C1972" s="194" t="s">
        <v>127</v>
      </c>
      <c r="D1972" s="195">
        <v>2891.6</v>
      </c>
      <c r="E1972" s="196">
        <v>44821</v>
      </c>
      <c r="F1972" s="195">
        <v>2891.6</v>
      </c>
      <c r="G1972" s="197">
        <f>Tabla110[[#This Row],[Importe]]-Tabla110[[#This Row],[Pagado]]</f>
        <v>0</v>
      </c>
      <c r="H1972" s="194" t="s">
        <v>10</v>
      </c>
    </row>
    <row r="1973" spans="1:8" x14ac:dyDescent="0.25">
      <c r="A1973" s="127">
        <v>44821</v>
      </c>
      <c r="B1973" s="128" t="s">
        <v>30065</v>
      </c>
      <c r="C1973" s="194" t="s">
        <v>62</v>
      </c>
      <c r="D1973" s="195">
        <v>4297.5</v>
      </c>
      <c r="E1973" s="196">
        <v>44821</v>
      </c>
      <c r="F1973" s="195">
        <v>4297.5</v>
      </c>
      <c r="G1973" s="197">
        <f>Tabla110[[#This Row],[Importe]]-Tabla110[[#This Row],[Pagado]]</f>
        <v>0</v>
      </c>
      <c r="H1973" s="194" t="s">
        <v>10</v>
      </c>
    </row>
    <row r="1974" spans="1:8" x14ac:dyDescent="0.25">
      <c r="A1974" s="127">
        <v>44821</v>
      </c>
      <c r="B1974" s="128" t="s">
        <v>30066</v>
      </c>
      <c r="C1974" s="194" t="s">
        <v>314</v>
      </c>
      <c r="D1974" s="195">
        <v>4742</v>
      </c>
      <c r="E1974" s="196">
        <v>44821</v>
      </c>
      <c r="F1974" s="195">
        <v>4742</v>
      </c>
      <c r="G1974" s="197">
        <f>Tabla110[[#This Row],[Importe]]-Tabla110[[#This Row],[Pagado]]</f>
        <v>0</v>
      </c>
      <c r="H1974" s="194" t="s">
        <v>10</v>
      </c>
    </row>
    <row r="1975" spans="1:8" x14ac:dyDescent="0.25">
      <c r="A1975" s="127">
        <v>44821</v>
      </c>
      <c r="B1975" s="128" t="s">
        <v>30067</v>
      </c>
      <c r="C1975" s="194" t="s">
        <v>296</v>
      </c>
      <c r="D1975" s="195">
        <v>4697</v>
      </c>
      <c r="E1975" s="196">
        <v>44821</v>
      </c>
      <c r="F1975" s="195">
        <v>4697</v>
      </c>
      <c r="G1975" s="197">
        <f>Tabla110[[#This Row],[Importe]]-Tabla110[[#This Row],[Pagado]]</f>
        <v>0</v>
      </c>
      <c r="H1975" s="194" t="s">
        <v>10</v>
      </c>
    </row>
    <row r="1976" spans="1:8" x14ac:dyDescent="0.25">
      <c r="A1976" s="127">
        <v>44821</v>
      </c>
      <c r="B1976" s="128" t="s">
        <v>30068</v>
      </c>
      <c r="C1976" s="194" t="s">
        <v>56</v>
      </c>
      <c r="D1976" s="195">
        <v>8360.7000000000007</v>
      </c>
      <c r="E1976" s="196">
        <v>44821</v>
      </c>
      <c r="F1976" s="195">
        <v>8360.7000000000007</v>
      </c>
      <c r="G1976" s="197">
        <f>Tabla110[[#This Row],[Importe]]-Tabla110[[#This Row],[Pagado]]</f>
        <v>0</v>
      </c>
      <c r="H1976" s="194" t="s">
        <v>10</v>
      </c>
    </row>
    <row r="1977" spans="1:8" x14ac:dyDescent="0.25">
      <c r="A1977" s="127">
        <v>44821</v>
      </c>
      <c r="B1977" s="128" t="s">
        <v>30069</v>
      </c>
      <c r="C1977" s="194" t="s">
        <v>62</v>
      </c>
      <c r="D1977" s="195">
        <v>9032</v>
      </c>
      <c r="E1977" s="196">
        <v>44821</v>
      </c>
      <c r="F1977" s="195">
        <v>9032</v>
      </c>
      <c r="G1977" s="197">
        <f>Tabla110[[#This Row],[Importe]]-Tabla110[[#This Row],[Pagado]]</f>
        <v>0</v>
      </c>
      <c r="H1977" s="194" t="s">
        <v>10</v>
      </c>
    </row>
    <row r="1978" spans="1:8" x14ac:dyDescent="0.25">
      <c r="A1978" s="127">
        <v>44821</v>
      </c>
      <c r="B1978" s="128" t="s">
        <v>30070</v>
      </c>
      <c r="C1978" s="194" t="s">
        <v>31</v>
      </c>
      <c r="D1978" s="195">
        <v>2718</v>
      </c>
      <c r="E1978" s="196">
        <v>44821</v>
      </c>
      <c r="F1978" s="195">
        <v>2718</v>
      </c>
      <c r="G1978" s="197">
        <f>Tabla110[[#This Row],[Importe]]-Tabla110[[#This Row],[Pagado]]</f>
        <v>0</v>
      </c>
      <c r="H1978" s="194" t="s">
        <v>10</v>
      </c>
    </row>
    <row r="1979" spans="1:8" x14ac:dyDescent="0.25">
      <c r="A1979" s="127">
        <v>44821</v>
      </c>
      <c r="B1979" s="128" t="s">
        <v>30071</v>
      </c>
      <c r="C1979" s="194" t="s">
        <v>9827</v>
      </c>
      <c r="D1979" s="195">
        <v>7546.6</v>
      </c>
      <c r="E1979" s="196">
        <v>44821</v>
      </c>
      <c r="F1979" s="195">
        <v>7546.6</v>
      </c>
      <c r="G1979" s="197">
        <f>Tabla110[[#This Row],[Importe]]-Tabla110[[#This Row],[Pagado]]</f>
        <v>0</v>
      </c>
      <c r="H1979" s="194" t="s">
        <v>10</v>
      </c>
    </row>
    <row r="1980" spans="1:8" x14ac:dyDescent="0.25">
      <c r="A1980" s="127">
        <v>44821</v>
      </c>
      <c r="B1980" s="128" t="s">
        <v>30072</v>
      </c>
      <c r="C1980" s="194" t="s">
        <v>181</v>
      </c>
      <c r="D1980" s="195">
        <v>11093.4</v>
      </c>
      <c r="E1980" s="196">
        <v>44821</v>
      </c>
      <c r="F1980" s="195">
        <v>11093.4</v>
      </c>
      <c r="G1980" s="197">
        <f>Tabla110[[#This Row],[Importe]]-Tabla110[[#This Row],[Pagado]]</f>
        <v>0</v>
      </c>
      <c r="H1980" s="194" t="s">
        <v>10</v>
      </c>
    </row>
    <row r="1981" spans="1:8" x14ac:dyDescent="0.25">
      <c r="A1981" s="127">
        <v>44821</v>
      </c>
      <c r="B1981" s="128" t="s">
        <v>30073</v>
      </c>
      <c r="C1981" s="194" t="s">
        <v>200</v>
      </c>
      <c r="D1981" s="195">
        <v>1860</v>
      </c>
      <c r="E1981" s="196">
        <v>44821</v>
      </c>
      <c r="F1981" s="195">
        <v>1860</v>
      </c>
      <c r="G1981" s="197">
        <f>Tabla110[[#This Row],[Importe]]-Tabla110[[#This Row],[Pagado]]</f>
        <v>0</v>
      </c>
      <c r="H1981" s="194" t="s">
        <v>10</v>
      </c>
    </row>
    <row r="1982" spans="1:8" x14ac:dyDescent="0.25">
      <c r="A1982" s="127">
        <v>44821</v>
      </c>
      <c r="B1982" s="128" t="s">
        <v>30074</v>
      </c>
      <c r="C1982" s="194" t="s">
        <v>31</v>
      </c>
      <c r="D1982" s="195">
        <v>1211.8</v>
      </c>
      <c r="E1982" s="196">
        <v>44821</v>
      </c>
      <c r="F1982" s="195">
        <v>1211.8</v>
      </c>
      <c r="G1982" s="197">
        <f>Tabla110[[#This Row],[Importe]]-Tabla110[[#This Row],[Pagado]]</f>
        <v>0</v>
      </c>
      <c r="H1982" s="194" t="s">
        <v>10</v>
      </c>
    </row>
    <row r="1983" spans="1:8" x14ac:dyDescent="0.25">
      <c r="A1983" s="127">
        <v>44821</v>
      </c>
      <c r="B1983" s="128" t="s">
        <v>30075</v>
      </c>
      <c r="C1983" s="194" t="s">
        <v>181</v>
      </c>
      <c r="D1983" s="195">
        <v>6201.2</v>
      </c>
      <c r="E1983" s="196">
        <v>44821</v>
      </c>
      <c r="F1983" s="195">
        <v>6201.2</v>
      </c>
      <c r="G1983" s="197">
        <f>Tabla110[[#This Row],[Importe]]-Tabla110[[#This Row],[Pagado]]</f>
        <v>0</v>
      </c>
      <c r="H1983" s="194" t="s">
        <v>10</v>
      </c>
    </row>
    <row r="1984" spans="1:8" x14ac:dyDescent="0.25">
      <c r="A1984" s="127">
        <v>44821</v>
      </c>
      <c r="B1984" s="128" t="s">
        <v>30076</v>
      </c>
      <c r="C1984" s="194" t="s">
        <v>312</v>
      </c>
      <c r="D1984" s="195">
        <v>979</v>
      </c>
      <c r="E1984" s="196">
        <v>44821</v>
      </c>
      <c r="F1984" s="195">
        <v>979</v>
      </c>
      <c r="G1984" s="197">
        <f>Tabla110[[#This Row],[Importe]]-Tabla110[[#This Row],[Pagado]]</f>
        <v>0</v>
      </c>
      <c r="H1984" s="194" t="s">
        <v>10</v>
      </c>
    </row>
    <row r="1985" spans="1:8" x14ac:dyDescent="0.25">
      <c r="A1985" s="127">
        <v>44821</v>
      </c>
      <c r="B1985" s="128" t="s">
        <v>30077</v>
      </c>
      <c r="C1985" s="194" t="s">
        <v>426</v>
      </c>
      <c r="D1985" s="195">
        <v>5568</v>
      </c>
      <c r="E1985" s="196">
        <v>44821</v>
      </c>
      <c r="F1985" s="195">
        <v>5568</v>
      </c>
      <c r="G1985" s="197">
        <f>Tabla110[[#This Row],[Importe]]-Tabla110[[#This Row],[Pagado]]</f>
        <v>0</v>
      </c>
      <c r="H1985" s="194" t="s">
        <v>10</v>
      </c>
    </row>
    <row r="1986" spans="1:8" x14ac:dyDescent="0.25">
      <c r="A1986" s="127">
        <v>44821</v>
      </c>
      <c r="B1986" s="128" t="s">
        <v>30078</v>
      </c>
      <c r="C1986" s="194" t="s">
        <v>175</v>
      </c>
      <c r="D1986" s="195">
        <v>3771</v>
      </c>
      <c r="E1986" s="196">
        <v>44821</v>
      </c>
      <c r="F1986" s="195">
        <v>3771</v>
      </c>
      <c r="G1986" s="197">
        <f>Tabla110[[#This Row],[Importe]]-Tabla110[[#This Row],[Pagado]]</f>
        <v>0</v>
      </c>
      <c r="H1986" s="194" t="s">
        <v>10</v>
      </c>
    </row>
    <row r="1987" spans="1:8" x14ac:dyDescent="0.25">
      <c r="A1987" s="127">
        <v>44821</v>
      </c>
      <c r="B1987" s="128" t="s">
        <v>30079</v>
      </c>
      <c r="C1987" s="194" t="s">
        <v>142</v>
      </c>
      <c r="D1987" s="195">
        <v>78067.399999999994</v>
      </c>
      <c r="E1987" s="196">
        <v>44851</v>
      </c>
      <c r="F1987" s="195">
        <v>78067.399999999994</v>
      </c>
      <c r="G1987" s="197">
        <f>Tabla110[[#This Row],[Importe]]-Tabla110[[#This Row],[Pagado]]</f>
        <v>0</v>
      </c>
      <c r="H1987" s="194" t="s">
        <v>10</v>
      </c>
    </row>
    <row r="1988" spans="1:8" x14ac:dyDescent="0.25">
      <c r="A1988" s="127">
        <v>44821</v>
      </c>
      <c r="B1988" s="128" t="s">
        <v>30080</v>
      </c>
      <c r="C1988" s="194" t="s">
        <v>83</v>
      </c>
      <c r="D1988" s="195">
        <v>15562.8</v>
      </c>
      <c r="E1988" s="196">
        <v>44821</v>
      </c>
      <c r="F1988" s="195">
        <v>15562.8</v>
      </c>
      <c r="G1988" s="197">
        <f>Tabla110[[#This Row],[Importe]]-Tabla110[[#This Row],[Pagado]]</f>
        <v>0</v>
      </c>
      <c r="H1988" s="194" t="s">
        <v>10</v>
      </c>
    </row>
    <row r="1989" spans="1:8" x14ac:dyDescent="0.25">
      <c r="A1989" s="127">
        <v>44821</v>
      </c>
      <c r="B1989" s="128" t="s">
        <v>30081</v>
      </c>
      <c r="C1989" s="194" t="s">
        <v>191</v>
      </c>
      <c r="D1989" s="195">
        <v>1926.6</v>
      </c>
      <c r="E1989" s="196">
        <v>44821</v>
      </c>
      <c r="F1989" s="195">
        <v>1926.6</v>
      </c>
      <c r="G1989" s="197">
        <f>Tabla110[[#This Row],[Importe]]-Tabla110[[#This Row],[Pagado]]</f>
        <v>0</v>
      </c>
      <c r="H1989" s="194" t="s">
        <v>10</v>
      </c>
    </row>
    <row r="1990" spans="1:8" x14ac:dyDescent="0.25">
      <c r="A1990" s="127">
        <v>44821</v>
      </c>
      <c r="B1990" s="128" t="s">
        <v>30082</v>
      </c>
      <c r="C1990" s="194" t="s">
        <v>24</v>
      </c>
      <c r="D1990" s="195">
        <v>662.2</v>
      </c>
      <c r="E1990" s="196">
        <v>44821</v>
      </c>
      <c r="F1990" s="195">
        <v>662.2</v>
      </c>
      <c r="G1990" s="197">
        <f>Tabla110[[#This Row],[Importe]]-Tabla110[[#This Row],[Pagado]]</f>
        <v>0</v>
      </c>
      <c r="H1990" s="194" t="s">
        <v>10</v>
      </c>
    </row>
    <row r="1991" spans="1:8" x14ac:dyDescent="0.25">
      <c r="A1991" s="127">
        <v>44821</v>
      </c>
      <c r="B1991" s="128" t="s">
        <v>30083</v>
      </c>
      <c r="C1991" s="194" t="s">
        <v>414</v>
      </c>
      <c r="D1991" s="195">
        <v>30915</v>
      </c>
      <c r="E1991" s="196">
        <v>44827</v>
      </c>
      <c r="F1991" s="195">
        <v>30915</v>
      </c>
      <c r="G1991" s="197">
        <f>Tabla110[[#This Row],[Importe]]-Tabla110[[#This Row],[Pagado]]</f>
        <v>0</v>
      </c>
      <c r="H1991" s="194" t="s">
        <v>10</v>
      </c>
    </row>
    <row r="1992" spans="1:8" x14ac:dyDescent="0.25">
      <c r="A1992" s="127">
        <v>44821</v>
      </c>
      <c r="B1992" s="128" t="s">
        <v>30084</v>
      </c>
      <c r="C1992" s="194" t="s">
        <v>31</v>
      </c>
      <c r="D1992" s="195">
        <v>1892</v>
      </c>
      <c r="E1992" s="196">
        <v>44821</v>
      </c>
      <c r="F1992" s="195">
        <v>1892</v>
      </c>
      <c r="G1992" s="197">
        <f>Tabla110[[#This Row],[Importe]]-Tabla110[[#This Row],[Pagado]]</f>
        <v>0</v>
      </c>
      <c r="H1992" s="194" t="s">
        <v>10</v>
      </c>
    </row>
    <row r="1993" spans="1:8" x14ac:dyDescent="0.25">
      <c r="A1993" s="127">
        <v>44821</v>
      </c>
      <c r="B1993" s="128" t="s">
        <v>30085</v>
      </c>
      <c r="C1993" s="194" t="s">
        <v>1008</v>
      </c>
      <c r="D1993" s="195">
        <v>19200</v>
      </c>
      <c r="E1993" s="196">
        <v>44821</v>
      </c>
      <c r="F1993" s="195">
        <v>19200</v>
      </c>
      <c r="G1993" s="197">
        <f>Tabla110[[#This Row],[Importe]]-Tabla110[[#This Row],[Pagado]]</f>
        <v>0</v>
      </c>
      <c r="H1993" s="194" t="s">
        <v>10</v>
      </c>
    </row>
    <row r="1994" spans="1:8" x14ac:dyDescent="0.25">
      <c r="A1994" s="127">
        <v>44821</v>
      </c>
      <c r="B1994" s="128" t="s">
        <v>30086</v>
      </c>
      <c r="C1994" s="194" t="s">
        <v>419</v>
      </c>
      <c r="D1994" s="195">
        <v>7351.1</v>
      </c>
      <c r="E1994" s="196">
        <v>44821</v>
      </c>
      <c r="F1994" s="195">
        <v>7351.1</v>
      </c>
      <c r="G1994" s="197">
        <f>Tabla110[[#This Row],[Importe]]-Tabla110[[#This Row],[Pagado]]</f>
        <v>0</v>
      </c>
      <c r="H1994" s="194" t="s">
        <v>10</v>
      </c>
    </row>
    <row r="1995" spans="1:8" x14ac:dyDescent="0.25">
      <c r="A1995" s="127">
        <v>44821</v>
      </c>
      <c r="B1995" s="128" t="s">
        <v>30087</v>
      </c>
      <c r="C1995" s="194" t="s">
        <v>67</v>
      </c>
      <c r="D1995" s="195">
        <v>5294.5</v>
      </c>
      <c r="E1995" s="196">
        <v>44821</v>
      </c>
      <c r="F1995" s="195">
        <v>5294.5</v>
      </c>
      <c r="G1995" s="197">
        <f>Tabla110[[#This Row],[Importe]]-Tabla110[[#This Row],[Pagado]]</f>
        <v>0</v>
      </c>
      <c r="H1995" s="194" t="s">
        <v>10</v>
      </c>
    </row>
    <row r="1996" spans="1:8" x14ac:dyDescent="0.25">
      <c r="A1996" s="127">
        <v>44821</v>
      </c>
      <c r="B1996" s="128" t="s">
        <v>30088</v>
      </c>
      <c r="C1996" s="194" t="s">
        <v>64</v>
      </c>
      <c r="D1996" s="195">
        <v>9345.6</v>
      </c>
      <c r="E1996" s="196">
        <v>44821</v>
      </c>
      <c r="F1996" s="195">
        <v>9345.6</v>
      </c>
      <c r="G1996" s="197">
        <f>Tabla110[[#This Row],[Importe]]-Tabla110[[#This Row],[Pagado]]</f>
        <v>0</v>
      </c>
      <c r="H1996" s="194" t="s">
        <v>10</v>
      </c>
    </row>
    <row r="1997" spans="1:8" x14ac:dyDescent="0.25">
      <c r="A1997" s="127">
        <v>44821</v>
      </c>
      <c r="B1997" s="128" t="s">
        <v>30089</v>
      </c>
      <c r="C1997" s="194" t="s">
        <v>31</v>
      </c>
      <c r="D1997" s="195">
        <v>1335</v>
      </c>
      <c r="E1997" s="196">
        <v>44821</v>
      </c>
      <c r="F1997" s="195">
        <v>1335</v>
      </c>
      <c r="G1997" s="197">
        <f>Tabla110[[#This Row],[Importe]]-Tabla110[[#This Row],[Pagado]]</f>
        <v>0</v>
      </c>
      <c r="H1997" s="194" t="s">
        <v>10</v>
      </c>
    </row>
    <row r="1998" spans="1:8" x14ac:dyDescent="0.25">
      <c r="A1998" s="127">
        <v>44821</v>
      </c>
      <c r="B1998" s="128" t="s">
        <v>30090</v>
      </c>
      <c r="C1998" s="194" t="s">
        <v>67</v>
      </c>
      <c r="D1998" s="195">
        <v>637.5</v>
      </c>
      <c r="E1998" s="196">
        <v>44821</v>
      </c>
      <c r="F1998" s="195">
        <v>637.5</v>
      </c>
      <c r="G1998" s="197">
        <f>Tabla110[[#This Row],[Importe]]-Tabla110[[#This Row],[Pagado]]</f>
        <v>0</v>
      </c>
      <c r="H1998" s="194" t="s">
        <v>10</v>
      </c>
    </row>
    <row r="1999" spans="1:8" x14ac:dyDescent="0.25">
      <c r="A1999" s="127">
        <v>44821</v>
      </c>
      <c r="B1999" s="128" t="s">
        <v>30091</v>
      </c>
      <c r="C1999" s="194" t="s">
        <v>452</v>
      </c>
      <c r="D1999" s="195">
        <v>6281.2</v>
      </c>
      <c r="E1999" s="196">
        <v>44821</v>
      </c>
      <c r="F1999" s="195">
        <v>6281.2</v>
      </c>
      <c r="G1999" s="197">
        <f>Tabla110[[#This Row],[Importe]]-Tabla110[[#This Row],[Pagado]]</f>
        <v>0</v>
      </c>
      <c r="H1999" s="194" t="s">
        <v>10</v>
      </c>
    </row>
    <row r="2000" spans="1:8" x14ac:dyDescent="0.25">
      <c r="A2000" s="127">
        <v>44821</v>
      </c>
      <c r="B2000" s="128" t="s">
        <v>30092</v>
      </c>
      <c r="C2000" s="194" t="s">
        <v>31</v>
      </c>
      <c r="D2000" s="195">
        <v>705</v>
      </c>
      <c r="E2000" s="196">
        <v>44821</v>
      </c>
      <c r="F2000" s="195">
        <v>705</v>
      </c>
      <c r="G2000" s="197">
        <f>Tabla110[[#This Row],[Importe]]-Tabla110[[#This Row],[Pagado]]</f>
        <v>0</v>
      </c>
      <c r="H2000" s="194" t="s">
        <v>10</v>
      </c>
    </row>
    <row r="2001" spans="1:8" x14ac:dyDescent="0.25">
      <c r="A2001" s="127">
        <v>44821</v>
      </c>
      <c r="B2001" s="128" t="s">
        <v>30093</v>
      </c>
      <c r="C2001" s="194" t="s">
        <v>612</v>
      </c>
      <c r="D2001" s="195">
        <v>900</v>
      </c>
      <c r="E2001" s="196">
        <v>44821</v>
      </c>
      <c r="F2001" s="195">
        <v>900</v>
      </c>
      <c r="G2001" s="197">
        <f>Tabla110[[#This Row],[Importe]]-Tabla110[[#This Row],[Pagado]]</f>
        <v>0</v>
      </c>
      <c r="H2001" s="194" t="s">
        <v>10</v>
      </c>
    </row>
    <row r="2002" spans="1:8" x14ac:dyDescent="0.25">
      <c r="A2002" s="127">
        <v>44821</v>
      </c>
      <c r="B2002" s="128" t="s">
        <v>30094</v>
      </c>
      <c r="C2002" s="194" t="s">
        <v>28087</v>
      </c>
      <c r="D2002" s="195">
        <v>160644.29999999999</v>
      </c>
      <c r="E2002" s="196">
        <v>44893</v>
      </c>
      <c r="F2002" s="195">
        <v>160644.29999999999</v>
      </c>
      <c r="G2002" s="197">
        <f>Tabla110[[#This Row],[Importe]]-Tabla110[[#This Row],[Pagado]]</f>
        <v>0</v>
      </c>
      <c r="H2002" s="78" t="s">
        <v>17776</v>
      </c>
    </row>
    <row r="2003" spans="1:8" x14ac:dyDescent="0.25">
      <c r="A2003" s="127">
        <v>44821</v>
      </c>
      <c r="B2003" s="128" t="s">
        <v>30095</v>
      </c>
      <c r="C2003" s="194" t="s">
        <v>58</v>
      </c>
      <c r="D2003" s="195">
        <v>3634.4</v>
      </c>
      <c r="E2003" s="196">
        <v>44821</v>
      </c>
      <c r="F2003" s="195">
        <v>3634.4</v>
      </c>
      <c r="G2003" s="197">
        <f>Tabla110[[#This Row],[Importe]]-Tabla110[[#This Row],[Pagado]]</f>
        <v>0</v>
      </c>
      <c r="H2003" s="194" t="s">
        <v>10</v>
      </c>
    </row>
    <row r="2004" spans="1:8" x14ac:dyDescent="0.25">
      <c r="A2004" s="127">
        <v>44821</v>
      </c>
      <c r="B2004" s="128" t="s">
        <v>30096</v>
      </c>
      <c r="C2004" s="194" t="s">
        <v>9</v>
      </c>
      <c r="D2004" s="195">
        <v>2102.6999999999998</v>
      </c>
      <c r="E2004" s="196">
        <v>44821</v>
      </c>
      <c r="F2004" s="195">
        <v>2102.6999999999998</v>
      </c>
      <c r="G2004" s="197">
        <f>Tabla110[[#This Row],[Importe]]-Tabla110[[#This Row],[Pagado]]</f>
        <v>0</v>
      </c>
      <c r="H2004" s="194" t="s">
        <v>10</v>
      </c>
    </row>
    <row r="2005" spans="1:8" x14ac:dyDescent="0.25">
      <c r="A2005" s="127">
        <v>44821</v>
      </c>
      <c r="B2005" s="128" t="s">
        <v>30097</v>
      </c>
      <c r="C2005" s="194" t="s">
        <v>612</v>
      </c>
      <c r="D2005" s="195">
        <v>221.6</v>
      </c>
      <c r="E2005" s="196">
        <v>44821</v>
      </c>
      <c r="F2005" s="195">
        <v>221.6</v>
      </c>
      <c r="G2005" s="197">
        <f>Tabla110[[#This Row],[Importe]]-Tabla110[[#This Row],[Pagado]]</f>
        <v>0</v>
      </c>
      <c r="H2005" s="194" t="s">
        <v>10</v>
      </c>
    </row>
    <row r="2006" spans="1:8" x14ac:dyDescent="0.25">
      <c r="A2006" s="127">
        <v>44821</v>
      </c>
      <c r="B2006" s="128" t="s">
        <v>30098</v>
      </c>
      <c r="C2006" s="194" t="s">
        <v>284</v>
      </c>
      <c r="D2006" s="195">
        <v>19245</v>
      </c>
      <c r="E2006" s="196">
        <v>44823</v>
      </c>
      <c r="F2006" s="195">
        <v>19245</v>
      </c>
      <c r="G2006" s="197">
        <f>Tabla110[[#This Row],[Importe]]-Tabla110[[#This Row],[Pagado]]</f>
        <v>0</v>
      </c>
      <c r="H2006" s="194" t="s">
        <v>10</v>
      </c>
    </row>
    <row r="2007" spans="1:8" x14ac:dyDescent="0.25">
      <c r="A2007" s="127">
        <v>44821</v>
      </c>
      <c r="B2007" s="128" t="s">
        <v>30099</v>
      </c>
      <c r="C2007" s="194" t="s">
        <v>15306</v>
      </c>
      <c r="D2007" s="195">
        <v>13497.7</v>
      </c>
      <c r="E2007" s="196">
        <v>44821</v>
      </c>
      <c r="F2007" s="195">
        <v>13497.7</v>
      </c>
      <c r="G2007" s="197">
        <f>Tabla110[[#This Row],[Importe]]-Tabla110[[#This Row],[Pagado]]</f>
        <v>0</v>
      </c>
      <c r="H2007" s="194" t="s">
        <v>10</v>
      </c>
    </row>
    <row r="2008" spans="1:8" x14ac:dyDescent="0.25">
      <c r="A2008" s="127">
        <v>44821</v>
      </c>
      <c r="B2008" s="128" t="s">
        <v>30100</v>
      </c>
      <c r="C2008" s="194" t="s">
        <v>16</v>
      </c>
      <c r="D2008" s="195">
        <v>2040</v>
      </c>
      <c r="E2008" s="196">
        <v>44821</v>
      </c>
      <c r="F2008" s="195">
        <v>2040</v>
      </c>
      <c r="G2008" s="197">
        <f>Tabla110[[#This Row],[Importe]]-Tabla110[[#This Row],[Pagado]]</f>
        <v>0</v>
      </c>
      <c r="H2008" s="194" t="s">
        <v>10</v>
      </c>
    </row>
    <row r="2009" spans="1:8" x14ac:dyDescent="0.25">
      <c r="A2009" s="127">
        <v>44821</v>
      </c>
      <c r="B2009" s="128" t="s">
        <v>30101</v>
      </c>
      <c r="C2009" s="194" t="s">
        <v>15306</v>
      </c>
      <c r="D2009" s="195">
        <v>742.5</v>
      </c>
      <c r="E2009" s="196">
        <v>44821</v>
      </c>
      <c r="F2009" s="195">
        <v>742.5</v>
      </c>
      <c r="G2009" s="197">
        <f>Tabla110[[#This Row],[Importe]]-Tabla110[[#This Row],[Pagado]]</f>
        <v>0</v>
      </c>
      <c r="H2009" s="194" t="s">
        <v>10</v>
      </c>
    </row>
    <row r="2010" spans="1:8" x14ac:dyDescent="0.25">
      <c r="A2010" s="127">
        <v>44821</v>
      </c>
      <c r="B2010" s="128" t="s">
        <v>30102</v>
      </c>
      <c r="C2010" s="194" t="s">
        <v>27</v>
      </c>
      <c r="D2010" s="195">
        <v>576.5</v>
      </c>
      <c r="E2010" s="196">
        <v>44821</v>
      </c>
      <c r="F2010" s="195">
        <v>576.5</v>
      </c>
      <c r="G2010" s="197">
        <f>Tabla110[[#This Row],[Importe]]-Tabla110[[#This Row],[Pagado]]</f>
        <v>0</v>
      </c>
      <c r="H2010" s="194" t="s">
        <v>10</v>
      </c>
    </row>
    <row r="2011" spans="1:8" x14ac:dyDescent="0.25">
      <c r="A2011" s="127">
        <v>44821</v>
      </c>
      <c r="B2011" s="128" t="s">
        <v>30103</v>
      </c>
      <c r="C2011" s="194" t="s">
        <v>5345</v>
      </c>
      <c r="D2011" s="195">
        <v>8600</v>
      </c>
      <c r="E2011" s="196">
        <v>44823</v>
      </c>
      <c r="F2011" s="195">
        <v>8600</v>
      </c>
      <c r="G2011" s="197">
        <f>Tabla110[[#This Row],[Importe]]-Tabla110[[#This Row],[Pagado]]</f>
        <v>0</v>
      </c>
      <c r="H2011" s="194" t="s">
        <v>10</v>
      </c>
    </row>
    <row r="2012" spans="1:8" x14ac:dyDescent="0.25">
      <c r="A2012" s="127">
        <v>44821</v>
      </c>
      <c r="B2012" s="128" t="s">
        <v>30104</v>
      </c>
      <c r="C2012" s="194" t="s">
        <v>31</v>
      </c>
      <c r="D2012" s="195">
        <v>1426.5</v>
      </c>
      <c r="E2012" s="196">
        <v>44821</v>
      </c>
      <c r="F2012" s="195">
        <v>1426.5</v>
      </c>
      <c r="G2012" s="197">
        <f>Tabla110[[#This Row],[Importe]]-Tabla110[[#This Row],[Pagado]]</f>
        <v>0</v>
      </c>
      <c r="H2012" s="194" t="s">
        <v>10</v>
      </c>
    </row>
    <row r="2013" spans="1:8" x14ac:dyDescent="0.25">
      <c r="A2013" s="127">
        <v>44821</v>
      </c>
      <c r="B2013" s="128" t="s">
        <v>30105</v>
      </c>
      <c r="C2013" s="194" t="s">
        <v>10819</v>
      </c>
      <c r="D2013" s="195">
        <v>4190</v>
      </c>
      <c r="E2013" s="196">
        <v>44823</v>
      </c>
      <c r="F2013" s="195">
        <v>4190</v>
      </c>
      <c r="G2013" s="197">
        <f>Tabla110[[#This Row],[Importe]]-Tabla110[[#This Row],[Pagado]]</f>
        <v>0</v>
      </c>
      <c r="H2013" s="194" t="s">
        <v>10</v>
      </c>
    </row>
    <row r="2014" spans="1:8" x14ac:dyDescent="0.25">
      <c r="A2014" s="127">
        <v>44821</v>
      </c>
      <c r="B2014" s="128" t="s">
        <v>30106</v>
      </c>
      <c r="C2014" s="194" t="s">
        <v>280</v>
      </c>
      <c r="D2014" s="195">
        <v>2947.5</v>
      </c>
      <c r="E2014" s="196">
        <v>44823</v>
      </c>
      <c r="F2014" s="195">
        <v>2947.5</v>
      </c>
      <c r="G2014" s="197">
        <f>Tabla110[[#This Row],[Importe]]-Tabla110[[#This Row],[Pagado]]</f>
        <v>0</v>
      </c>
      <c r="H2014" s="194" t="s">
        <v>10</v>
      </c>
    </row>
    <row r="2015" spans="1:8" x14ac:dyDescent="0.25">
      <c r="A2015" s="127">
        <v>44821</v>
      </c>
      <c r="B2015" s="128" t="s">
        <v>30107</v>
      </c>
      <c r="C2015" s="194" t="s">
        <v>282</v>
      </c>
      <c r="D2015" s="195">
        <v>2385</v>
      </c>
      <c r="E2015" s="196">
        <v>44823</v>
      </c>
      <c r="F2015" s="195">
        <v>2385</v>
      </c>
      <c r="G2015" s="197">
        <f>Tabla110[[#This Row],[Importe]]-Tabla110[[#This Row],[Pagado]]</f>
        <v>0</v>
      </c>
      <c r="H2015" s="194" t="s">
        <v>10</v>
      </c>
    </row>
    <row r="2016" spans="1:8" x14ac:dyDescent="0.25">
      <c r="A2016" s="127">
        <v>44821</v>
      </c>
      <c r="B2016" s="128" t="s">
        <v>30108</v>
      </c>
      <c r="C2016" s="194" t="s">
        <v>282</v>
      </c>
      <c r="D2016" s="195">
        <v>2250</v>
      </c>
      <c r="E2016" s="196">
        <v>44823</v>
      </c>
      <c r="F2016" s="195">
        <v>2250</v>
      </c>
      <c r="G2016" s="197">
        <f>Tabla110[[#This Row],[Importe]]-Tabla110[[#This Row],[Pagado]]</f>
        <v>0</v>
      </c>
      <c r="H2016" s="194" t="s">
        <v>10</v>
      </c>
    </row>
    <row r="2017" spans="1:8" x14ac:dyDescent="0.25">
      <c r="A2017" s="127">
        <v>44821</v>
      </c>
      <c r="B2017" s="128" t="s">
        <v>30109</v>
      </c>
      <c r="C2017" s="194" t="s">
        <v>214</v>
      </c>
      <c r="D2017" s="195">
        <v>1342.5</v>
      </c>
      <c r="E2017" s="196">
        <v>44821</v>
      </c>
      <c r="F2017" s="195">
        <v>1342.5</v>
      </c>
      <c r="G2017" s="197">
        <f>Tabla110[[#This Row],[Importe]]-Tabla110[[#This Row],[Pagado]]</f>
        <v>0</v>
      </c>
      <c r="H2017" s="194" t="s">
        <v>10</v>
      </c>
    </row>
    <row r="2018" spans="1:8" x14ac:dyDescent="0.25">
      <c r="A2018" s="127">
        <v>44821</v>
      </c>
      <c r="B2018" s="128" t="s">
        <v>30110</v>
      </c>
      <c r="C2018" s="194" t="s">
        <v>475</v>
      </c>
      <c r="D2018" s="195">
        <v>46011.6</v>
      </c>
      <c r="E2018" s="196">
        <v>44822</v>
      </c>
      <c r="F2018" s="195">
        <v>46011.6</v>
      </c>
      <c r="G2018" s="197">
        <f>Tabla110[[#This Row],[Importe]]-Tabla110[[#This Row],[Pagado]]</f>
        <v>0</v>
      </c>
      <c r="H2018" s="194" t="s">
        <v>10</v>
      </c>
    </row>
    <row r="2019" spans="1:8" x14ac:dyDescent="0.25">
      <c r="A2019" s="127">
        <v>44821</v>
      </c>
      <c r="B2019" s="128" t="s">
        <v>30111</v>
      </c>
      <c r="C2019" s="194" t="s">
        <v>2151</v>
      </c>
      <c r="D2019" s="195">
        <v>10867.8</v>
      </c>
      <c r="E2019" s="196">
        <v>44821</v>
      </c>
      <c r="F2019" s="195">
        <v>10867.8</v>
      </c>
      <c r="G2019" s="197">
        <f>Tabla110[[#This Row],[Importe]]-Tabla110[[#This Row],[Pagado]]</f>
        <v>0</v>
      </c>
      <c r="H2019" s="194" t="s">
        <v>10</v>
      </c>
    </row>
    <row r="2020" spans="1:8" x14ac:dyDescent="0.25">
      <c r="A2020" s="127">
        <v>44821</v>
      </c>
      <c r="B2020" s="128" t="s">
        <v>30112</v>
      </c>
      <c r="C2020" s="194" t="s">
        <v>51</v>
      </c>
      <c r="D2020" s="195">
        <v>6528.2</v>
      </c>
      <c r="E2020" s="196">
        <v>44821</v>
      </c>
      <c r="F2020" s="195">
        <v>6528.2</v>
      </c>
      <c r="G2020" s="197">
        <f>Tabla110[[#This Row],[Importe]]-Tabla110[[#This Row],[Pagado]]</f>
        <v>0</v>
      </c>
      <c r="H2020" s="194" t="s">
        <v>10</v>
      </c>
    </row>
    <row r="2021" spans="1:8" x14ac:dyDescent="0.25">
      <c r="A2021" s="127">
        <v>44821</v>
      </c>
      <c r="B2021" s="128" t="s">
        <v>30113</v>
      </c>
      <c r="C2021" s="194" t="s">
        <v>31</v>
      </c>
      <c r="D2021" s="195">
        <v>4950</v>
      </c>
      <c r="E2021" s="196">
        <v>44821</v>
      </c>
      <c r="F2021" s="195">
        <v>4950</v>
      </c>
      <c r="G2021" s="197">
        <f>Tabla110[[#This Row],[Importe]]-Tabla110[[#This Row],[Pagado]]</f>
        <v>0</v>
      </c>
      <c r="H2021" s="194" t="s">
        <v>10</v>
      </c>
    </row>
    <row r="2022" spans="1:8" x14ac:dyDescent="0.25">
      <c r="A2022" s="127">
        <v>44821</v>
      </c>
      <c r="B2022" s="128" t="s">
        <v>30114</v>
      </c>
      <c r="C2022" s="194" t="s">
        <v>31</v>
      </c>
      <c r="D2022" s="195">
        <v>1525.2</v>
      </c>
      <c r="E2022" s="196">
        <v>44821</v>
      </c>
      <c r="F2022" s="195">
        <v>1525.2</v>
      </c>
      <c r="G2022" s="197">
        <f>Tabla110[[#This Row],[Importe]]-Tabla110[[#This Row],[Pagado]]</f>
        <v>0</v>
      </c>
      <c r="H2022" s="194" t="s">
        <v>10</v>
      </c>
    </row>
    <row r="2023" spans="1:8" x14ac:dyDescent="0.25">
      <c r="A2023" s="127">
        <v>44821</v>
      </c>
      <c r="B2023" s="128" t="s">
        <v>30115</v>
      </c>
      <c r="C2023" s="194" t="s">
        <v>857</v>
      </c>
      <c r="D2023" s="195">
        <v>1804</v>
      </c>
      <c r="E2023" s="196">
        <v>44821</v>
      </c>
      <c r="F2023" s="195">
        <v>1804</v>
      </c>
      <c r="G2023" s="197">
        <f>Tabla110[[#This Row],[Importe]]-Tabla110[[#This Row],[Pagado]]</f>
        <v>0</v>
      </c>
      <c r="H2023" s="194" t="s">
        <v>10</v>
      </c>
    </row>
    <row r="2024" spans="1:8" x14ac:dyDescent="0.25">
      <c r="A2024" s="127">
        <v>44821</v>
      </c>
      <c r="B2024" s="128" t="s">
        <v>30116</v>
      </c>
      <c r="C2024" s="194" t="s">
        <v>654</v>
      </c>
      <c r="D2024" s="195">
        <v>9937.2000000000007</v>
      </c>
      <c r="E2024" s="196">
        <v>44821</v>
      </c>
      <c r="F2024" s="195">
        <v>9937.2000000000007</v>
      </c>
      <c r="G2024" s="197">
        <f>Tabla110[[#This Row],[Importe]]-Tabla110[[#This Row],[Pagado]]</f>
        <v>0</v>
      </c>
      <c r="H2024" s="194" t="s">
        <v>10</v>
      </c>
    </row>
    <row r="2025" spans="1:8" x14ac:dyDescent="0.25">
      <c r="A2025" s="127">
        <v>44821</v>
      </c>
      <c r="B2025" s="128" t="s">
        <v>30117</v>
      </c>
      <c r="C2025" s="194" t="s">
        <v>69</v>
      </c>
      <c r="D2025" s="195">
        <v>2774</v>
      </c>
      <c r="E2025" s="196">
        <v>44821</v>
      </c>
      <c r="F2025" s="195">
        <v>2774</v>
      </c>
      <c r="G2025" s="197">
        <f>Tabla110[[#This Row],[Importe]]-Tabla110[[#This Row],[Pagado]]</f>
        <v>0</v>
      </c>
      <c r="H2025" s="194" t="s">
        <v>10</v>
      </c>
    </row>
    <row r="2026" spans="1:8" x14ac:dyDescent="0.25">
      <c r="A2026" s="127">
        <v>44821</v>
      </c>
      <c r="B2026" s="128" t="s">
        <v>30118</v>
      </c>
      <c r="C2026" s="194" t="s">
        <v>149</v>
      </c>
      <c r="D2026" s="195">
        <v>1116</v>
      </c>
      <c r="E2026" s="196">
        <v>44821</v>
      </c>
      <c r="F2026" s="195">
        <v>1116</v>
      </c>
      <c r="G2026" s="197">
        <f>Tabla110[[#This Row],[Importe]]-Tabla110[[#This Row],[Pagado]]</f>
        <v>0</v>
      </c>
      <c r="H2026" s="194" t="s">
        <v>10</v>
      </c>
    </row>
    <row r="2027" spans="1:8" x14ac:dyDescent="0.25">
      <c r="A2027" s="127">
        <v>44821</v>
      </c>
      <c r="B2027" s="128" t="s">
        <v>30119</v>
      </c>
      <c r="C2027" s="194" t="s">
        <v>149</v>
      </c>
      <c r="D2027" s="195">
        <v>1360</v>
      </c>
      <c r="E2027" s="196">
        <v>44821</v>
      </c>
      <c r="F2027" s="195">
        <v>1360</v>
      </c>
      <c r="G2027" s="197">
        <f>Tabla110[[#This Row],[Importe]]-Tabla110[[#This Row],[Pagado]]</f>
        <v>0</v>
      </c>
      <c r="H2027" s="194" t="s">
        <v>10</v>
      </c>
    </row>
    <row r="2028" spans="1:8" x14ac:dyDescent="0.25">
      <c r="A2028" s="127">
        <v>44821</v>
      </c>
      <c r="B2028" s="128" t="s">
        <v>30120</v>
      </c>
      <c r="C2028" s="194" t="s">
        <v>1421</v>
      </c>
      <c r="D2028" s="195">
        <v>42651</v>
      </c>
      <c r="E2028" s="196">
        <v>44821</v>
      </c>
      <c r="F2028" s="195">
        <v>42651</v>
      </c>
      <c r="G2028" s="197">
        <f>Tabla110[[#This Row],[Importe]]-Tabla110[[#This Row],[Pagado]]</f>
        <v>0</v>
      </c>
      <c r="H2028" s="194" t="s">
        <v>10</v>
      </c>
    </row>
    <row r="2029" spans="1:8" x14ac:dyDescent="0.25">
      <c r="A2029" s="127">
        <v>44821</v>
      </c>
      <c r="B2029" s="128" t="s">
        <v>30121</v>
      </c>
      <c r="C2029" s="194" t="s">
        <v>654</v>
      </c>
      <c r="D2029" s="195">
        <v>608</v>
      </c>
      <c r="E2029" s="196">
        <v>44821</v>
      </c>
      <c r="F2029" s="195">
        <v>608</v>
      </c>
      <c r="G2029" s="197">
        <f>Tabla110[[#This Row],[Importe]]-Tabla110[[#This Row],[Pagado]]</f>
        <v>0</v>
      </c>
      <c r="H2029" s="194" t="s">
        <v>10</v>
      </c>
    </row>
    <row r="2030" spans="1:8" x14ac:dyDescent="0.25">
      <c r="A2030" s="127">
        <v>44821</v>
      </c>
      <c r="B2030" s="128" t="s">
        <v>30122</v>
      </c>
      <c r="C2030" s="194" t="s">
        <v>654</v>
      </c>
      <c r="D2030" s="195">
        <v>400</v>
      </c>
      <c r="E2030" s="196">
        <v>44821</v>
      </c>
      <c r="F2030" s="195">
        <v>400</v>
      </c>
      <c r="G2030" s="197">
        <f>Tabla110[[#This Row],[Importe]]-Tabla110[[#This Row],[Pagado]]</f>
        <v>0</v>
      </c>
      <c r="H2030" s="194" t="s">
        <v>10</v>
      </c>
    </row>
    <row r="2031" spans="1:8" x14ac:dyDescent="0.25">
      <c r="A2031" s="127">
        <v>44821</v>
      </c>
      <c r="B2031" s="128" t="s">
        <v>30123</v>
      </c>
      <c r="C2031" s="194" t="s">
        <v>196</v>
      </c>
      <c r="D2031" s="195">
        <v>1852.32</v>
      </c>
      <c r="E2031" s="196">
        <v>44827</v>
      </c>
      <c r="F2031" s="195">
        <v>1852.32</v>
      </c>
      <c r="G2031" s="197">
        <f>Tabla110[[#This Row],[Importe]]-Tabla110[[#This Row],[Pagado]]</f>
        <v>0</v>
      </c>
      <c r="H2031" s="194" t="s">
        <v>10</v>
      </c>
    </row>
    <row r="2032" spans="1:8" x14ac:dyDescent="0.25">
      <c r="A2032" s="127">
        <v>44821</v>
      </c>
      <c r="B2032" s="128" t="s">
        <v>30124</v>
      </c>
      <c r="C2032" s="194" t="s">
        <v>31</v>
      </c>
      <c r="D2032" s="195">
        <v>569.20000000000005</v>
      </c>
      <c r="E2032" s="196">
        <v>44821</v>
      </c>
      <c r="F2032" s="195">
        <v>569.20000000000005</v>
      </c>
      <c r="G2032" s="197">
        <f>Tabla110[[#This Row],[Importe]]-Tabla110[[#This Row],[Pagado]]</f>
        <v>0</v>
      </c>
      <c r="H2032" s="194" t="s">
        <v>10</v>
      </c>
    </row>
    <row r="2033" spans="1:8" x14ac:dyDescent="0.25">
      <c r="A2033" s="127">
        <v>44821</v>
      </c>
      <c r="B2033" s="128" t="s">
        <v>30125</v>
      </c>
      <c r="C2033" s="194" t="s">
        <v>31</v>
      </c>
      <c r="D2033" s="195">
        <v>187</v>
      </c>
      <c r="E2033" s="196">
        <v>44821</v>
      </c>
      <c r="F2033" s="195">
        <v>187</v>
      </c>
      <c r="G2033" s="197">
        <f>Tabla110[[#This Row],[Importe]]-Tabla110[[#This Row],[Pagado]]</f>
        <v>0</v>
      </c>
      <c r="H2033" s="194" t="s">
        <v>10</v>
      </c>
    </row>
    <row r="2034" spans="1:8" x14ac:dyDescent="0.25">
      <c r="A2034" s="127">
        <v>44821</v>
      </c>
      <c r="B2034" s="128" t="s">
        <v>30126</v>
      </c>
      <c r="C2034" s="194" t="s">
        <v>10190</v>
      </c>
      <c r="D2034" s="195">
        <v>22602.6</v>
      </c>
      <c r="E2034" s="196">
        <v>44822</v>
      </c>
      <c r="F2034" s="195">
        <v>22602.6</v>
      </c>
      <c r="G2034" s="197">
        <f>Tabla110[[#This Row],[Importe]]-Tabla110[[#This Row],[Pagado]]</f>
        <v>0</v>
      </c>
      <c r="H2034" s="194" t="s">
        <v>10</v>
      </c>
    </row>
    <row r="2035" spans="1:8" x14ac:dyDescent="0.25">
      <c r="A2035" s="127">
        <v>44821</v>
      </c>
      <c r="B2035" s="128" t="s">
        <v>30127</v>
      </c>
      <c r="C2035" s="194" t="s">
        <v>31</v>
      </c>
      <c r="D2035" s="195">
        <v>668.8</v>
      </c>
      <c r="E2035" s="196">
        <v>44821</v>
      </c>
      <c r="F2035" s="195">
        <v>668.8</v>
      </c>
      <c r="G2035" s="197">
        <f>Tabla110[[#This Row],[Importe]]-Tabla110[[#This Row],[Pagado]]</f>
        <v>0</v>
      </c>
      <c r="H2035" s="194" t="s">
        <v>10</v>
      </c>
    </row>
    <row r="2036" spans="1:8" x14ac:dyDescent="0.25">
      <c r="A2036" s="127">
        <v>44821</v>
      </c>
      <c r="B2036" s="128" t="s">
        <v>30128</v>
      </c>
      <c r="C2036" s="194" t="s">
        <v>8190</v>
      </c>
      <c r="D2036" s="195">
        <v>3280</v>
      </c>
      <c r="E2036" s="196">
        <v>44821</v>
      </c>
      <c r="F2036" s="195">
        <v>3280</v>
      </c>
      <c r="G2036" s="197">
        <f>Tabla110[[#This Row],[Importe]]-Tabla110[[#This Row],[Pagado]]</f>
        <v>0</v>
      </c>
      <c r="H2036" s="194" t="s">
        <v>10</v>
      </c>
    </row>
    <row r="2037" spans="1:8" x14ac:dyDescent="0.25">
      <c r="A2037" s="127">
        <v>44821</v>
      </c>
      <c r="B2037" s="128" t="s">
        <v>30129</v>
      </c>
      <c r="C2037" s="194" t="s">
        <v>224</v>
      </c>
      <c r="D2037" s="195">
        <v>1747.6</v>
      </c>
      <c r="E2037" s="196">
        <v>44821</v>
      </c>
      <c r="F2037" s="195">
        <v>1747.6</v>
      </c>
      <c r="G2037" s="197">
        <f>Tabla110[[#This Row],[Importe]]-Tabla110[[#This Row],[Pagado]]</f>
        <v>0</v>
      </c>
      <c r="H2037" s="194" t="s">
        <v>10</v>
      </c>
    </row>
    <row r="2038" spans="1:8" x14ac:dyDescent="0.25">
      <c r="A2038" s="127">
        <v>44821</v>
      </c>
      <c r="B2038" s="128" t="s">
        <v>30130</v>
      </c>
      <c r="C2038" s="194" t="s">
        <v>53</v>
      </c>
      <c r="D2038" s="195">
        <v>2659.8</v>
      </c>
      <c r="E2038" s="196">
        <v>44821</v>
      </c>
      <c r="F2038" s="195">
        <v>2659.8</v>
      </c>
      <c r="G2038" s="197">
        <f>Tabla110[[#This Row],[Importe]]-Tabla110[[#This Row],[Pagado]]</f>
        <v>0</v>
      </c>
      <c r="H2038" s="194" t="s">
        <v>10</v>
      </c>
    </row>
    <row r="2039" spans="1:8" x14ac:dyDescent="0.25">
      <c r="A2039" s="127">
        <v>44821</v>
      </c>
      <c r="B2039" s="128" t="s">
        <v>30131</v>
      </c>
      <c r="C2039" s="194" t="s">
        <v>463</v>
      </c>
      <c r="D2039" s="195">
        <v>550</v>
      </c>
      <c r="E2039" s="196">
        <v>44824</v>
      </c>
      <c r="F2039" s="195">
        <v>550</v>
      </c>
      <c r="G2039" s="197">
        <f>Tabla110[[#This Row],[Importe]]-Tabla110[[#This Row],[Pagado]]</f>
        <v>0</v>
      </c>
      <c r="H2039" s="194" t="s">
        <v>10</v>
      </c>
    </row>
    <row r="2040" spans="1:8" x14ac:dyDescent="0.25">
      <c r="A2040" s="127">
        <v>44821</v>
      </c>
      <c r="B2040" s="128" t="s">
        <v>30132</v>
      </c>
      <c r="C2040" s="194" t="s">
        <v>31</v>
      </c>
      <c r="D2040" s="195">
        <v>92.8</v>
      </c>
      <c r="E2040" s="196">
        <v>44821</v>
      </c>
      <c r="F2040" s="195">
        <v>92.8</v>
      </c>
      <c r="G2040" s="197">
        <f>Tabla110[[#This Row],[Importe]]-Tabla110[[#This Row],[Pagado]]</f>
        <v>0</v>
      </c>
      <c r="H2040" s="194" t="s">
        <v>10</v>
      </c>
    </row>
    <row r="2041" spans="1:8" x14ac:dyDescent="0.25">
      <c r="A2041" s="127">
        <v>44821</v>
      </c>
      <c r="B2041" s="128" t="s">
        <v>30133</v>
      </c>
      <c r="C2041" s="194" t="s">
        <v>196</v>
      </c>
      <c r="D2041" s="195">
        <v>15179.4</v>
      </c>
      <c r="E2041" s="196">
        <v>44827</v>
      </c>
      <c r="F2041" s="195">
        <v>15179.4</v>
      </c>
      <c r="G2041" s="197">
        <f>Tabla110[[#This Row],[Importe]]-Tabla110[[#This Row],[Pagado]]</f>
        <v>0</v>
      </c>
      <c r="H2041" s="194" t="s">
        <v>10</v>
      </c>
    </row>
    <row r="2042" spans="1:8" x14ac:dyDescent="0.25">
      <c r="A2042" s="127">
        <v>44821</v>
      </c>
      <c r="B2042" s="128" t="s">
        <v>30134</v>
      </c>
      <c r="C2042" s="194" t="s">
        <v>31</v>
      </c>
      <c r="D2042" s="195">
        <v>108</v>
      </c>
      <c r="E2042" s="196">
        <v>44822</v>
      </c>
      <c r="F2042" s="195">
        <v>108</v>
      </c>
      <c r="G2042" s="197">
        <f>Tabla110[[#This Row],[Importe]]-Tabla110[[#This Row],[Pagado]]</f>
        <v>0</v>
      </c>
      <c r="H2042" s="194" t="s">
        <v>10</v>
      </c>
    </row>
    <row r="2043" spans="1:8" x14ac:dyDescent="0.25">
      <c r="A2043" s="127">
        <v>44821</v>
      </c>
      <c r="B2043" s="128" t="s">
        <v>30135</v>
      </c>
      <c r="C2043" s="194" t="s">
        <v>459</v>
      </c>
      <c r="D2043" s="195">
        <v>213</v>
      </c>
      <c r="E2043" s="196">
        <v>44821</v>
      </c>
      <c r="F2043" s="195">
        <v>213</v>
      </c>
      <c r="G2043" s="197">
        <f>Tabla110[[#This Row],[Importe]]-Tabla110[[#This Row],[Pagado]]</f>
        <v>0</v>
      </c>
      <c r="H2043" s="194" t="s">
        <v>10</v>
      </c>
    </row>
    <row r="2044" spans="1:8" x14ac:dyDescent="0.25">
      <c r="A2044" s="127">
        <v>44821</v>
      </c>
      <c r="B2044" s="128" t="s">
        <v>30136</v>
      </c>
      <c r="C2044" s="194" t="s">
        <v>457</v>
      </c>
      <c r="D2044" s="195">
        <v>248</v>
      </c>
      <c r="E2044" s="196">
        <v>44821</v>
      </c>
      <c r="F2044" s="195">
        <v>248</v>
      </c>
      <c r="G2044" s="197">
        <f>Tabla110[[#This Row],[Importe]]-Tabla110[[#This Row],[Pagado]]</f>
        <v>0</v>
      </c>
      <c r="H2044" s="194" t="s">
        <v>10</v>
      </c>
    </row>
    <row r="2045" spans="1:8" ht="31.5" x14ac:dyDescent="0.25">
      <c r="A2045" s="127">
        <v>44821</v>
      </c>
      <c r="B2045" s="128" t="s">
        <v>30137</v>
      </c>
      <c r="C2045" s="194" t="s">
        <v>461</v>
      </c>
      <c r="D2045" s="195">
        <v>394</v>
      </c>
      <c r="E2045" s="198" t="s">
        <v>30008</v>
      </c>
      <c r="F2045" s="195">
        <f>200+194</f>
        <v>394</v>
      </c>
      <c r="G2045" s="197">
        <f>Tabla110[[#This Row],[Importe]]-Tabla110[[#This Row],[Pagado]]</f>
        <v>0</v>
      </c>
      <c r="H2045" s="194" t="s">
        <v>10</v>
      </c>
    </row>
    <row r="2046" spans="1:8" x14ac:dyDescent="0.25">
      <c r="A2046" s="127">
        <v>44822</v>
      </c>
      <c r="B2046" s="128" t="s">
        <v>30138</v>
      </c>
      <c r="C2046" s="194" t="s">
        <v>1187</v>
      </c>
      <c r="D2046" s="195">
        <v>2897.2</v>
      </c>
      <c r="E2046" s="196">
        <v>44822</v>
      </c>
      <c r="F2046" s="195">
        <v>2897.2</v>
      </c>
      <c r="G2046" s="197">
        <f>Tabla110[[#This Row],[Importe]]-Tabla110[[#This Row],[Pagado]]</f>
        <v>0</v>
      </c>
      <c r="H2046" s="194" t="s">
        <v>10</v>
      </c>
    </row>
    <row r="2047" spans="1:8" x14ac:dyDescent="0.25">
      <c r="A2047" s="127">
        <v>44822</v>
      </c>
      <c r="B2047" s="128" t="s">
        <v>30139</v>
      </c>
      <c r="C2047" s="194" t="s">
        <v>20</v>
      </c>
      <c r="D2047" s="195">
        <v>10480</v>
      </c>
      <c r="E2047" s="196">
        <v>44822</v>
      </c>
      <c r="F2047" s="195">
        <v>10480</v>
      </c>
      <c r="G2047" s="197">
        <f>Tabla110[[#This Row],[Importe]]-Tabla110[[#This Row],[Pagado]]</f>
        <v>0</v>
      </c>
      <c r="H2047" s="194" t="s">
        <v>10</v>
      </c>
    </row>
    <row r="2048" spans="1:8" x14ac:dyDescent="0.25">
      <c r="A2048" s="127">
        <v>44822</v>
      </c>
      <c r="B2048" s="128" t="s">
        <v>30140</v>
      </c>
      <c r="C2048" s="194" t="s">
        <v>475</v>
      </c>
      <c r="D2048" s="195">
        <v>49180.800000000003</v>
      </c>
      <c r="E2048" s="196">
        <v>44823</v>
      </c>
      <c r="F2048" s="195">
        <v>49180.800000000003</v>
      </c>
      <c r="G2048" s="197">
        <f>Tabla110[[#This Row],[Importe]]-Tabla110[[#This Row],[Pagado]]</f>
        <v>0</v>
      </c>
      <c r="H2048" s="194" t="s">
        <v>10</v>
      </c>
    </row>
    <row r="2049" spans="1:8" x14ac:dyDescent="0.25">
      <c r="A2049" s="127">
        <v>44822</v>
      </c>
      <c r="B2049" s="128" t="s">
        <v>30141</v>
      </c>
      <c r="C2049" s="194" t="s">
        <v>9</v>
      </c>
      <c r="D2049" s="195">
        <v>10002</v>
      </c>
      <c r="E2049" s="196">
        <v>44822</v>
      </c>
      <c r="F2049" s="195">
        <v>10002</v>
      </c>
      <c r="G2049" s="197">
        <f>Tabla110[[#This Row],[Importe]]-Tabla110[[#This Row],[Pagado]]</f>
        <v>0</v>
      </c>
      <c r="H2049" s="194" t="s">
        <v>10</v>
      </c>
    </row>
    <row r="2050" spans="1:8" x14ac:dyDescent="0.25">
      <c r="A2050" s="127">
        <v>44822</v>
      </c>
      <c r="B2050" s="128" t="s">
        <v>30142</v>
      </c>
      <c r="C2050" s="194" t="s">
        <v>24768</v>
      </c>
      <c r="D2050" s="195">
        <v>4381.8</v>
      </c>
      <c r="E2050" s="196">
        <v>44822</v>
      </c>
      <c r="F2050" s="195">
        <v>4381.8</v>
      </c>
      <c r="G2050" s="197">
        <f>Tabla110[[#This Row],[Importe]]-Tabla110[[#This Row],[Pagado]]</f>
        <v>0</v>
      </c>
      <c r="H2050" s="194" t="s">
        <v>10</v>
      </c>
    </row>
    <row r="2051" spans="1:8" x14ac:dyDescent="0.25">
      <c r="A2051" s="127">
        <v>44822</v>
      </c>
      <c r="B2051" s="128" t="s">
        <v>30143</v>
      </c>
      <c r="C2051" s="194" t="s">
        <v>12</v>
      </c>
      <c r="D2051" s="195">
        <v>41156.6</v>
      </c>
      <c r="E2051" s="196">
        <v>44823</v>
      </c>
      <c r="F2051" s="195">
        <v>41156.6</v>
      </c>
      <c r="G2051" s="197">
        <f>Tabla110[[#This Row],[Importe]]-Tabla110[[#This Row],[Pagado]]</f>
        <v>0</v>
      </c>
      <c r="H2051" s="194" t="s">
        <v>10</v>
      </c>
    </row>
    <row r="2052" spans="1:8" x14ac:dyDescent="0.25">
      <c r="A2052" s="127">
        <v>44822</v>
      </c>
      <c r="B2052" s="128" t="s">
        <v>30144</v>
      </c>
      <c r="C2052" s="194" t="s">
        <v>31</v>
      </c>
      <c r="D2052" s="195">
        <v>1565.6</v>
      </c>
      <c r="E2052" s="196">
        <v>44822</v>
      </c>
      <c r="F2052" s="195">
        <v>1565.6</v>
      </c>
      <c r="G2052" s="197">
        <f>Tabla110[[#This Row],[Importe]]-Tabla110[[#This Row],[Pagado]]</f>
        <v>0</v>
      </c>
      <c r="H2052" s="194" t="s">
        <v>10</v>
      </c>
    </row>
    <row r="2053" spans="1:8" x14ac:dyDescent="0.25">
      <c r="A2053" s="127">
        <v>44822</v>
      </c>
      <c r="B2053" s="128" t="s">
        <v>30145</v>
      </c>
      <c r="C2053" s="194" t="s">
        <v>22</v>
      </c>
      <c r="D2053" s="195">
        <v>60428.4</v>
      </c>
      <c r="E2053" s="196">
        <v>44822</v>
      </c>
      <c r="F2053" s="195">
        <v>60428.4</v>
      </c>
      <c r="G2053" s="197">
        <f>Tabla110[[#This Row],[Importe]]-Tabla110[[#This Row],[Pagado]]</f>
        <v>0</v>
      </c>
      <c r="H2053" s="194" t="s">
        <v>10</v>
      </c>
    </row>
    <row r="2054" spans="1:8" x14ac:dyDescent="0.25">
      <c r="A2054" s="127">
        <v>44822</v>
      </c>
      <c r="B2054" s="128" t="s">
        <v>30146</v>
      </c>
      <c r="C2054" s="194" t="s">
        <v>17556</v>
      </c>
      <c r="D2054" s="195">
        <v>4043.6</v>
      </c>
      <c r="E2054" s="196">
        <v>44822</v>
      </c>
      <c r="F2054" s="195">
        <v>4043.6</v>
      </c>
      <c r="G2054" s="197">
        <f>Tabla110[[#This Row],[Importe]]-Tabla110[[#This Row],[Pagado]]</f>
        <v>0</v>
      </c>
      <c r="H2054" s="194" t="s">
        <v>10</v>
      </c>
    </row>
    <row r="2055" spans="1:8" x14ac:dyDescent="0.25">
      <c r="A2055" s="127">
        <v>44822</v>
      </c>
      <c r="B2055" s="128" t="s">
        <v>30147</v>
      </c>
      <c r="C2055" s="194" t="s">
        <v>51</v>
      </c>
      <c r="D2055" s="195">
        <v>3494.5</v>
      </c>
      <c r="E2055" s="196">
        <v>44822</v>
      </c>
      <c r="F2055" s="195">
        <v>3494.5</v>
      </c>
      <c r="G2055" s="197">
        <f>Tabla110[[#This Row],[Importe]]-Tabla110[[#This Row],[Pagado]]</f>
        <v>0</v>
      </c>
      <c r="H2055" s="194" t="s">
        <v>10</v>
      </c>
    </row>
    <row r="2056" spans="1:8" x14ac:dyDescent="0.25">
      <c r="A2056" s="127">
        <v>44822</v>
      </c>
      <c r="B2056" s="128" t="s">
        <v>30148</v>
      </c>
      <c r="C2056" s="194" t="s">
        <v>16</v>
      </c>
      <c r="D2056" s="195">
        <v>11709.2</v>
      </c>
      <c r="E2056" s="196">
        <v>44822</v>
      </c>
      <c r="F2056" s="195">
        <v>11709.2</v>
      </c>
      <c r="G2056" s="197">
        <f>Tabla110[[#This Row],[Importe]]-Tabla110[[#This Row],[Pagado]]</f>
        <v>0</v>
      </c>
      <c r="H2056" s="194" t="s">
        <v>10</v>
      </c>
    </row>
    <row r="2057" spans="1:8" x14ac:dyDescent="0.25">
      <c r="A2057" s="127">
        <v>44822</v>
      </c>
      <c r="B2057" s="128" t="s">
        <v>30149</v>
      </c>
      <c r="C2057" s="194" t="s">
        <v>28294</v>
      </c>
      <c r="D2057" s="195">
        <v>14596.6</v>
      </c>
      <c r="E2057" s="196">
        <v>44822</v>
      </c>
      <c r="F2057" s="195">
        <v>14596.6</v>
      </c>
      <c r="G2057" s="197">
        <f>Tabla110[[#This Row],[Importe]]-Tabla110[[#This Row],[Pagado]]</f>
        <v>0</v>
      </c>
      <c r="H2057" s="194" t="s">
        <v>10</v>
      </c>
    </row>
    <row r="2058" spans="1:8" x14ac:dyDescent="0.25">
      <c r="A2058" s="127">
        <v>44822</v>
      </c>
      <c r="B2058" s="128" t="s">
        <v>30150</v>
      </c>
      <c r="C2058" s="194" t="s">
        <v>56</v>
      </c>
      <c r="D2058" s="195">
        <v>9997.7999999999993</v>
      </c>
      <c r="E2058" s="196">
        <v>44822</v>
      </c>
      <c r="F2058" s="195">
        <v>9997.7999999999993</v>
      </c>
      <c r="G2058" s="197">
        <f>Tabla110[[#This Row],[Importe]]-Tabla110[[#This Row],[Pagado]]</f>
        <v>0</v>
      </c>
      <c r="H2058" s="194" t="s">
        <v>10</v>
      </c>
    </row>
    <row r="2059" spans="1:8" x14ac:dyDescent="0.25">
      <c r="A2059" s="127">
        <v>44822</v>
      </c>
      <c r="B2059" s="128" t="s">
        <v>30151</v>
      </c>
      <c r="C2059" s="194" t="s">
        <v>2780</v>
      </c>
      <c r="D2059" s="195">
        <v>17819.400000000001</v>
      </c>
      <c r="E2059" s="196">
        <v>44822</v>
      </c>
      <c r="F2059" s="195">
        <v>17819.400000000001</v>
      </c>
      <c r="G2059" s="197">
        <f>Tabla110[[#This Row],[Importe]]-Tabla110[[#This Row],[Pagado]]</f>
        <v>0</v>
      </c>
      <c r="H2059" s="194" t="s">
        <v>10</v>
      </c>
    </row>
    <row r="2060" spans="1:8" x14ac:dyDescent="0.25">
      <c r="A2060" s="127">
        <v>44822</v>
      </c>
      <c r="B2060" s="128" t="s">
        <v>30152</v>
      </c>
      <c r="C2060" s="194" t="s">
        <v>49</v>
      </c>
      <c r="D2060" s="195">
        <v>4296</v>
      </c>
      <c r="E2060" s="196">
        <v>44822</v>
      </c>
      <c r="F2060" s="195">
        <v>4296</v>
      </c>
      <c r="G2060" s="197">
        <f>Tabla110[[#This Row],[Importe]]-Tabla110[[#This Row],[Pagado]]</f>
        <v>0</v>
      </c>
      <c r="H2060" s="194" t="s">
        <v>10</v>
      </c>
    </row>
    <row r="2061" spans="1:8" x14ac:dyDescent="0.25">
      <c r="A2061" s="127">
        <v>44822</v>
      </c>
      <c r="B2061" s="128" t="s">
        <v>30153</v>
      </c>
      <c r="C2061" s="194" t="s">
        <v>49</v>
      </c>
      <c r="D2061" s="195">
        <v>369</v>
      </c>
      <c r="E2061" s="196">
        <v>44822</v>
      </c>
      <c r="F2061" s="195">
        <v>369</v>
      </c>
      <c r="G2061" s="197">
        <f>Tabla110[[#This Row],[Importe]]-Tabla110[[#This Row],[Pagado]]</f>
        <v>0</v>
      </c>
      <c r="H2061" s="194" t="s">
        <v>10</v>
      </c>
    </row>
    <row r="2062" spans="1:8" x14ac:dyDescent="0.25">
      <c r="A2062" s="127">
        <v>44822</v>
      </c>
      <c r="B2062" s="128" t="s">
        <v>30154</v>
      </c>
      <c r="C2062" s="194" t="s">
        <v>49</v>
      </c>
      <c r="D2062" s="195">
        <v>118.4</v>
      </c>
      <c r="E2062" s="196">
        <v>44822</v>
      </c>
      <c r="F2062" s="195">
        <v>118.4</v>
      </c>
      <c r="G2062" s="197">
        <f>Tabla110[[#This Row],[Importe]]-Tabla110[[#This Row],[Pagado]]</f>
        <v>0</v>
      </c>
      <c r="H2062" s="194" t="s">
        <v>10</v>
      </c>
    </row>
    <row r="2063" spans="1:8" x14ac:dyDescent="0.25">
      <c r="A2063" s="127">
        <v>44822</v>
      </c>
      <c r="B2063" s="128" t="s">
        <v>30155</v>
      </c>
      <c r="C2063" s="194" t="s">
        <v>33</v>
      </c>
      <c r="D2063" s="195">
        <v>15670.7</v>
      </c>
      <c r="E2063" s="196">
        <v>44822</v>
      </c>
      <c r="F2063" s="195">
        <v>15670.7</v>
      </c>
      <c r="G2063" s="197">
        <f>Tabla110[[#This Row],[Importe]]-Tabla110[[#This Row],[Pagado]]</f>
        <v>0</v>
      </c>
      <c r="H2063" s="194" t="s">
        <v>10</v>
      </c>
    </row>
    <row r="2064" spans="1:8" x14ac:dyDescent="0.25">
      <c r="A2064" s="127">
        <v>44822</v>
      </c>
      <c r="B2064" s="128" t="s">
        <v>30156</v>
      </c>
      <c r="C2064" s="194" t="s">
        <v>33</v>
      </c>
      <c r="D2064" s="195">
        <v>806</v>
      </c>
      <c r="E2064" s="196">
        <v>44822</v>
      </c>
      <c r="F2064" s="195">
        <v>806</v>
      </c>
      <c r="G2064" s="197">
        <f>Tabla110[[#This Row],[Importe]]-Tabla110[[#This Row],[Pagado]]</f>
        <v>0</v>
      </c>
      <c r="H2064" s="194" t="s">
        <v>10</v>
      </c>
    </row>
    <row r="2065" spans="1:8" x14ac:dyDescent="0.25">
      <c r="A2065" s="127">
        <v>44822</v>
      </c>
      <c r="B2065" s="128" t="s">
        <v>30157</v>
      </c>
      <c r="C2065" s="194" t="s">
        <v>450</v>
      </c>
      <c r="D2065" s="195">
        <v>2347.8000000000002</v>
      </c>
      <c r="E2065" s="196">
        <v>44822</v>
      </c>
      <c r="F2065" s="195">
        <v>2347.8000000000002</v>
      </c>
      <c r="G2065" s="197">
        <f>Tabla110[[#This Row],[Importe]]-Tabla110[[#This Row],[Pagado]]</f>
        <v>0</v>
      </c>
      <c r="H2065" s="194" t="s">
        <v>10</v>
      </c>
    </row>
    <row r="2066" spans="1:8" x14ac:dyDescent="0.25">
      <c r="A2066" s="127">
        <v>44822</v>
      </c>
      <c r="B2066" s="128" t="s">
        <v>30158</v>
      </c>
      <c r="C2066" s="194" t="s">
        <v>348</v>
      </c>
      <c r="D2066" s="195">
        <v>1428</v>
      </c>
      <c r="E2066" s="196">
        <v>44822</v>
      </c>
      <c r="F2066" s="195">
        <v>1428</v>
      </c>
      <c r="G2066" s="197">
        <f>Tabla110[[#This Row],[Importe]]-Tabla110[[#This Row],[Pagado]]</f>
        <v>0</v>
      </c>
      <c r="H2066" s="194" t="s">
        <v>10</v>
      </c>
    </row>
    <row r="2067" spans="1:8" x14ac:dyDescent="0.25">
      <c r="A2067" s="127">
        <v>44822</v>
      </c>
      <c r="B2067" s="128" t="s">
        <v>30159</v>
      </c>
      <c r="C2067" s="194" t="s">
        <v>29</v>
      </c>
      <c r="D2067" s="195">
        <v>12084</v>
      </c>
      <c r="E2067" s="196">
        <v>44822</v>
      </c>
      <c r="F2067" s="195">
        <v>12084</v>
      </c>
      <c r="G2067" s="197">
        <f>Tabla110[[#This Row],[Importe]]-Tabla110[[#This Row],[Pagado]]</f>
        <v>0</v>
      </c>
      <c r="H2067" s="194" t="s">
        <v>10</v>
      </c>
    </row>
    <row r="2068" spans="1:8" x14ac:dyDescent="0.25">
      <c r="A2068" s="127">
        <v>44822</v>
      </c>
      <c r="B2068" s="128" t="s">
        <v>30160</v>
      </c>
      <c r="C2068" s="194" t="s">
        <v>815</v>
      </c>
      <c r="D2068" s="195">
        <v>5462.5</v>
      </c>
      <c r="E2068" s="196">
        <v>44822</v>
      </c>
      <c r="F2068" s="195">
        <v>5462.5</v>
      </c>
      <c r="G2068" s="197">
        <f>Tabla110[[#This Row],[Importe]]-Tabla110[[#This Row],[Pagado]]</f>
        <v>0</v>
      </c>
      <c r="H2068" s="194" t="s">
        <v>10</v>
      </c>
    </row>
    <row r="2069" spans="1:8" x14ac:dyDescent="0.25">
      <c r="A2069" s="127">
        <v>44822</v>
      </c>
      <c r="B2069" s="128" t="s">
        <v>30161</v>
      </c>
      <c r="C2069" s="194" t="s">
        <v>3971</v>
      </c>
      <c r="D2069" s="195">
        <v>5579.2</v>
      </c>
      <c r="E2069" s="196">
        <v>44822</v>
      </c>
      <c r="F2069" s="195">
        <v>5579.2</v>
      </c>
      <c r="G2069" s="197">
        <f>Tabla110[[#This Row],[Importe]]-Tabla110[[#This Row],[Pagado]]</f>
        <v>0</v>
      </c>
      <c r="H2069" s="194" t="s">
        <v>10</v>
      </c>
    </row>
    <row r="2070" spans="1:8" x14ac:dyDescent="0.25">
      <c r="A2070" s="127">
        <v>44822</v>
      </c>
      <c r="B2070" s="128" t="s">
        <v>30162</v>
      </c>
      <c r="C2070" s="194" t="s">
        <v>224</v>
      </c>
      <c r="D2070" s="195">
        <v>2168.6999999999998</v>
      </c>
      <c r="E2070" s="196">
        <v>44822</v>
      </c>
      <c r="F2070" s="195">
        <v>2168.6999999999998</v>
      </c>
      <c r="G2070" s="197">
        <f>Tabla110[[#This Row],[Importe]]-Tabla110[[#This Row],[Pagado]]</f>
        <v>0</v>
      </c>
      <c r="H2070" s="194" t="s">
        <v>10</v>
      </c>
    </row>
    <row r="2071" spans="1:8" x14ac:dyDescent="0.25">
      <c r="A2071" s="127">
        <v>44822</v>
      </c>
      <c r="B2071" s="128" t="s">
        <v>30163</v>
      </c>
      <c r="C2071" s="194" t="s">
        <v>45</v>
      </c>
      <c r="D2071" s="195">
        <v>7770.2</v>
      </c>
      <c r="E2071" s="196">
        <v>44822</v>
      </c>
      <c r="F2071" s="195">
        <v>7770.2</v>
      </c>
      <c r="G2071" s="197">
        <f>Tabla110[[#This Row],[Importe]]-Tabla110[[#This Row],[Pagado]]</f>
        <v>0</v>
      </c>
      <c r="H2071" s="194" t="s">
        <v>10</v>
      </c>
    </row>
    <row r="2072" spans="1:8" x14ac:dyDescent="0.25">
      <c r="A2072" s="127">
        <v>44822</v>
      </c>
      <c r="B2072" s="128" t="s">
        <v>30164</v>
      </c>
      <c r="C2072" s="194" t="s">
        <v>37</v>
      </c>
      <c r="D2072" s="195">
        <v>4244.6000000000004</v>
      </c>
      <c r="E2072" s="196">
        <v>44822</v>
      </c>
      <c r="F2072" s="195">
        <v>4244.6000000000004</v>
      </c>
      <c r="G2072" s="197">
        <f>Tabla110[[#This Row],[Importe]]-Tabla110[[#This Row],[Pagado]]</f>
        <v>0</v>
      </c>
      <c r="H2072" s="194" t="s">
        <v>10</v>
      </c>
    </row>
    <row r="2073" spans="1:8" x14ac:dyDescent="0.25">
      <c r="A2073" s="127">
        <v>44822</v>
      </c>
      <c r="B2073" s="128" t="s">
        <v>30165</v>
      </c>
      <c r="C2073" s="194" t="s">
        <v>35</v>
      </c>
      <c r="D2073" s="195">
        <v>2202</v>
      </c>
      <c r="E2073" s="196">
        <v>44822</v>
      </c>
      <c r="F2073" s="195">
        <v>2202</v>
      </c>
      <c r="G2073" s="197">
        <f>Tabla110[[#This Row],[Importe]]-Tabla110[[#This Row],[Pagado]]</f>
        <v>0</v>
      </c>
      <c r="H2073" s="194" t="s">
        <v>10</v>
      </c>
    </row>
    <row r="2074" spans="1:8" x14ac:dyDescent="0.25">
      <c r="A2074" s="127">
        <v>44822</v>
      </c>
      <c r="B2074" s="128" t="s">
        <v>30166</v>
      </c>
      <c r="C2074" s="194" t="s">
        <v>97</v>
      </c>
      <c r="D2074" s="195">
        <v>4646</v>
      </c>
      <c r="E2074" s="196">
        <v>44822</v>
      </c>
      <c r="F2074" s="195">
        <v>4646</v>
      </c>
      <c r="G2074" s="197">
        <f>Tabla110[[#This Row],[Importe]]-Tabla110[[#This Row],[Pagado]]</f>
        <v>0</v>
      </c>
      <c r="H2074" s="194" t="s">
        <v>10</v>
      </c>
    </row>
    <row r="2075" spans="1:8" x14ac:dyDescent="0.25">
      <c r="A2075" s="127">
        <v>44822</v>
      </c>
      <c r="B2075" s="128" t="s">
        <v>30167</v>
      </c>
      <c r="C2075" s="194" t="s">
        <v>1003</v>
      </c>
      <c r="D2075" s="195">
        <v>12810.9</v>
      </c>
      <c r="E2075" s="196">
        <v>44823</v>
      </c>
      <c r="F2075" s="195">
        <v>12810.9</v>
      </c>
      <c r="G2075" s="197">
        <f>Tabla110[[#This Row],[Importe]]-Tabla110[[#This Row],[Pagado]]</f>
        <v>0</v>
      </c>
      <c r="H2075" s="194" t="s">
        <v>10</v>
      </c>
    </row>
    <row r="2076" spans="1:8" x14ac:dyDescent="0.25">
      <c r="A2076" s="127">
        <v>44822</v>
      </c>
      <c r="B2076" s="128" t="s">
        <v>30168</v>
      </c>
      <c r="C2076" s="194" t="s">
        <v>191</v>
      </c>
      <c r="D2076" s="195">
        <v>1856.4</v>
      </c>
      <c r="E2076" s="196">
        <v>44822</v>
      </c>
      <c r="F2076" s="195">
        <v>1856.4</v>
      </c>
      <c r="G2076" s="197">
        <f>Tabla110[[#This Row],[Importe]]-Tabla110[[#This Row],[Pagado]]</f>
        <v>0</v>
      </c>
      <c r="H2076" s="194" t="s">
        <v>10</v>
      </c>
    </row>
    <row r="2077" spans="1:8" x14ac:dyDescent="0.25">
      <c r="A2077" s="127">
        <v>44822</v>
      </c>
      <c r="B2077" s="128" t="s">
        <v>30169</v>
      </c>
      <c r="C2077" s="194" t="s">
        <v>24</v>
      </c>
      <c r="D2077" s="195">
        <v>1191.8</v>
      </c>
      <c r="E2077" s="196">
        <v>44822</v>
      </c>
      <c r="F2077" s="195">
        <v>1191.8</v>
      </c>
      <c r="G2077" s="197">
        <f>Tabla110[[#This Row],[Importe]]-Tabla110[[#This Row],[Pagado]]</f>
        <v>0</v>
      </c>
      <c r="H2077" s="194" t="s">
        <v>10</v>
      </c>
    </row>
    <row r="2078" spans="1:8" x14ac:dyDescent="0.25">
      <c r="A2078" s="127">
        <v>44822</v>
      </c>
      <c r="B2078" s="128" t="s">
        <v>30170</v>
      </c>
      <c r="C2078" s="194" t="s">
        <v>4136</v>
      </c>
      <c r="D2078" s="195">
        <v>2129.4</v>
      </c>
      <c r="E2078" s="196">
        <v>44822</v>
      </c>
      <c r="F2078" s="195">
        <v>2129.4</v>
      </c>
      <c r="G2078" s="197">
        <f>Tabla110[[#This Row],[Importe]]-Tabla110[[#This Row],[Pagado]]</f>
        <v>0</v>
      </c>
      <c r="H2078" s="194" t="s">
        <v>10</v>
      </c>
    </row>
    <row r="2079" spans="1:8" x14ac:dyDescent="0.25">
      <c r="A2079" s="127">
        <v>44822</v>
      </c>
      <c r="B2079" s="128" t="s">
        <v>30171</v>
      </c>
      <c r="C2079" s="194" t="s">
        <v>216</v>
      </c>
      <c r="D2079" s="195">
        <v>3313.6</v>
      </c>
      <c r="E2079" s="196">
        <v>44822</v>
      </c>
      <c r="F2079" s="195">
        <v>3313.6</v>
      </c>
      <c r="G2079" s="197">
        <f>Tabla110[[#This Row],[Importe]]-Tabla110[[#This Row],[Pagado]]</f>
        <v>0</v>
      </c>
      <c r="H2079" s="194" t="s">
        <v>10</v>
      </c>
    </row>
    <row r="2080" spans="1:8" x14ac:dyDescent="0.25">
      <c r="A2080" s="127">
        <v>44822</v>
      </c>
      <c r="B2080" s="128" t="s">
        <v>30172</v>
      </c>
      <c r="C2080" s="194" t="s">
        <v>296</v>
      </c>
      <c r="D2080" s="195">
        <v>3861.2</v>
      </c>
      <c r="E2080" s="196">
        <v>44822</v>
      </c>
      <c r="F2080" s="195">
        <v>3861.2</v>
      </c>
      <c r="G2080" s="197">
        <f>Tabla110[[#This Row],[Importe]]-Tabla110[[#This Row],[Pagado]]</f>
        <v>0</v>
      </c>
      <c r="H2080" s="194" t="s">
        <v>10</v>
      </c>
    </row>
    <row r="2081" spans="1:8" x14ac:dyDescent="0.25">
      <c r="A2081" s="127">
        <v>44822</v>
      </c>
      <c r="B2081" s="128" t="s">
        <v>30173</v>
      </c>
      <c r="C2081" s="194" t="s">
        <v>31</v>
      </c>
      <c r="D2081" s="195">
        <v>728</v>
      </c>
      <c r="E2081" s="196">
        <v>44822</v>
      </c>
      <c r="F2081" s="195">
        <v>728</v>
      </c>
      <c r="G2081" s="197">
        <f>Tabla110[[#This Row],[Importe]]-Tabla110[[#This Row],[Pagado]]</f>
        <v>0</v>
      </c>
      <c r="H2081" s="194" t="s">
        <v>10</v>
      </c>
    </row>
    <row r="2082" spans="1:8" x14ac:dyDescent="0.25">
      <c r="A2082" s="127">
        <v>44822</v>
      </c>
      <c r="B2082" s="128" t="s">
        <v>30174</v>
      </c>
      <c r="C2082" s="194" t="s">
        <v>64</v>
      </c>
      <c r="D2082" s="195">
        <v>5382.4</v>
      </c>
      <c r="E2082" s="196">
        <v>44822</v>
      </c>
      <c r="F2082" s="195">
        <v>5382.4</v>
      </c>
      <c r="G2082" s="197">
        <f>Tabla110[[#This Row],[Importe]]-Tabla110[[#This Row],[Pagado]]</f>
        <v>0</v>
      </c>
      <c r="H2082" s="194" t="s">
        <v>10</v>
      </c>
    </row>
    <row r="2083" spans="1:8" x14ac:dyDescent="0.25">
      <c r="A2083" s="127">
        <v>44822</v>
      </c>
      <c r="B2083" s="128" t="s">
        <v>30175</v>
      </c>
      <c r="C2083" s="194" t="s">
        <v>31</v>
      </c>
      <c r="D2083" s="195">
        <v>927</v>
      </c>
      <c r="E2083" s="196">
        <v>44822</v>
      </c>
      <c r="F2083" s="195">
        <v>927</v>
      </c>
      <c r="G2083" s="197">
        <f>Tabla110[[#This Row],[Importe]]-Tabla110[[#This Row],[Pagado]]</f>
        <v>0</v>
      </c>
      <c r="H2083" s="194" t="s">
        <v>10</v>
      </c>
    </row>
    <row r="2084" spans="1:8" x14ac:dyDescent="0.25">
      <c r="A2084" s="127">
        <v>44822</v>
      </c>
      <c r="B2084" s="128" t="s">
        <v>30176</v>
      </c>
      <c r="C2084" s="194" t="s">
        <v>196</v>
      </c>
      <c r="D2084" s="195">
        <v>78457.2</v>
      </c>
      <c r="E2084" s="196">
        <v>44827</v>
      </c>
      <c r="F2084" s="195">
        <v>78457.2</v>
      </c>
      <c r="G2084" s="197">
        <f>Tabla110[[#This Row],[Importe]]-Tabla110[[#This Row],[Pagado]]</f>
        <v>0</v>
      </c>
      <c r="H2084" s="194" t="s">
        <v>10</v>
      </c>
    </row>
    <row r="2085" spans="1:8" x14ac:dyDescent="0.25">
      <c r="A2085" s="127">
        <v>44822</v>
      </c>
      <c r="B2085" s="128" t="s">
        <v>30177</v>
      </c>
      <c r="C2085" s="194" t="s">
        <v>58</v>
      </c>
      <c r="D2085" s="195">
        <v>3024</v>
      </c>
      <c r="E2085" s="196">
        <v>44822</v>
      </c>
      <c r="F2085" s="195">
        <v>3024</v>
      </c>
      <c r="G2085" s="197">
        <f>Tabla110[[#This Row],[Importe]]-Tabla110[[#This Row],[Pagado]]</f>
        <v>0</v>
      </c>
      <c r="H2085" s="194" t="s">
        <v>10</v>
      </c>
    </row>
    <row r="2086" spans="1:8" x14ac:dyDescent="0.25">
      <c r="A2086" s="127">
        <v>44822</v>
      </c>
      <c r="B2086" s="128" t="s">
        <v>30178</v>
      </c>
      <c r="C2086" s="194" t="s">
        <v>24284</v>
      </c>
      <c r="D2086" s="195">
        <v>1740.4</v>
      </c>
      <c r="E2086" s="196">
        <v>44822</v>
      </c>
      <c r="F2086" s="195">
        <v>1740.4</v>
      </c>
      <c r="G2086" s="197">
        <f>Tabla110[[#This Row],[Importe]]-Tabla110[[#This Row],[Pagado]]</f>
        <v>0</v>
      </c>
      <c r="H2086" s="194" t="s">
        <v>10</v>
      </c>
    </row>
    <row r="2087" spans="1:8" x14ac:dyDescent="0.25">
      <c r="A2087" s="127">
        <v>44822</v>
      </c>
      <c r="B2087" s="128" t="s">
        <v>30179</v>
      </c>
      <c r="C2087" s="194" t="s">
        <v>670</v>
      </c>
      <c r="D2087" s="195">
        <v>5079.3999999999996</v>
      </c>
      <c r="E2087" s="196">
        <v>44822</v>
      </c>
      <c r="F2087" s="195">
        <v>5079.3999999999996</v>
      </c>
      <c r="G2087" s="197">
        <f>Tabla110[[#This Row],[Importe]]-Tabla110[[#This Row],[Pagado]]</f>
        <v>0</v>
      </c>
      <c r="H2087" s="194" t="s">
        <v>10</v>
      </c>
    </row>
    <row r="2088" spans="1:8" x14ac:dyDescent="0.25">
      <c r="A2088" s="127">
        <v>44822</v>
      </c>
      <c r="B2088" s="128" t="s">
        <v>30180</v>
      </c>
      <c r="C2088" s="194" t="s">
        <v>67</v>
      </c>
      <c r="D2088" s="195">
        <v>3177</v>
      </c>
      <c r="E2088" s="196">
        <v>44822</v>
      </c>
      <c r="F2088" s="195">
        <v>3177</v>
      </c>
      <c r="G2088" s="197">
        <f>Tabla110[[#This Row],[Importe]]-Tabla110[[#This Row],[Pagado]]</f>
        <v>0</v>
      </c>
      <c r="H2088" s="194" t="s">
        <v>10</v>
      </c>
    </row>
    <row r="2089" spans="1:8" x14ac:dyDescent="0.25">
      <c r="A2089" s="127">
        <v>44822</v>
      </c>
      <c r="B2089" s="128" t="s">
        <v>30181</v>
      </c>
      <c r="C2089" s="194" t="s">
        <v>53</v>
      </c>
      <c r="D2089" s="195">
        <v>764.2</v>
      </c>
      <c r="E2089" s="196">
        <v>44822</v>
      </c>
      <c r="F2089" s="195">
        <v>764.2</v>
      </c>
      <c r="G2089" s="197">
        <f>Tabla110[[#This Row],[Importe]]-Tabla110[[#This Row],[Pagado]]</f>
        <v>0</v>
      </c>
      <c r="H2089" s="194" t="s">
        <v>10</v>
      </c>
    </row>
    <row r="2090" spans="1:8" x14ac:dyDescent="0.25">
      <c r="A2090" s="127">
        <v>44822</v>
      </c>
      <c r="B2090" s="128" t="s">
        <v>30182</v>
      </c>
      <c r="C2090" s="194" t="s">
        <v>71</v>
      </c>
      <c r="D2090" s="195">
        <v>2691</v>
      </c>
      <c r="E2090" s="196">
        <v>44822</v>
      </c>
      <c r="F2090" s="195">
        <v>2691</v>
      </c>
      <c r="G2090" s="197">
        <f>Tabla110[[#This Row],[Importe]]-Tabla110[[#This Row],[Pagado]]</f>
        <v>0</v>
      </c>
      <c r="H2090" s="194" t="s">
        <v>10</v>
      </c>
    </row>
    <row r="2091" spans="1:8" x14ac:dyDescent="0.25">
      <c r="A2091" s="127">
        <v>44822</v>
      </c>
      <c r="B2091" s="128" t="s">
        <v>30183</v>
      </c>
      <c r="C2091" s="194" t="s">
        <v>30184</v>
      </c>
      <c r="D2091" s="195">
        <v>699.2</v>
      </c>
      <c r="E2091" s="196">
        <v>44822</v>
      </c>
      <c r="F2091" s="195">
        <v>699.2</v>
      </c>
      <c r="G2091" s="197">
        <f>Tabla110[[#This Row],[Importe]]-Tabla110[[#This Row],[Pagado]]</f>
        <v>0</v>
      </c>
      <c r="H2091" s="194" t="s">
        <v>10</v>
      </c>
    </row>
    <row r="2092" spans="1:8" x14ac:dyDescent="0.25">
      <c r="A2092" s="127">
        <v>44822</v>
      </c>
      <c r="B2092" s="128" t="s">
        <v>30185</v>
      </c>
      <c r="C2092" s="194" t="s">
        <v>191</v>
      </c>
      <c r="D2092" s="195">
        <v>1911</v>
      </c>
      <c r="E2092" s="196">
        <v>44822</v>
      </c>
      <c r="F2092" s="195">
        <v>1911</v>
      </c>
      <c r="G2092" s="197">
        <f>Tabla110[[#This Row],[Importe]]-Tabla110[[#This Row],[Pagado]]</f>
        <v>0</v>
      </c>
      <c r="H2092" s="194" t="s">
        <v>10</v>
      </c>
    </row>
    <row r="2093" spans="1:8" x14ac:dyDescent="0.25">
      <c r="A2093" s="127">
        <v>44822</v>
      </c>
      <c r="B2093" s="128" t="s">
        <v>30186</v>
      </c>
      <c r="C2093" s="194" t="s">
        <v>994</v>
      </c>
      <c r="D2093" s="195">
        <v>1805.2</v>
      </c>
      <c r="E2093" s="196">
        <v>44822</v>
      </c>
      <c r="F2093" s="195">
        <v>1805.2</v>
      </c>
      <c r="G2093" s="197">
        <f>Tabla110[[#This Row],[Importe]]-Tabla110[[#This Row],[Pagado]]</f>
        <v>0</v>
      </c>
      <c r="H2093" s="194" t="s">
        <v>10</v>
      </c>
    </row>
    <row r="2094" spans="1:8" x14ac:dyDescent="0.25">
      <c r="A2094" s="127">
        <v>44822</v>
      </c>
      <c r="B2094" s="128" t="s">
        <v>30187</v>
      </c>
      <c r="C2094" s="194" t="s">
        <v>31</v>
      </c>
      <c r="D2094" s="195">
        <v>764.8</v>
      </c>
      <c r="E2094" s="196">
        <v>44822</v>
      </c>
      <c r="F2094" s="195">
        <v>764.8</v>
      </c>
      <c r="G2094" s="197">
        <f>Tabla110[[#This Row],[Importe]]-Tabla110[[#This Row],[Pagado]]</f>
        <v>0</v>
      </c>
      <c r="H2094" s="194" t="s">
        <v>10</v>
      </c>
    </row>
    <row r="2095" spans="1:8" x14ac:dyDescent="0.25">
      <c r="A2095" s="127">
        <v>44822</v>
      </c>
      <c r="B2095" s="128" t="s">
        <v>30188</v>
      </c>
      <c r="C2095" s="194" t="s">
        <v>56</v>
      </c>
      <c r="D2095" s="195">
        <v>4215</v>
      </c>
      <c r="E2095" s="196">
        <v>44822</v>
      </c>
      <c r="F2095" s="195">
        <v>4215</v>
      </c>
      <c r="G2095" s="197">
        <f>Tabla110[[#This Row],[Importe]]-Tabla110[[#This Row],[Pagado]]</f>
        <v>0</v>
      </c>
      <c r="H2095" s="194" t="s">
        <v>10</v>
      </c>
    </row>
    <row r="2096" spans="1:8" x14ac:dyDescent="0.25">
      <c r="A2096" s="127">
        <v>44822</v>
      </c>
      <c r="B2096" s="128" t="s">
        <v>30189</v>
      </c>
      <c r="C2096" s="194" t="s">
        <v>214</v>
      </c>
      <c r="D2096" s="195">
        <v>1444</v>
      </c>
      <c r="E2096" s="196">
        <v>44822</v>
      </c>
      <c r="F2096" s="195">
        <v>1444</v>
      </c>
      <c r="G2096" s="197">
        <f>Tabla110[[#This Row],[Importe]]-Tabla110[[#This Row],[Pagado]]</f>
        <v>0</v>
      </c>
      <c r="H2096" s="194" t="s">
        <v>10</v>
      </c>
    </row>
    <row r="2097" spans="1:8" x14ac:dyDescent="0.25">
      <c r="A2097" s="127">
        <v>44822</v>
      </c>
      <c r="B2097" s="128" t="s">
        <v>30190</v>
      </c>
      <c r="C2097" s="194" t="s">
        <v>75</v>
      </c>
      <c r="D2097" s="195">
        <v>6125.6</v>
      </c>
      <c r="E2097" s="196">
        <v>44822</v>
      </c>
      <c r="F2097" s="195">
        <v>6125.6</v>
      </c>
      <c r="G2097" s="197">
        <f>Tabla110[[#This Row],[Importe]]-Tabla110[[#This Row],[Pagado]]</f>
        <v>0</v>
      </c>
      <c r="H2097" s="194" t="s">
        <v>10</v>
      </c>
    </row>
    <row r="2098" spans="1:8" x14ac:dyDescent="0.25">
      <c r="A2098" s="127">
        <v>44822</v>
      </c>
      <c r="B2098" s="128" t="s">
        <v>30191</v>
      </c>
      <c r="C2098" s="194" t="s">
        <v>296</v>
      </c>
      <c r="D2098" s="195">
        <v>2464.4</v>
      </c>
      <c r="E2098" s="196">
        <v>44822</v>
      </c>
      <c r="F2098" s="195">
        <v>2464.4</v>
      </c>
      <c r="G2098" s="197">
        <f>Tabla110[[#This Row],[Importe]]-Tabla110[[#This Row],[Pagado]]</f>
        <v>0</v>
      </c>
      <c r="H2098" s="194" t="s">
        <v>10</v>
      </c>
    </row>
    <row r="2099" spans="1:8" x14ac:dyDescent="0.25">
      <c r="A2099" s="127">
        <v>44822</v>
      </c>
      <c r="B2099" s="128" t="s">
        <v>30192</v>
      </c>
      <c r="C2099" s="194" t="s">
        <v>16</v>
      </c>
      <c r="D2099" s="195">
        <v>1386</v>
      </c>
      <c r="E2099" s="196">
        <v>44822</v>
      </c>
      <c r="F2099" s="195">
        <v>1386</v>
      </c>
      <c r="G2099" s="197">
        <f>Tabla110[[#This Row],[Importe]]-Tabla110[[#This Row],[Pagado]]</f>
        <v>0</v>
      </c>
      <c r="H2099" s="194" t="s">
        <v>10</v>
      </c>
    </row>
    <row r="2100" spans="1:8" x14ac:dyDescent="0.25">
      <c r="A2100" s="127">
        <v>44822</v>
      </c>
      <c r="B2100" s="128" t="s">
        <v>30193</v>
      </c>
      <c r="C2100" s="194" t="s">
        <v>31</v>
      </c>
      <c r="D2100" s="195">
        <v>30</v>
      </c>
      <c r="E2100" s="196">
        <v>44822</v>
      </c>
      <c r="F2100" s="195">
        <v>30</v>
      </c>
      <c r="G2100" s="197">
        <f>Tabla110[[#This Row],[Importe]]-Tabla110[[#This Row],[Pagado]]</f>
        <v>0</v>
      </c>
      <c r="H2100" s="194" t="s">
        <v>10</v>
      </c>
    </row>
    <row r="2101" spans="1:8" x14ac:dyDescent="0.25">
      <c r="A2101" s="127">
        <v>44823</v>
      </c>
      <c r="B2101" s="128" t="s">
        <v>30194</v>
      </c>
      <c r="C2101" s="194" t="s">
        <v>887</v>
      </c>
      <c r="D2101" s="195">
        <v>16856.400000000001</v>
      </c>
      <c r="E2101" s="196">
        <v>44823</v>
      </c>
      <c r="F2101" s="195">
        <v>16856.400000000001</v>
      </c>
      <c r="G2101" s="197">
        <f>Tabla110[[#This Row],[Importe]]-Tabla110[[#This Row],[Pagado]]</f>
        <v>0</v>
      </c>
      <c r="H2101" s="194" t="s">
        <v>10</v>
      </c>
    </row>
    <row r="2102" spans="1:8" x14ac:dyDescent="0.25">
      <c r="A2102" s="127">
        <v>44823</v>
      </c>
      <c r="B2102" s="128" t="s">
        <v>30195</v>
      </c>
      <c r="C2102" s="194" t="s">
        <v>475</v>
      </c>
      <c r="D2102" s="195">
        <v>72190.2</v>
      </c>
      <c r="E2102" s="196">
        <v>44825</v>
      </c>
      <c r="F2102" s="195">
        <v>72190.2</v>
      </c>
      <c r="G2102" s="197">
        <f>Tabla110[[#This Row],[Importe]]-Tabla110[[#This Row],[Pagado]]</f>
        <v>0</v>
      </c>
      <c r="H2102" s="194" t="s">
        <v>10</v>
      </c>
    </row>
    <row r="2103" spans="1:8" x14ac:dyDescent="0.25">
      <c r="A2103" s="127">
        <v>44823</v>
      </c>
      <c r="B2103" s="128" t="s">
        <v>30196</v>
      </c>
      <c r="C2103" s="194" t="s">
        <v>12</v>
      </c>
      <c r="D2103" s="195">
        <v>20802.099999999999</v>
      </c>
      <c r="E2103" s="196">
        <v>44824</v>
      </c>
      <c r="F2103" s="195">
        <v>20802.099999999999</v>
      </c>
      <c r="G2103" s="197">
        <f>Tabla110[[#This Row],[Importe]]-Tabla110[[#This Row],[Pagado]]</f>
        <v>0</v>
      </c>
      <c r="H2103" s="194" t="s">
        <v>10</v>
      </c>
    </row>
    <row r="2104" spans="1:8" x14ac:dyDescent="0.25">
      <c r="A2104" s="127">
        <v>44823</v>
      </c>
      <c r="B2104" s="128" t="s">
        <v>30197</v>
      </c>
      <c r="C2104" s="194" t="s">
        <v>109</v>
      </c>
      <c r="D2104" s="195">
        <v>6656</v>
      </c>
      <c r="E2104" s="196">
        <v>44824</v>
      </c>
      <c r="F2104" s="195">
        <v>6656</v>
      </c>
      <c r="G2104" s="197">
        <f>Tabla110[[#This Row],[Importe]]-Tabla110[[#This Row],[Pagado]]</f>
        <v>0</v>
      </c>
      <c r="H2104" s="194" t="s">
        <v>10</v>
      </c>
    </row>
    <row r="2105" spans="1:8" x14ac:dyDescent="0.25">
      <c r="A2105" s="127">
        <v>44823</v>
      </c>
      <c r="B2105" s="128" t="s">
        <v>30198</v>
      </c>
      <c r="C2105" s="194" t="s">
        <v>60</v>
      </c>
      <c r="D2105" s="195">
        <v>5313</v>
      </c>
      <c r="E2105" s="196">
        <v>44827</v>
      </c>
      <c r="F2105" s="195">
        <v>5313</v>
      </c>
      <c r="G2105" s="197">
        <f>Tabla110[[#This Row],[Importe]]-Tabla110[[#This Row],[Pagado]]</f>
        <v>0</v>
      </c>
      <c r="H2105" s="194" t="s">
        <v>10</v>
      </c>
    </row>
    <row r="2106" spans="1:8" x14ac:dyDescent="0.25">
      <c r="A2106" s="127">
        <v>44823</v>
      </c>
      <c r="B2106" s="128" t="s">
        <v>30199</v>
      </c>
      <c r="C2106" s="194" t="s">
        <v>64</v>
      </c>
      <c r="D2106" s="195">
        <v>5682.6</v>
      </c>
      <c r="E2106" s="196">
        <v>44824</v>
      </c>
      <c r="F2106" s="195">
        <v>5682.6</v>
      </c>
      <c r="G2106" s="197">
        <f>Tabla110[[#This Row],[Importe]]-Tabla110[[#This Row],[Pagado]]</f>
        <v>0</v>
      </c>
      <c r="H2106" s="194" t="s">
        <v>10</v>
      </c>
    </row>
    <row r="2107" spans="1:8" x14ac:dyDescent="0.25">
      <c r="A2107" s="127">
        <v>44823</v>
      </c>
      <c r="B2107" s="128" t="s">
        <v>30200</v>
      </c>
      <c r="C2107" s="194" t="s">
        <v>31</v>
      </c>
      <c r="D2107" s="195">
        <v>4327.5</v>
      </c>
      <c r="E2107" s="196">
        <v>44823</v>
      </c>
      <c r="F2107" s="195">
        <v>4327.5</v>
      </c>
      <c r="G2107" s="197">
        <f>Tabla110[[#This Row],[Importe]]-Tabla110[[#This Row],[Pagado]]</f>
        <v>0</v>
      </c>
      <c r="H2107" s="194" t="s">
        <v>10</v>
      </c>
    </row>
    <row r="2108" spans="1:8" x14ac:dyDescent="0.25">
      <c r="A2108" s="127">
        <v>44823</v>
      </c>
      <c r="B2108" s="128" t="s">
        <v>30201</v>
      </c>
      <c r="C2108" s="194" t="s">
        <v>31</v>
      </c>
      <c r="D2108" s="195">
        <v>6987.2</v>
      </c>
      <c r="E2108" s="196">
        <v>44823</v>
      </c>
      <c r="F2108" s="195">
        <v>6987.2</v>
      </c>
      <c r="G2108" s="197">
        <f>Tabla110[[#This Row],[Importe]]-Tabla110[[#This Row],[Pagado]]</f>
        <v>0</v>
      </c>
      <c r="H2108" s="194" t="s">
        <v>10</v>
      </c>
    </row>
    <row r="2109" spans="1:8" x14ac:dyDescent="0.25">
      <c r="A2109" s="127">
        <v>44823</v>
      </c>
      <c r="B2109" s="128" t="s">
        <v>30202</v>
      </c>
      <c r="C2109" s="194" t="s">
        <v>31</v>
      </c>
      <c r="D2109" s="195">
        <v>1233.8</v>
      </c>
      <c r="E2109" s="196">
        <v>44823</v>
      </c>
      <c r="F2109" s="195">
        <v>1233.8</v>
      </c>
      <c r="G2109" s="197">
        <f>Tabla110[[#This Row],[Importe]]-Tabla110[[#This Row],[Pagado]]</f>
        <v>0</v>
      </c>
      <c r="H2109" s="194" t="s">
        <v>10</v>
      </c>
    </row>
    <row r="2110" spans="1:8" x14ac:dyDescent="0.25">
      <c r="A2110" s="127">
        <v>44823</v>
      </c>
      <c r="B2110" s="128" t="s">
        <v>30203</v>
      </c>
      <c r="C2110" s="194" t="s">
        <v>1187</v>
      </c>
      <c r="D2110" s="195">
        <v>1942.2</v>
      </c>
      <c r="E2110" s="196">
        <v>44823</v>
      </c>
      <c r="F2110" s="195">
        <v>1942.2</v>
      </c>
      <c r="G2110" s="197">
        <f>Tabla110[[#This Row],[Importe]]-Tabla110[[#This Row],[Pagado]]</f>
        <v>0</v>
      </c>
      <c r="H2110" s="194" t="s">
        <v>10</v>
      </c>
    </row>
    <row r="2111" spans="1:8" x14ac:dyDescent="0.25">
      <c r="A2111" s="127">
        <v>44823</v>
      </c>
      <c r="B2111" s="128" t="s">
        <v>30204</v>
      </c>
      <c r="C2111" s="194" t="s">
        <v>83</v>
      </c>
      <c r="D2111" s="195">
        <v>9448</v>
      </c>
      <c r="E2111" s="196">
        <v>44823</v>
      </c>
      <c r="F2111" s="195">
        <v>9448</v>
      </c>
      <c r="G2111" s="197">
        <f>Tabla110[[#This Row],[Importe]]-Tabla110[[#This Row],[Pagado]]</f>
        <v>0</v>
      </c>
      <c r="H2111" s="194" t="s">
        <v>10</v>
      </c>
    </row>
    <row r="2112" spans="1:8" x14ac:dyDescent="0.25">
      <c r="A2112" s="127">
        <v>44823</v>
      </c>
      <c r="B2112" s="128" t="s">
        <v>30205</v>
      </c>
      <c r="C2112" s="194" t="s">
        <v>481</v>
      </c>
      <c r="D2112" s="195">
        <v>2850</v>
      </c>
      <c r="E2112" s="196">
        <v>44823</v>
      </c>
      <c r="F2112" s="195">
        <v>2850</v>
      </c>
      <c r="G2112" s="197">
        <f>Tabla110[[#This Row],[Importe]]-Tabla110[[#This Row],[Pagado]]</f>
        <v>0</v>
      </c>
      <c r="H2112" s="194" t="s">
        <v>10</v>
      </c>
    </row>
    <row r="2113" spans="1:8" x14ac:dyDescent="0.25">
      <c r="A2113" s="127">
        <v>44823</v>
      </c>
      <c r="B2113" s="128" t="s">
        <v>30206</v>
      </c>
      <c r="C2113" s="194" t="s">
        <v>348</v>
      </c>
      <c r="D2113" s="195">
        <v>6738</v>
      </c>
      <c r="E2113" s="196">
        <v>44823</v>
      </c>
      <c r="F2113" s="195">
        <v>6738</v>
      </c>
      <c r="G2113" s="197">
        <f>Tabla110[[#This Row],[Importe]]-Tabla110[[#This Row],[Pagado]]</f>
        <v>0</v>
      </c>
      <c r="H2113" s="194" t="s">
        <v>10</v>
      </c>
    </row>
    <row r="2114" spans="1:8" x14ac:dyDescent="0.25">
      <c r="A2114" s="127">
        <v>44823</v>
      </c>
      <c r="B2114" s="128" t="s">
        <v>30207</v>
      </c>
      <c r="C2114" s="194" t="s">
        <v>105</v>
      </c>
      <c r="D2114" s="195">
        <v>7023.6</v>
      </c>
      <c r="E2114" s="196">
        <v>44825</v>
      </c>
      <c r="F2114" s="195">
        <v>7023.6</v>
      </c>
      <c r="G2114" s="197">
        <f>Tabla110[[#This Row],[Importe]]-Tabla110[[#This Row],[Pagado]]</f>
        <v>0</v>
      </c>
      <c r="H2114" s="194" t="s">
        <v>10</v>
      </c>
    </row>
    <row r="2115" spans="1:8" x14ac:dyDescent="0.25">
      <c r="A2115" s="127">
        <v>44823</v>
      </c>
      <c r="B2115" s="128" t="s">
        <v>30208</v>
      </c>
      <c r="C2115" s="194" t="s">
        <v>2151</v>
      </c>
      <c r="D2115" s="195">
        <v>23340</v>
      </c>
      <c r="E2115" s="196">
        <v>44823</v>
      </c>
      <c r="F2115" s="195">
        <v>23340</v>
      </c>
      <c r="G2115" s="197">
        <f>Tabla110[[#This Row],[Importe]]-Tabla110[[#This Row],[Pagado]]</f>
        <v>0</v>
      </c>
      <c r="H2115" s="194" t="s">
        <v>10</v>
      </c>
    </row>
    <row r="2116" spans="1:8" x14ac:dyDescent="0.25">
      <c r="A2116" s="127">
        <v>44823</v>
      </c>
      <c r="B2116" s="128" t="s">
        <v>30209</v>
      </c>
      <c r="C2116" s="194" t="s">
        <v>918</v>
      </c>
      <c r="D2116" s="195">
        <v>1360</v>
      </c>
      <c r="E2116" s="196">
        <v>44823</v>
      </c>
      <c r="F2116" s="195">
        <v>1360</v>
      </c>
      <c r="G2116" s="197">
        <f>Tabla110[[#This Row],[Importe]]-Tabla110[[#This Row],[Pagado]]</f>
        <v>0</v>
      </c>
      <c r="H2116" s="194" t="s">
        <v>10</v>
      </c>
    </row>
    <row r="2117" spans="1:8" x14ac:dyDescent="0.25">
      <c r="A2117" s="127">
        <v>44823</v>
      </c>
      <c r="B2117" s="128" t="s">
        <v>30210</v>
      </c>
      <c r="C2117" s="194" t="s">
        <v>87</v>
      </c>
      <c r="D2117" s="195">
        <v>3500.8</v>
      </c>
      <c r="E2117" s="196">
        <v>44823</v>
      </c>
      <c r="F2117" s="195">
        <v>3500.8</v>
      </c>
      <c r="G2117" s="197">
        <f>Tabla110[[#This Row],[Importe]]-Tabla110[[#This Row],[Pagado]]</f>
        <v>0</v>
      </c>
      <c r="H2117" s="194" t="s">
        <v>10</v>
      </c>
    </row>
    <row r="2118" spans="1:8" x14ac:dyDescent="0.25">
      <c r="A2118" s="127">
        <v>44823</v>
      </c>
      <c r="B2118" s="128" t="s">
        <v>30211</v>
      </c>
      <c r="C2118" s="194" t="s">
        <v>9</v>
      </c>
      <c r="D2118" s="195">
        <v>8981.2000000000007</v>
      </c>
      <c r="E2118" s="196">
        <v>44823</v>
      </c>
      <c r="F2118" s="195">
        <v>8981.2000000000007</v>
      </c>
      <c r="G2118" s="197">
        <f>Tabla110[[#This Row],[Importe]]-Tabla110[[#This Row],[Pagado]]</f>
        <v>0</v>
      </c>
      <c r="H2118" s="194" t="s">
        <v>10</v>
      </c>
    </row>
    <row r="2119" spans="1:8" x14ac:dyDescent="0.25">
      <c r="A2119" s="127">
        <v>44823</v>
      </c>
      <c r="B2119" s="128" t="s">
        <v>30212</v>
      </c>
      <c r="C2119" s="194" t="s">
        <v>14375</v>
      </c>
      <c r="D2119" s="195">
        <v>0</v>
      </c>
      <c r="E2119" s="199" t="s">
        <v>189</v>
      </c>
      <c r="F2119" s="195">
        <v>0</v>
      </c>
      <c r="G2119" s="197">
        <f>Tabla110[[#This Row],[Importe]]-Tabla110[[#This Row],[Pagado]]</f>
        <v>0</v>
      </c>
      <c r="H2119" s="194" t="s">
        <v>189</v>
      </c>
    </row>
    <row r="2120" spans="1:8" x14ac:dyDescent="0.25">
      <c r="A2120" s="127">
        <v>44823</v>
      </c>
      <c r="B2120" s="128" t="s">
        <v>30213</v>
      </c>
      <c r="C2120" s="194" t="s">
        <v>31</v>
      </c>
      <c r="D2120" s="195">
        <v>3242.4</v>
      </c>
      <c r="E2120" s="196">
        <v>44823</v>
      </c>
      <c r="F2120" s="195">
        <v>3242.4</v>
      </c>
      <c r="G2120" s="197">
        <f>Tabla110[[#This Row],[Importe]]-Tabla110[[#This Row],[Pagado]]</f>
        <v>0</v>
      </c>
      <c r="H2120" s="194" t="s">
        <v>10</v>
      </c>
    </row>
    <row r="2121" spans="1:8" ht="31.5" x14ac:dyDescent="0.25">
      <c r="A2121" s="127">
        <v>44823</v>
      </c>
      <c r="B2121" s="128" t="s">
        <v>30214</v>
      </c>
      <c r="C2121" s="194" t="s">
        <v>89</v>
      </c>
      <c r="D2121" s="195">
        <v>14322</v>
      </c>
      <c r="E2121" s="198" t="s">
        <v>30008</v>
      </c>
      <c r="F2121" s="195">
        <f>7000+7322</f>
        <v>14322</v>
      </c>
      <c r="G2121" s="197">
        <f>Tabla110[[#This Row],[Importe]]-Tabla110[[#This Row],[Pagado]]</f>
        <v>0</v>
      </c>
      <c r="H2121" s="194" t="s">
        <v>10</v>
      </c>
    </row>
    <row r="2122" spans="1:8" x14ac:dyDescent="0.25">
      <c r="A2122" s="127">
        <v>44823</v>
      </c>
      <c r="B2122" s="128" t="s">
        <v>30215</v>
      </c>
      <c r="C2122" s="194" t="s">
        <v>114</v>
      </c>
      <c r="D2122" s="195">
        <v>5510.4</v>
      </c>
      <c r="E2122" s="196">
        <v>44824</v>
      </c>
      <c r="F2122" s="195">
        <v>5510.4</v>
      </c>
      <c r="G2122" s="197">
        <f>Tabla110[[#This Row],[Importe]]-Tabla110[[#This Row],[Pagado]]</f>
        <v>0</v>
      </c>
      <c r="H2122" s="194" t="s">
        <v>10</v>
      </c>
    </row>
    <row r="2123" spans="1:8" x14ac:dyDescent="0.25">
      <c r="A2123" s="127">
        <v>44823</v>
      </c>
      <c r="B2123" s="128" t="s">
        <v>30216</v>
      </c>
      <c r="C2123" s="194" t="s">
        <v>17556</v>
      </c>
      <c r="D2123" s="195">
        <v>3032.4</v>
      </c>
      <c r="E2123" s="196">
        <v>44823</v>
      </c>
      <c r="F2123" s="195">
        <v>3032.4</v>
      </c>
      <c r="G2123" s="197">
        <f>Tabla110[[#This Row],[Importe]]-Tabla110[[#This Row],[Pagado]]</f>
        <v>0</v>
      </c>
      <c r="H2123" s="194" t="s">
        <v>10</v>
      </c>
    </row>
    <row r="2124" spans="1:8" x14ac:dyDescent="0.25">
      <c r="A2124" s="127">
        <v>44823</v>
      </c>
      <c r="B2124" s="128" t="s">
        <v>30217</v>
      </c>
      <c r="C2124" s="194" t="s">
        <v>111</v>
      </c>
      <c r="D2124" s="195">
        <v>5651.2</v>
      </c>
      <c r="E2124" s="196">
        <v>44824</v>
      </c>
      <c r="F2124" s="195">
        <v>5651.2</v>
      </c>
      <c r="G2124" s="197">
        <f>Tabla110[[#This Row],[Importe]]-Tabla110[[#This Row],[Pagado]]</f>
        <v>0</v>
      </c>
      <c r="H2124" s="194" t="s">
        <v>10</v>
      </c>
    </row>
    <row r="2125" spans="1:8" x14ac:dyDescent="0.25">
      <c r="A2125" s="127">
        <v>44823</v>
      </c>
      <c r="B2125" s="128" t="s">
        <v>30218</v>
      </c>
      <c r="C2125" s="194" t="s">
        <v>97</v>
      </c>
      <c r="D2125" s="195">
        <v>7245</v>
      </c>
      <c r="E2125" s="196">
        <v>44824</v>
      </c>
      <c r="F2125" s="195">
        <v>7245</v>
      </c>
      <c r="G2125" s="197">
        <f>Tabla110[[#This Row],[Importe]]-Tabla110[[#This Row],[Pagado]]</f>
        <v>0</v>
      </c>
      <c r="H2125" s="194" t="s">
        <v>10</v>
      </c>
    </row>
    <row r="2126" spans="1:8" x14ac:dyDescent="0.25">
      <c r="A2126" s="127">
        <v>44823</v>
      </c>
      <c r="B2126" s="128" t="s">
        <v>30219</v>
      </c>
      <c r="C2126" s="194" t="s">
        <v>12</v>
      </c>
      <c r="D2126" s="195">
        <v>13224.15</v>
      </c>
      <c r="E2126" s="196">
        <v>44824</v>
      </c>
      <c r="F2126" s="195">
        <v>13224.15</v>
      </c>
      <c r="G2126" s="197">
        <f>Tabla110[[#This Row],[Importe]]-Tabla110[[#This Row],[Pagado]]</f>
        <v>0</v>
      </c>
      <c r="H2126" s="194" t="s">
        <v>10</v>
      </c>
    </row>
    <row r="2127" spans="1:8" ht="31.5" x14ac:dyDescent="0.25">
      <c r="A2127" s="127">
        <v>44823</v>
      </c>
      <c r="B2127" s="128" t="s">
        <v>30220</v>
      </c>
      <c r="C2127" s="194" t="s">
        <v>93</v>
      </c>
      <c r="D2127" s="195">
        <v>10648</v>
      </c>
      <c r="E2127" s="198" t="s">
        <v>30221</v>
      </c>
      <c r="F2127" s="195">
        <f>7000+3648</f>
        <v>10648</v>
      </c>
      <c r="G2127" s="197">
        <f>Tabla110[[#This Row],[Importe]]-Tabla110[[#This Row],[Pagado]]</f>
        <v>0</v>
      </c>
      <c r="H2127" s="194" t="s">
        <v>10</v>
      </c>
    </row>
    <row r="2128" spans="1:8" x14ac:dyDescent="0.25">
      <c r="A2128" s="127">
        <v>44823</v>
      </c>
      <c r="B2128" s="128" t="s">
        <v>30222</v>
      </c>
      <c r="C2128" s="194" t="s">
        <v>22</v>
      </c>
      <c r="D2128" s="195">
        <v>66076.2</v>
      </c>
      <c r="E2128" s="196">
        <v>44824</v>
      </c>
      <c r="F2128" s="195">
        <v>66076.2</v>
      </c>
      <c r="G2128" s="197">
        <f>Tabla110[[#This Row],[Importe]]-Tabla110[[#This Row],[Pagado]]</f>
        <v>0</v>
      </c>
      <c r="H2128" s="194" t="s">
        <v>10</v>
      </c>
    </row>
    <row r="2129" spans="1:8" x14ac:dyDescent="0.25">
      <c r="A2129" s="127">
        <v>44823</v>
      </c>
      <c r="B2129" s="128" t="s">
        <v>30223</v>
      </c>
      <c r="C2129" s="194" t="s">
        <v>39</v>
      </c>
      <c r="D2129" s="195">
        <v>13263.6</v>
      </c>
      <c r="E2129" s="196">
        <v>44824</v>
      </c>
      <c r="F2129" s="195">
        <v>13263.6</v>
      </c>
      <c r="G2129" s="197">
        <f>Tabla110[[#This Row],[Importe]]-Tabla110[[#This Row],[Pagado]]</f>
        <v>0</v>
      </c>
      <c r="H2129" s="194" t="s">
        <v>10</v>
      </c>
    </row>
    <row r="2130" spans="1:8" x14ac:dyDescent="0.25">
      <c r="A2130" s="127">
        <v>44823</v>
      </c>
      <c r="B2130" s="128" t="s">
        <v>30224</v>
      </c>
      <c r="C2130" s="194" t="s">
        <v>357</v>
      </c>
      <c r="D2130" s="195">
        <v>1404</v>
      </c>
      <c r="E2130" s="196">
        <v>44823</v>
      </c>
      <c r="F2130" s="195">
        <v>1404</v>
      </c>
      <c r="G2130" s="197">
        <f>Tabla110[[#This Row],[Importe]]-Tabla110[[#This Row],[Pagado]]</f>
        <v>0</v>
      </c>
      <c r="H2130" s="194" t="s">
        <v>10</v>
      </c>
    </row>
    <row r="2131" spans="1:8" x14ac:dyDescent="0.25">
      <c r="A2131" s="127">
        <v>44823</v>
      </c>
      <c r="B2131" s="128" t="s">
        <v>30225</v>
      </c>
      <c r="C2131" s="194" t="s">
        <v>127</v>
      </c>
      <c r="D2131" s="195">
        <v>6199.7</v>
      </c>
      <c r="E2131" s="196">
        <v>44823</v>
      </c>
      <c r="F2131" s="195">
        <v>6199.7</v>
      </c>
      <c r="G2131" s="197">
        <f>Tabla110[[#This Row],[Importe]]-Tabla110[[#This Row],[Pagado]]</f>
        <v>0</v>
      </c>
      <c r="H2131" s="194" t="s">
        <v>10</v>
      </c>
    </row>
    <row r="2132" spans="1:8" x14ac:dyDescent="0.25">
      <c r="A2132" s="127">
        <v>44823</v>
      </c>
      <c r="B2132" s="128" t="s">
        <v>30226</v>
      </c>
      <c r="C2132" s="194" t="s">
        <v>140</v>
      </c>
      <c r="D2132" s="195">
        <v>3772.5</v>
      </c>
      <c r="E2132" s="196">
        <v>44823</v>
      </c>
      <c r="F2132" s="195">
        <v>3772.5</v>
      </c>
      <c r="G2132" s="197">
        <f>Tabla110[[#This Row],[Importe]]-Tabla110[[#This Row],[Pagado]]</f>
        <v>0</v>
      </c>
      <c r="H2132" s="194" t="s">
        <v>10</v>
      </c>
    </row>
    <row r="2133" spans="1:8" x14ac:dyDescent="0.25">
      <c r="A2133" s="127">
        <v>44823</v>
      </c>
      <c r="B2133" s="128" t="s">
        <v>30227</v>
      </c>
      <c r="C2133" s="194" t="s">
        <v>131</v>
      </c>
      <c r="D2133" s="195">
        <v>5031.2</v>
      </c>
      <c r="E2133" s="196">
        <v>44823</v>
      </c>
      <c r="F2133" s="195">
        <v>5031.2</v>
      </c>
      <c r="G2133" s="197">
        <f>Tabla110[[#This Row],[Importe]]-Tabla110[[#This Row],[Pagado]]</f>
        <v>0</v>
      </c>
      <c r="H2133" s="194" t="s">
        <v>10</v>
      </c>
    </row>
    <row r="2134" spans="1:8" x14ac:dyDescent="0.25">
      <c r="A2134" s="127">
        <v>44823</v>
      </c>
      <c r="B2134" s="128" t="s">
        <v>30228</v>
      </c>
      <c r="C2134" s="194" t="s">
        <v>146</v>
      </c>
      <c r="D2134" s="195">
        <v>5882.8</v>
      </c>
      <c r="E2134" s="196">
        <v>44823</v>
      </c>
      <c r="F2134" s="195">
        <v>5882.8</v>
      </c>
      <c r="G2134" s="197">
        <f>Tabla110[[#This Row],[Importe]]-Tabla110[[#This Row],[Pagado]]</f>
        <v>0</v>
      </c>
      <c r="H2134" s="194" t="s">
        <v>10</v>
      </c>
    </row>
    <row r="2135" spans="1:8" x14ac:dyDescent="0.25">
      <c r="A2135" s="127">
        <v>44823</v>
      </c>
      <c r="B2135" s="128" t="s">
        <v>30229</v>
      </c>
      <c r="C2135" s="194" t="s">
        <v>79</v>
      </c>
      <c r="D2135" s="195">
        <v>13818.4</v>
      </c>
      <c r="E2135" s="196">
        <v>44823</v>
      </c>
      <c r="F2135" s="195">
        <v>13818.4</v>
      </c>
      <c r="G2135" s="197">
        <f>Tabla110[[#This Row],[Importe]]-Tabla110[[#This Row],[Pagado]]</f>
        <v>0</v>
      </c>
      <c r="H2135" s="194" t="s">
        <v>10</v>
      </c>
    </row>
    <row r="2136" spans="1:8" x14ac:dyDescent="0.25">
      <c r="A2136" s="127">
        <v>44823</v>
      </c>
      <c r="B2136" s="128" t="s">
        <v>30230</v>
      </c>
      <c r="C2136" s="194" t="s">
        <v>137</v>
      </c>
      <c r="D2136" s="195">
        <v>2974.2</v>
      </c>
      <c r="E2136" s="196">
        <v>44823</v>
      </c>
      <c r="F2136" s="195">
        <v>2974.2</v>
      </c>
      <c r="G2136" s="197">
        <f>Tabla110[[#This Row],[Importe]]-Tabla110[[#This Row],[Pagado]]</f>
        <v>0</v>
      </c>
      <c r="H2136" s="194" t="s">
        <v>10</v>
      </c>
    </row>
    <row r="2137" spans="1:8" x14ac:dyDescent="0.25">
      <c r="A2137" s="127">
        <v>44823</v>
      </c>
      <c r="B2137" s="128" t="s">
        <v>30231</v>
      </c>
      <c r="C2137" s="194" t="s">
        <v>137</v>
      </c>
      <c r="D2137" s="195">
        <v>84</v>
      </c>
      <c r="E2137" s="196">
        <v>44823</v>
      </c>
      <c r="F2137" s="195">
        <v>84</v>
      </c>
      <c r="G2137" s="197">
        <f>Tabla110[[#This Row],[Importe]]-Tabla110[[#This Row],[Pagado]]</f>
        <v>0</v>
      </c>
      <c r="H2137" s="194" t="s">
        <v>10</v>
      </c>
    </row>
    <row r="2138" spans="1:8" x14ac:dyDescent="0.25">
      <c r="A2138" s="127">
        <v>44823</v>
      </c>
      <c r="B2138" s="128" t="s">
        <v>30232</v>
      </c>
      <c r="C2138" s="194" t="s">
        <v>2780</v>
      </c>
      <c r="D2138" s="195">
        <v>2700</v>
      </c>
      <c r="E2138" s="196">
        <v>44823</v>
      </c>
      <c r="F2138" s="195">
        <v>2700</v>
      </c>
      <c r="G2138" s="197">
        <f>Tabla110[[#This Row],[Importe]]-Tabla110[[#This Row],[Pagado]]</f>
        <v>0</v>
      </c>
      <c r="H2138" s="194" t="s">
        <v>10</v>
      </c>
    </row>
    <row r="2139" spans="1:8" x14ac:dyDescent="0.25">
      <c r="A2139" s="127">
        <v>44823</v>
      </c>
      <c r="B2139" s="128" t="s">
        <v>30233</v>
      </c>
      <c r="C2139" s="194" t="s">
        <v>333</v>
      </c>
      <c r="D2139" s="195">
        <v>325</v>
      </c>
      <c r="E2139" s="196">
        <v>44823</v>
      </c>
      <c r="F2139" s="195">
        <v>325</v>
      </c>
      <c r="G2139" s="197">
        <f>Tabla110[[#This Row],[Importe]]-Tabla110[[#This Row],[Pagado]]</f>
        <v>0</v>
      </c>
      <c r="H2139" s="194" t="s">
        <v>10</v>
      </c>
    </row>
    <row r="2140" spans="1:8" x14ac:dyDescent="0.25">
      <c r="A2140" s="127">
        <v>44823</v>
      </c>
      <c r="B2140" s="128" t="s">
        <v>30234</v>
      </c>
      <c r="C2140" s="194" t="s">
        <v>16</v>
      </c>
      <c r="D2140" s="195">
        <v>5058.8999999999996</v>
      </c>
      <c r="E2140" s="196">
        <v>44823</v>
      </c>
      <c r="F2140" s="195">
        <v>5058.8999999999996</v>
      </c>
      <c r="G2140" s="197">
        <f>Tabla110[[#This Row],[Importe]]-Tabla110[[#This Row],[Pagado]]</f>
        <v>0</v>
      </c>
      <c r="H2140" s="194" t="s">
        <v>10</v>
      </c>
    </row>
    <row r="2141" spans="1:8" x14ac:dyDescent="0.25">
      <c r="A2141" s="127">
        <v>44823</v>
      </c>
      <c r="B2141" s="128" t="s">
        <v>30235</v>
      </c>
      <c r="C2141" s="194" t="s">
        <v>53</v>
      </c>
      <c r="D2141" s="195">
        <v>1911</v>
      </c>
      <c r="E2141" s="196">
        <v>44823</v>
      </c>
      <c r="F2141" s="195">
        <v>1911</v>
      </c>
      <c r="G2141" s="197">
        <f>Tabla110[[#This Row],[Importe]]-Tabla110[[#This Row],[Pagado]]</f>
        <v>0</v>
      </c>
      <c r="H2141" s="194" t="s">
        <v>10</v>
      </c>
    </row>
    <row r="2142" spans="1:8" x14ac:dyDescent="0.25">
      <c r="A2142" s="127">
        <v>44823</v>
      </c>
      <c r="B2142" s="128" t="s">
        <v>30236</v>
      </c>
      <c r="C2142" s="194" t="s">
        <v>75</v>
      </c>
      <c r="D2142" s="195">
        <v>9507.6</v>
      </c>
      <c r="E2142" s="196">
        <v>44823</v>
      </c>
      <c r="F2142" s="195">
        <v>9507.6</v>
      </c>
      <c r="G2142" s="197">
        <f>Tabla110[[#This Row],[Importe]]-Tabla110[[#This Row],[Pagado]]</f>
        <v>0</v>
      </c>
      <c r="H2142" s="194" t="s">
        <v>10</v>
      </c>
    </row>
    <row r="2143" spans="1:8" x14ac:dyDescent="0.25">
      <c r="A2143" s="127">
        <v>44823</v>
      </c>
      <c r="B2143" s="128" t="s">
        <v>30237</v>
      </c>
      <c r="C2143" s="194" t="s">
        <v>226</v>
      </c>
      <c r="D2143" s="195">
        <v>12010.8</v>
      </c>
      <c r="E2143" s="196">
        <v>44823</v>
      </c>
      <c r="F2143" s="195">
        <v>12010.8</v>
      </c>
      <c r="G2143" s="197">
        <f>Tabla110[[#This Row],[Importe]]-Tabla110[[#This Row],[Pagado]]</f>
        <v>0</v>
      </c>
      <c r="H2143" s="194" t="s">
        <v>10</v>
      </c>
    </row>
    <row r="2144" spans="1:8" x14ac:dyDescent="0.25">
      <c r="A2144" s="127">
        <v>44823</v>
      </c>
      <c r="B2144" s="128" t="s">
        <v>30238</v>
      </c>
      <c r="C2144" s="194" t="s">
        <v>27</v>
      </c>
      <c r="D2144" s="195">
        <v>3187.8</v>
      </c>
      <c r="E2144" s="196">
        <v>44823</v>
      </c>
      <c r="F2144" s="195">
        <v>3187.8</v>
      </c>
      <c r="G2144" s="197">
        <f>Tabla110[[#This Row],[Importe]]-Tabla110[[#This Row],[Pagado]]</f>
        <v>0</v>
      </c>
      <c r="H2144" s="194" t="s">
        <v>10</v>
      </c>
    </row>
    <row r="2145" spans="1:8" x14ac:dyDescent="0.25">
      <c r="A2145" s="127">
        <v>44823</v>
      </c>
      <c r="B2145" s="128" t="s">
        <v>30239</v>
      </c>
      <c r="C2145" s="194" t="s">
        <v>473</v>
      </c>
      <c r="D2145" s="195">
        <v>4729</v>
      </c>
      <c r="E2145" s="196">
        <v>44823</v>
      </c>
      <c r="F2145" s="195">
        <v>4729</v>
      </c>
      <c r="G2145" s="197">
        <f>Tabla110[[#This Row],[Importe]]-Tabla110[[#This Row],[Pagado]]</f>
        <v>0</v>
      </c>
      <c r="H2145" s="194" t="s">
        <v>10</v>
      </c>
    </row>
    <row r="2146" spans="1:8" x14ac:dyDescent="0.25">
      <c r="A2146" s="127">
        <v>44823</v>
      </c>
      <c r="B2146" s="128" t="s">
        <v>30240</v>
      </c>
      <c r="C2146" s="194" t="s">
        <v>31</v>
      </c>
      <c r="D2146" s="195">
        <v>1470</v>
      </c>
      <c r="E2146" s="196">
        <v>44823</v>
      </c>
      <c r="F2146" s="195">
        <v>1470</v>
      </c>
      <c r="G2146" s="197">
        <f>Tabla110[[#This Row],[Importe]]-Tabla110[[#This Row],[Pagado]]</f>
        <v>0</v>
      </c>
      <c r="H2146" s="194" t="s">
        <v>10</v>
      </c>
    </row>
    <row r="2147" spans="1:8" x14ac:dyDescent="0.25">
      <c r="A2147" s="127">
        <v>44823</v>
      </c>
      <c r="B2147" s="128" t="s">
        <v>30241</v>
      </c>
      <c r="C2147" s="194" t="s">
        <v>196</v>
      </c>
      <c r="D2147" s="195">
        <v>72034.820000000007</v>
      </c>
      <c r="E2147" s="196">
        <v>44827</v>
      </c>
      <c r="F2147" s="195">
        <v>72034.820000000007</v>
      </c>
      <c r="G2147" s="197">
        <f>Tabla110[[#This Row],[Importe]]-Tabla110[[#This Row],[Pagado]]</f>
        <v>0</v>
      </c>
      <c r="H2147" s="194" t="s">
        <v>10</v>
      </c>
    </row>
    <row r="2148" spans="1:8" x14ac:dyDescent="0.25">
      <c r="A2148" s="127">
        <v>44823</v>
      </c>
      <c r="B2148" s="128" t="s">
        <v>30242</v>
      </c>
      <c r="C2148" s="194" t="s">
        <v>45</v>
      </c>
      <c r="D2148" s="195">
        <v>12547.5</v>
      </c>
      <c r="E2148" s="196">
        <v>44823</v>
      </c>
      <c r="F2148" s="195">
        <v>12547.5</v>
      </c>
      <c r="G2148" s="197">
        <f>Tabla110[[#This Row],[Importe]]-Tabla110[[#This Row],[Pagado]]</f>
        <v>0</v>
      </c>
      <c r="H2148" s="194" t="s">
        <v>10</v>
      </c>
    </row>
    <row r="2149" spans="1:8" x14ac:dyDescent="0.25">
      <c r="A2149" s="127">
        <v>44823</v>
      </c>
      <c r="B2149" s="128" t="s">
        <v>30243</v>
      </c>
      <c r="C2149" s="194" t="s">
        <v>135</v>
      </c>
      <c r="D2149" s="195">
        <v>1322.8</v>
      </c>
      <c r="E2149" s="196">
        <v>44823</v>
      </c>
      <c r="F2149" s="195">
        <v>1322.8</v>
      </c>
      <c r="G2149" s="197">
        <f>Tabla110[[#This Row],[Importe]]-Tabla110[[#This Row],[Pagado]]</f>
        <v>0</v>
      </c>
      <c r="H2149" s="194" t="s">
        <v>10</v>
      </c>
    </row>
    <row r="2150" spans="1:8" x14ac:dyDescent="0.25">
      <c r="A2150" s="127">
        <v>44823</v>
      </c>
      <c r="B2150" s="128" t="s">
        <v>30244</v>
      </c>
      <c r="C2150" s="194" t="s">
        <v>49</v>
      </c>
      <c r="D2150" s="195">
        <v>2073</v>
      </c>
      <c r="E2150" s="196">
        <v>44823</v>
      </c>
      <c r="F2150" s="195">
        <v>2073</v>
      </c>
      <c r="G2150" s="197">
        <f>Tabla110[[#This Row],[Importe]]-Tabla110[[#This Row],[Pagado]]</f>
        <v>0</v>
      </c>
      <c r="H2150" s="194" t="s">
        <v>10</v>
      </c>
    </row>
    <row r="2151" spans="1:8" x14ac:dyDescent="0.25">
      <c r="A2151" s="127">
        <v>44823</v>
      </c>
      <c r="B2151" s="128" t="s">
        <v>30245</v>
      </c>
      <c r="C2151" s="194" t="s">
        <v>56</v>
      </c>
      <c r="D2151" s="195">
        <v>7207.5</v>
      </c>
      <c r="E2151" s="196">
        <v>44823</v>
      </c>
      <c r="F2151" s="195">
        <v>7207.5</v>
      </c>
      <c r="G2151" s="197">
        <f>Tabla110[[#This Row],[Importe]]-Tabla110[[#This Row],[Pagado]]</f>
        <v>0</v>
      </c>
      <c r="H2151" s="194" t="s">
        <v>10</v>
      </c>
    </row>
    <row r="2152" spans="1:8" x14ac:dyDescent="0.25">
      <c r="A2152" s="127">
        <v>44823</v>
      </c>
      <c r="B2152" s="128" t="s">
        <v>30246</v>
      </c>
      <c r="C2152" s="194" t="s">
        <v>450</v>
      </c>
      <c r="D2152" s="195">
        <v>8692</v>
      </c>
      <c r="E2152" s="196">
        <v>44823</v>
      </c>
      <c r="F2152" s="195">
        <v>8692</v>
      </c>
      <c r="G2152" s="197">
        <f>Tabla110[[#This Row],[Importe]]-Tabla110[[#This Row],[Pagado]]</f>
        <v>0</v>
      </c>
      <c r="H2152" s="194" t="s">
        <v>10</v>
      </c>
    </row>
    <row r="2153" spans="1:8" x14ac:dyDescent="0.25">
      <c r="A2153" s="127">
        <v>44823</v>
      </c>
      <c r="B2153" s="128" t="s">
        <v>30247</v>
      </c>
      <c r="C2153" s="194" t="s">
        <v>222</v>
      </c>
      <c r="D2153" s="195">
        <v>9060.4</v>
      </c>
      <c r="E2153" s="196">
        <v>44823</v>
      </c>
      <c r="F2153" s="195">
        <v>9060.4</v>
      </c>
      <c r="G2153" s="197">
        <f>Tabla110[[#This Row],[Importe]]-Tabla110[[#This Row],[Pagado]]</f>
        <v>0</v>
      </c>
      <c r="H2153" s="194" t="s">
        <v>10</v>
      </c>
    </row>
    <row r="2154" spans="1:8" x14ac:dyDescent="0.25">
      <c r="A2154" s="127">
        <v>44823</v>
      </c>
      <c r="B2154" s="128" t="s">
        <v>30248</v>
      </c>
      <c r="C2154" s="194" t="s">
        <v>9827</v>
      </c>
      <c r="D2154" s="195">
        <v>2120.4</v>
      </c>
      <c r="E2154" s="196">
        <v>44823</v>
      </c>
      <c r="F2154" s="195">
        <v>2120.4</v>
      </c>
      <c r="G2154" s="197">
        <f>Tabla110[[#This Row],[Importe]]-Tabla110[[#This Row],[Pagado]]</f>
        <v>0</v>
      </c>
      <c r="H2154" s="194" t="s">
        <v>10</v>
      </c>
    </row>
    <row r="2155" spans="1:8" x14ac:dyDescent="0.25">
      <c r="A2155" s="127">
        <v>44823</v>
      </c>
      <c r="B2155" s="128" t="s">
        <v>30249</v>
      </c>
      <c r="C2155" s="194" t="s">
        <v>518</v>
      </c>
      <c r="D2155" s="195">
        <v>2558.1999999999998</v>
      </c>
      <c r="E2155" s="196">
        <v>44823</v>
      </c>
      <c r="F2155" s="195">
        <v>2558.1999999999998</v>
      </c>
      <c r="G2155" s="197">
        <f>Tabla110[[#This Row],[Importe]]-Tabla110[[#This Row],[Pagado]]</f>
        <v>0</v>
      </c>
      <c r="H2155" s="194" t="s">
        <v>10</v>
      </c>
    </row>
    <row r="2156" spans="1:8" x14ac:dyDescent="0.25">
      <c r="A2156" s="127">
        <v>44823</v>
      </c>
      <c r="B2156" s="128" t="s">
        <v>30250</v>
      </c>
      <c r="C2156" s="194" t="s">
        <v>840</v>
      </c>
      <c r="D2156" s="195">
        <v>11219.2</v>
      </c>
      <c r="E2156" s="196">
        <v>44823</v>
      </c>
      <c r="F2156" s="195">
        <v>11219.2</v>
      </c>
      <c r="G2156" s="197">
        <f>Tabla110[[#This Row],[Importe]]-Tabla110[[#This Row],[Pagado]]</f>
        <v>0</v>
      </c>
      <c r="H2156" s="194" t="s">
        <v>10</v>
      </c>
    </row>
    <row r="2157" spans="1:8" x14ac:dyDescent="0.25">
      <c r="A2157" s="127">
        <v>44823</v>
      </c>
      <c r="B2157" s="128" t="s">
        <v>30251</v>
      </c>
      <c r="C2157" s="194" t="s">
        <v>198</v>
      </c>
      <c r="D2157" s="195">
        <v>4225</v>
      </c>
      <c r="E2157" s="196">
        <v>44823</v>
      </c>
      <c r="F2157" s="195">
        <v>4225</v>
      </c>
      <c r="G2157" s="197">
        <f>Tabla110[[#This Row],[Importe]]-Tabla110[[#This Row],[Pagado]]</f>
        <v>0</v>
      </c>
      <c r="H2157" s="194" t="s">
        <v>10</v>
      </c>
    </row>
    <row r="2158" spans="1:8" x14ac:dyDescent="0.25">
      <c r="A2158" s="127">
        <v>44823</v>
      </c>
      <c r="B2158" s="128" t="s">
        <v>30252</v>
      </c>
      <c r="C2158" s="194" t="s">
        <v>206</v>
      </c>
      <c r="D2158" s="195">
        <v>25589</v>
      </c>
      <c r="E2158" s="196">
        <v>44825</v>
      </c>
      <c r="F2158" s="195">
        <v>25589</v>
      </c>
      <c r="G2158" s="197">
        <f>Tabla110[[#This Row],[Importe]]-Tabla110[[#This Row],[Pagado]]</f>
        <v>0</v>
      </c>
      <c r="H2158" s="194" t="s">
        <v>10</v>
      </c>
    </row>
    <row r="2159" spans="1:8" x14ac:dyDescent="0.25">
      <c r="A2159" s="127">
        <v>44823</v>
      </c>
      <c r="B2159" s="128" t="s">
        <v>30253</v>
      </c>
      <c r="C2159" s="194" t="s">
        <v>154</v>
      </c>
      <c r="D2159" s="195">
        <v>40108</v>
      </c>
      <c r="E2159" s="196">
        <v>44825</v>
      </c>
      <c r="F2159" s="195">
        <v>40108</v>
      </c>
      <c r="G2159" s="197">
        <f>Tabla110[[#This Row],[Importe]]-Tabla110[[#This Row],[Pagado]]</f>
        <v>0</v>
      </c>
      <c r="H2159" s="194" t="s">
        <v>10</v>
      </c>
    </row>
    <row r="2160" spans="1:8" x14ac:dyDescent="0.25">
      <c r="A2160" s="127">
        <v>44823</v>
      </c>
      <c r="B2160" s="128" t="s">
        <v>30254</v>
      </c>
      <c r="C2160" s="194" t="s">
        <v>173</v>
      </c>
      <c r="D2160" s="195">
        <v>23683.599999999999</v>
      </c>
      <c r="E2160" s="196">
        <v>44824</v>
      </c>
      <c r="F2160" s="195">
        <v>23683.599999999999</v>
      </c>
      <c r="G2160" s="197">
        <f>Tabla110[[#This Row],[Importe]]-Tabla110[[#This Row],[Pagado]]</f>
        <v>0</v>
      </c>
      <c r="H2160" s="194" t="s">
        <v>10</v>
      </c>
    </row>
    <row r="2161" spans="1:8" x14ac:dyDescent="0.25">
      <c r="A2161" s="127">
        <v>44823</v>
      </c>
      <c r="B2161" s="128" t="s">
        <v>30255</v>
      </c>
      <c r="C2161" s="194" t="s">
        <v>1003</v>
      </c>
      <c r="D2161" s="195">
        <v>7831</v>
      </c>
      <c r="E2161" s="196">
        <v>44824</v>
      </c>
      <c r="F2161" s="195">
        <v>7831</v>
      </c>
      <c r="G2161" s="197">
        <f>Tabla110[[#This Row],[Importe]]-Tabla110[[#This Row],[Pagado]]</f>
        <v>0</v>
      </c>
      <c r="H2161" s="194" t="s">
        <v>10</v>
      </c>
    </row>
    <row r="2162" spans="1:8" x14ac:dyDescent="0.25">
      <c r="A2162" s="127">
        <v>44823</v>
      </c>
      <c r="B2162" s="128" t="s">
        <v>30256</v>
      </c>
      <c r="C2162" s="194" t="s">
        <v>212</v>
      </c>
      <c r="D2162" s="195">
        <v>11866</v>
      </c>
      <c r="E2162" s="196">
        <v>44827</v>
      </c>
      <c r="F2162" s="195">
        <v>11866</v>
      </c>
      <c r="G2162" s="197">
        <f>Tabla110[[#This Row],[Importe]]-Tabla110[[#This Row],[Pagado]]</f>
        <v>0</v>
      </c>
      <c r="H2162" s="194" t="s">
        <v>10</v>
      </c>
    </row>
    <row r="2163" spans="1:8" x14ac:dyDescent="0.25">
      <c r="A2163" s="127">
        <v>44823</v>
      </c>
      <c r="B2163" s="128" t="s">
        <v>30257</v>
      </c>
      <c r="C2163" s="194" t="s">
        <v>214</v>
      </c>
      <c r="D2163" s="195">
        <v>1626.4</v>
      </c>
      <c r="E2163" s="196">
        <v>44823</v>
      </c>
      <c r="F2163" s="195">
        <v>1626.4</v>
      </c>
      <c r="G2163" s="197">
        <f>Tabla110[[#This Row],[Importe]]-Tabla110[[#This Row],[Pagado]]</f>
        <v>0</v>
      </c>
      <c r="H2163" s="194" t="s">
        <v>10</v>
      </c>
    </row>
    <row r="2164" spans="1:8" x14ac:dyDescent="0.25">
      <c r="A2164" s="127">
        <v>44823</v>
      </c>
      <c r="B2164" s="128" t="s">
        <v>30258</v>
      </c>
      <c r="C2164" s="194" t="s">
        <v>24</v>
      </c>
      <c r="D2164" s="195">
        <v>1306</v>
      </c>
      <c r="E2164" s="196">
        <v>44823</v>
      </c>
      <c r="F2164" s="195">
        <v>1306</v>
      </c>
      <c r="G2164" s="197">
        <f>Tabla110[[#This Row],[Importe]]-Tabla110[[#This Row],[Pagado]]</f>
        <v>0</v>
      </c>
      <c r="H2164" s="194" t="s">
        <v>10</v>
      </c>
    </row>
    <row r="2165" spans="1:8" x14ac:dyDescent="0.25">
      <c r="A2165" s="127">
        <v>44823</v>
      </c>
      <c r="B2165" s="128" t="s">
        <v>30259</v>
      </c>
      <c r="C2165" s="194" t="s">
        <v>240</v>
      </c>
      <c r="D2165" s="195">
        <v>12440</v>
      </c>
      <c r="E2165" s="196">
        <v>44823</v>
      </c>
      <c r="F2165" s="195">
        <v>12440</v>
      </c>
      <c r="G2165" s="197">
        <f>Tabla110[[#This Row],[Importe]]-Tabla110[[#This Row],[Pagado]]</f>
        <v>0</v>
      </c>
      <c r="H2165" s="194" t="s">
        <v>10</v>
      </c>
    </row>
    <row r="2166" spans="1:8" x14ac:dyDescent="0.25">
      <c r="A2166" s="127">
        <v>44823</v>
      </c>
      <c r="B2166" s="128" t="s">
        <v>30260</v>
      </c>
      <c r="C2166" s="194" t="s">
        <v>698</v>
      </c>
      <c r="D2166" s="195">
        <v>8812.7000000000007</v>
      </c>
      <c r="E2166" s="196">
        <v>44823</v>
      </c>
      <c r="F2166" s="195">
        <v>8812.7000000000007</v>
      </c>
      <c r="G2166" s="197">
        <f>Tabla110[[#This Row],[Importe]]-Tabla110[[#This Row],[Pagado]]</f>
        <v>0</v>
      </c>
      <c r="H2166" s="194" t="s">
        <v>10</v>
      </c>
    </row>
    <row r="2167" spans="1:8" x14ac:dyDescent="0.25">
      <c r="A2167" s="127">
        <v>44823</v>
      </c>
      <c r="B2167" s="128" t="s">
        <v>30261</v>
      </c>
      <c r="C2167" s="194" t="s">
        <v>31</v>
      </c>
      <c r="D2167" s="195">
        <v>3534</v>
      </c>
      <c r="E2167" s="196">
        <v>44823</v>
      </c>
      <c r="F2167" s="195">
        <v>3534</v>
      </c>
      <c r="G2167" s="197">
        <f>Tabla110[[#This Row],[Importe]]-Tabla110[[#This Row],[Pagado]]</f>
        <v>0</v>
      </c>
      <c r="H2167" s="194" t="s">
        <v>10</v>
      </c>
    </row>
    <row r="2168" spans="1:8" x14ac:dyDescent="0.25">
      <c r="A2168" s="127">
        <v>44823</v>
      </c>
      <c r="B2168" s="128" t="s">
        <v>30262</v>
      </c>
      <c r="C2168" s="194" t="s">
        <v>31</v>
      </c>
      <c r="D2168" s="195">
        <v>3804.8</v>
      </c>
      <c r="E2168" s="196">
        <v>44823</v>
      </c>
      <c r="F2168" s="195">
        <v>3804.8</v>
      </c>
      <c r="G2168" s="197">
        <f>Tabla110[[#This Row],[Importe]]-Tabla110[[#This Row],[Pagado]]</f>
        <v>0</v>
      </c>
      <c r="H2168" s="194" t="s">
        <v>10</v>
      </c>
    </row>
    <row r="2169" spans="1:8" x14ac:dyDescent="0.25">
      <c r="A2169" s="127">
        <v>44823</v>
      </c>
      <c r="B2169" s="128" t="s">
        <v>30263</v>
      </c>
      <c r="C2169" s="194" t="s">
        <v>664</v>
      </c>
      <c r="D2169" s="195">
        <v>3312</v>
      </c>
      <c r="E2169" s="196">
        <v>44823</v>
      </c>
      <c r="F2169" s="195">
        <v>3312</v>
      </c>
      <c r="G2169" s="197">
        <f>Tabla110[[#This Row],[Importe]]-Tabla110[[#This Row],[Pagado]]</f>
        <v>0</v>
      </c>
      <c r="H2169" s="194" t="s">
        <v>10</v>
      </c>
    </row>
    <row r="2170" spans="1:8" x14ac:dyDescent="0.25">
      <c r="A2170" s="127">
        <v>44823</v>
      </c>
      <c r="B2170" s="128" t="s">
        <v>30264</v>
      </c>
      <c r="C2170" s="194" t="s">
        <v>31</v>
      </c>
      <c r="D2170" s="195">
        <v>234</v>
      </c>
      <c r="E2170" s="196">
        <v>44823</v>
      </c>
      <c r="F2170" s="195">
        <v>234</v>
      </c>
      <c r="G2170" s="197">
        <f>Tabla110[[#This Row],[Importe]]-Tabla110[[#This Row],[Pagado]]</f>
        <v>0</v>
      </c>
      <c r="H2170" s="194" t="s">
        <v>10</v>
      </c>
    </row>
    <row r="2171" spans="1:8" x14ac:dyDescent="0.25">
      <c r="A2171" s="127">
        <v>44823</v>
      </c>
      <c r="B2171" s="128" t="s">
        <v>30265</v>
      </c>
      <c r="C2171" s="194" t="s">
        <v>181</v>
      </c>
      <c r="D2171" s="195">
        <v>11717.8</v>
      </c>
      <c r="E2171" s="196">
        <v>44823</v>
      </c>
      <c r="F2171" s="195">
        <v>11717.8</v>
      </c>
      <c r="G2171" s="197">
        <f>Tabla110[[#This Row],[Importe]]-Tabla110[[#This Row],[Pagado]]</f>
        <v>0</v>
      </c>
      <c r="H2171" s="194" t="s">
        <v>10</v>
      </c>
    </row>
    <row r="2172" spans="1:8" x14ac:dyDescent="0.25">
      <c r="A2172" s="127">
        <v>44823</v>
      </c>
      <c r="B2172" s="128" t="s">
        <v>30266</v>
      </c>
      <c r="C2172" s="194" t="s">
        <v>843</v>
      </c>
      <c r="D2172" s="195">
        <v>22660</v>
      </c>
      <c r="E2172" s="196">
        <v>44823</v>
      </c>
      <c r="F2172" s="195">
        <v>22660</v>
      </c>
      <c r="G2172" s="197">
        <f>Tabla110[[#This Row],[Importe]]-Tabla110[[#This Row],[Pagado]]</f>
        <v>0</v>
      </c>
      <c r="H2172" s="194" t="s">
        <v>10</v>
      </c>
    </row>
    <row r="2173" spans="1:8" x14ac:dyDescent="0.25">
      <c r="A2173" s="127">
        <v>44823</v>
      </c>
      <c r="B2173" s="128" t="s">
        <v>30267</v>
      </c>
      <c r="C2173" s="194" t="s">
        <v>107</v>
      </c>
      <c r="D2173" s="195">
        <v>16291.8</v>
      </c>
      <c r="E2173" s="196">
        <v>44823</v>
      </c>
      <c r="F2173" s="195">
        <v>16291.8</v>
      </c>
      <c r="G2173" s="197">
        <f>Tabla110[[#This Row],[Importe]]-Tabla110[[#This Row],[Pagado]]</f>
        <v>0</v>
      </c>
      <c r="H2173" s="194" t="s">
        <v>10</v>
      </c>
    </row>
    <row r="2174" spans="1:8" x14ac:dyDescent="0.25">
      <c r="A2174" s="127">
        <v>44823</v>
      </c>
      <c r="B2174" s="128" t="s">
        <v>30268</v>
      </c>
      <c r="C2174" s="194" t="s">
        <v>67</v>
      </c>
      <c r="D2174" s="195">
        <v>1762.5</v>
      </c>
      <c r="E2174" s="196">
        <v>44823</v>
      </c>
      <c r="F2174" s="195">
        <v>1762.5</v>
      </c>
      <c r="G2174" s="197">
        <f>Tabla110[[#This Row],[Importe]]-Tabla110[[#This Row],[Pagado]]</f>
        <v>0</v>
      </c>
      <c r="H2174" s="194" t="s">
        <v>10</v>
      </c>
    </row>
    <row r="2175" spans="1:8" x14ac:dyDescent="0.25">
      <c r="A2175" s="127">
        <v>44823</v>
      </c>
      <c r="B2175" s="128" t="s">
        <v>30269</v>
      </c>
      <c r="C2175" s="194" t="s">
        <v>175</v>
      </c>
      <c r="D2175" s="195">
        <v>15263.2</v>
      </c>
      <c r="E2175" s="196">
        <v>44823</v>
      </c>
      <c r="F2175" s="195">
        <v>15263.2</v>
      </c>
      <c r="G2175" s="197">
        <f>Tabla110[[#This Row],[Importe]]-Tabla110[[#This Row],[Pagado]]</f>
        <v>0</v>
      </c>
      <c r="H2175" s="194" t="s">
        <v>10</v>
      </c>
    </row>
    <row r="2176" spans="1:8" x14ac:dyDescent="0.25">
      <c r="A2176" s="127">
        <v>44823</v>
      </c>
      <c r="B2176" s="128" t="s">
        <v>30270</v>
      </c>
      <c r="C2176" s="194" t="s">
        <v>359</v>
      </c>
      <c r="D2176" s="195">
        <v>1452.7</v>
      </c>
      <c r="E2176" s="196">
        <v>44823</v>
      </c>
      <c r="F2176" s="195">
        <v>1452.7</v>
      </c>
      <c r="G2176" s="197">
        <f>Tabla110[[#This Row],[Importe]]-Tabla110[[#This Row],[Pagado]]</f>
        <v>0</v>
      </c>
      <c r="H2176" s="194" t="s">
        <v>10</v>
      </c>
    </row>
    <row r="2177" spans="1:8" x14ac:dyDescent="0.25">
      <c r="A2177" s="127">
        <v>44823</v>
      </c>
      <c r="B2177" s="128" t="s">
        <v>30271</v>
      </c>
      <c r="C2177" s="194" t="s">
        <v>426</v>
      </c>
      <c r="D2177" s="195">
        <v>3018</v>
      </c>
      <c r="E2177" s="196">
        <v>44823</v>
      </c>
      <c r="F2177" s="195">
        <v>3018</v>
      </c>
      <c r="G2177" s="197">
        <f>Tabla110[[#This Row],[Importe]]-Tabla110[[#This Row],[Pagado]]</f>
        <v>0</v>
      </c>
      <c r="H2177" s="194" t="s">
        <v>10</v>
      </c>
    </row>
    <row r="2178" spans="1:8" x14ac:dyDescent="0.25">
      <c r="A2178" s="127">
        <v>44823</v>
      </c>
      <c r="B2178" s="128" t="s">
        <v>30272</v>
      </c>
      <c r="C2178" s="194" t="s">
        <v>200</v>
      </c>
      <c r="D2178" s="195">
        <v>760</v>
      </c>
      <c r="E2178" s="196">
        <v>44823</v>
      </c>
      <c r="F2178" s="195">
        <v>760</v>
      </c>
      <c r="G2178" s="197">
        <f>Tabla110[[#This Row],[Importe]]-Tabla110[[#This Row],[Pagado]]</f>
        <v>0</v>
      </c>
      <c r="H2178" s="194" t="s">
        <v>10</v>
      </c>
    </row>
    <row r="2179" spans="1:8" x14ac:dyDescent="0.25">
      <c r="A2179" s="127">
        <v>44823</v>
      </c>
      <c r="B2179" s="128" t="s">
        <v>30273</v>
      </c>
      <c r="C2179" s="194" t="s">
        <v>296</v>
      </c>
      <c r="D2179" s="195">
        <v>3328.8</v>
      </c>
      <c r="E2179" s="196">
        <v>44823</v>
      </c>
      <c r="F2179" s="195">
        <v>3328.8</v>
      </c>
      <c r="G2179" s="197">
        <f>Tabla110[[#This Row],[Importe]]-Tabla110[[#This Row],[Pagado]]</f>
        <v>0</v>
      </c>
      <c r="H2179" s="194" t="s">
        <v>10</v>
      </c>
    </row>
    <row r="2180" spans="1:8" x14ac:dyDescent="0.25">
      <c r="A2180" s="127">
        <v>44823</v>
      </c>
      <c r="B2180" s="128" t="s">
        <v>30274</v>
      </c>
      <c r="C2180" s="194" t="s">
        <v>97</v>
      </c>
      <c r="D2180" s="195">
        <v>4647</v>
      </c>
      <c r="E2180" s="196">
        <v>44823</v>
      </c>
      <c r="F2180" s="195">
        <v>4647</v>
      </c>
      <c r="G2180" s="197">
        <f>Tabla110[[#This Row],[Importe]]-Tabla110[[#This Row],[Pagado]]</f>
        <v>0</v>
      </c>
      <c r="H2180" s="194" t="s">
        <v>10</v>
      </c>
    </row>
    <row r="2181" spans="1:8" x14ac:dyDescent="0.25">
      <c r="A2181" s="127">
        <v>44823</v>
      </c>
      <c r="B2181" s="128" t="s">
        <v>30275</v>
      </c>
      <c r="C2181" s="194" t="s">
        <v>419</v>
      </c>
      <c r="D2181" s="195">
        <v>6128.3</v>
      </c>
      <c r="E2181" s="196">
        <v>44823</v>
      </c>
      <c r="F2181" s="195">
        <v>6128.3</v>
      </c>
      <c r="G2181" s="197">
        <f>Tabla110[[#This Row],[Importe]]-Tabla110[[#This Row],[Pagado]]</f>
        <v>0</v>
      </c>
      <c r="H2181" s="194" t="s">
        <v>10</v>
      </c>
    </row>
    <row r="2182" spans="1:8" x14ac:dyDescent="0.25">
      <c r="A2182" s="127">
        <v>44823</v>
      </c>
      <c r="B2182" s="128" t="s">
        <v>30276</v>
      </c>
      <c r="C2182" s="194" t="s">
        <v>191</v>
      </c>
      <c r="D2182" s="195">
        <v>814.8</v>
      </c>
      <c r="E2182" s="196">
        <v>44823</v>
      </c>
      <c r="F2182" s="195">
        <v>814.8</v>
      </c>
      <c r="G2182" s="197">
        <f>Tabla110[[#This Row],[Importe]]-Tabla110[[#This Row],[Pagado]]</f>
        <v>0</v>
      </c>
      <c r="H2182" s="194" t="s">
        <v>10</v>
      </c>
    </row>
    <row r="2183" spans="1:8" x14ac:dyDescent="0.25">
      <c r="A2183" s="127">
        <v>44823</v>
      </c>
      <c r="B2183" s="128" t="s">
        <v>30277</v>
      </c>
      <c r="C2183" s="194" t="s">
        <v>9827</v>
      </c>
      <c r="D2183" s="195">
        <v>3701.2</v>
      </c>
      <c r="E2183" s="196">
        <v>44823</v>
      </c>
      <c r="F2183" s="195">
        <v>3701.2</v>
      </c>
      <c r="G2183" s="197">
        <f>Tabla110[[#This Row],[Importe]]-Tabla110[[#This Row],[Pagado]]</f>
        <v>0</v>
      </c>
      <c r="H2183" s="194" t="s">
        <v>10</v>
      </c>
    </row>
    <row r="2184" spans="1:8" x14ac:dyDescent="0.25">
      <c r="A2184" s="127">
        <v>44823</v>
      </c>
      <c r="B2184" s="128" t="s">
        <v>30278</v>
      </c>
      <c r="C2184" s="194" t="s">
        <v>6112</v>
      </c>
      <c r="D2184" s="195">
        <v>2871</v>
      </c>
      <c r="E2184" s="196">
        <v>44823</v>
      </c>
      <c r="F2184" s="195">
        <v>2871</v>
      </c>
      <c r="G2184" s="197">
        <f>Tabla110[[#This Row],[Importe]]-Tabla110[[#This Row],[Pagado]]</f>
        <v>0</v>
      </c>
      <c r="H2184" s="194" t="s">
        <v>10</v>
      </c>
    </row>
    <row r="2185" spans="1:8" x14ac:dyDescent="0.25">
      <c r="A2185" s="127">
        <v>44823</v>
      </c>
      <c r="B2185" s="128" t="s">
        <v>30279</v>
      </c>
      <c r="C2185" s="194" t="s">
        <v>149</v>
      </c>
      <c r="D2185" s="195">
        <v>486</v>
      </c>
      <c r="E2185" s="196">
        <v>44823</v>
      </c>
      <c r="F2185" s="195">
        <v>486</v>
      </c>
      <c r="G2185" s="197">
        <f>Tabla110[[#This Row],[Importe]]-Tabla110[[#This Row],[Pagado]]</f>
        <v>0</v>
      </c>
      <c r="H2185" s="194" t="s">
        <v>10</v>
      </c>
    </row>
    <row r="2186" spans="1:8" x14ac:dyDescent="0.25">
      <c r="A2186" s="127">
        <v>44823</v>
      </c>
      <c r="B2186" s="128" t="s">
        <v>30280</v>
      </c>
      <c r="C2186" s="194" t="s">
        <v>142</v>
      </c>
      <c r="D2186" s="195">
        <v>4317.6000000000004</v>
      </c>
      <c r="E2186" s="196">
        <v>44851</v>
      </c>
      <c r="F2186" s="195">
        <v>4317.6000000000004</v>
      </c>
      <c r="G2186" s="197">
        <f>Tabla110[[#This Row],[Importe]]-Tabla110[[#This Row],[Pagado]]</f>
        <v>0</v>
      </c>
      <c r="H2186" s="194" t="s">
        <v>10</v>
      </c>
    </row>
    <row r="2187" spans="1:8" x14ac:dyDescent="0.25">
      <c r="A2187" s="127">
        <v>44823</v>
      </c>
      <c r="B2187" s="128" t="s">
        <v>30281</v>
      </c>
      <c r="C2187" s="194" t="s">
        <v>9</v>
      </c>
      <c r="D2187" s="195">
        <v>5134.3999999999996</v>
      </c>
      <c r="E2187" s="196">
        <v>44823</v>
      </c>
      <c r="F2187" s="195">
        <v>5134.3999999999996</v>
      </c>
      <c r="G2187" s="197">
        <f>Tabla110[[#This Row],[Importe]]-Tabla110[[#This Row],[Pagado]]</f>
        <v>0</v>
      </c>
      <c r="H2187" s="194" t="s">
        <v>10</v>
      </c>
    </row>
    <row r="2188" spans="1:8" x14ac:dyDescent="0.25">
      <c r="A2188" s="127">
        <v>44823</v>
      </c>
      <c r="B2188" s="128" t="s">
        <v>30282</v>
      </c>
      <c r="C2188" s="194" t="s">
        <v>5345</v>
      </c>
      <c r="D2188" s="195">
        <v>813.2</v>
      </c>
      <c r="E2188" s="196">
        <v>44824</v>
      </c>
      <c r="F2188" s="195">
        <v>813.2</v>
      </c>
      <c r="G2188" s="197">
        <f>Tabla110[[#This Row],[Importe]]-Tabla110[[#This Row],[Pagado]]</f>
        <v>0</v>
      </c>
      <c r="H2188" s="194" t="s">
        <v>10</v>
      </c>
    </row>
    <row r="2189" spans="1:8" x14ac:dyDescent="0.25">
      <c r="A2189" s="127">
        <v>44823</v>
      </c>
      <c r="B2189" s="128" t="s">
        <v>30283</v>
      </c>
      <c r="C2189" s="194" t="s">
        <v>5345</v>
      </c>
      <c r="D2189" s="195">
        <v>1603.6</v>
      </c>
      <c r="E2189" s="196">
        <v>44824</v>
      </c>
      <c r="F2189" s="195">
        <v>1603.6</v>
      </c>
      <c r="G2189" s="197">
        <f>Tabla110[[#This Row],[Importe]]-Tabla110[[#This Row],[Pagado]]</f>
        <v>0</v>
      </c>
      <c r="H2189" s="194" t="s">
        <v>10</v>
      </c>
    </row>
    <row r="2190" spans="1:8" x14ac:dyDescent="0.25">
      <c r="A2190" s="127">
        <v>44823</v>
      </c>
      <c r="B2190" s="128" t="s">
        <v>30284</v>
      </c>
      <c r="C2190" s="194" t="s">
        <v>284</v>
      </c>
      <c r="D2190" s="195">
        <v>3967.2</v>
      </c>
      <c r="E2190" s="196">
        <v>44824</v>
      </c>
      <c r="F2190" s="195">
        <v>3967.2</v>
      </c>
      <c r="G2190" s="197">
        <f>Tabla110[[#This Row],[Importe]]-Tabla110[[#This Row],[Pagado]]</f>
        <v>0</v>
      </c>
      <c r="H2190" s="194" t="s">
        <v>10</v>
      </c>
    </row>
    <row r="2191" spans="1:8" x14ac:dyDescent="0.25">
      <c r="A2191" s="127">
        <v>44823</v>
      </c>
      <c r="B2191" s="128" t="s">
        <v>30285</v>
      </c>
      <c r="C2191" s="194" t="s">
        <v>284</v>
      </c>
      <c r="D2191" s="195">
        <v>218.3</v>
      </c>
      <c r="E2191" s="196">
        <v>44824</v>
      </c>
      <c r="F2191" s="195">
        <v>218.3</v>
      </c>
      <c r="G2191" s="197">
        <f>Tabla110[[#This Row],[Importe]]-Tabla110[[#This Row],[Pagado]]</f>
        <v>0</v>
      </c>
      <c r="H2191" s="194" t="s">
        <v>10</v>
      </c>
    </row>
    <row r="2192" spans="1:8" x14ac:dyDescent="0.25">
      <c r="A2192" s="127">
        <v>44823</v>
      </c>
      <c r="B2192" s="128" t="s">
        <v>30286</v>
      </c>
      <c r="C2192" s="194" t="s">
        <v>282</v>
      </c>
      <c r="D2192" s="195">
        <v>3680.2</v>
      </c>
      <c r="E2192" s="196">
        <v>44824</v>
      </c>
      <c r="F2192" s="195">
        <v>3680.2</v>
      </c>
      <c r="G2192" s="197">
        <f>Tabla110[[#This Row],[Importe]]-Tabla110[[#This Row],[Pagado]]</f>
        <v>0</v>
      </c>
      <c r="H2192" s="194" t="s">
        <v>10</v>
      </c>
    </row>
    <row r="2193" spans="1:8" x14ac:dyDescent="0.25">
      <c r="A2193" s="127">
        <v>44823</v>
      </c>
      <c r="B2193" s="128" t="s">
        <v>30287</v>
      </c>
      <c r="C2193" s="194" t="s">
        <v>10819</v>
      </c>
      <c r="D2193" s="195">
        <v>2401.6</v>
      </c>
      <c r="E2193" s="196">
        <v>44824</v>
      </c>
      <c r="F2193" s="195">
        <v>2401.6</v>
      </c>
      <c r="G2193" s="197">
        <f>Tabla110[[#This Row],[Importe]]-Tabla110[[#This Row],[Pagado]]</f>
        <v>0</v>
      </c>
      <c r="H2193" s="194" t="s">
        <v>10</v>
      </c>
    </row>
    <row r="2194" spans="1:8" x14ac:dyDescent="0.25">
      <c r="A2194" s="127">
        <v>44823</v>
      </c>
      <c r="B2194" s="128" t="s">
        <v>30288</v>
      </c>
      <c r="C2194" s="194" t="s">
        <v>7179</v>
      </c>
      <c r="D2194" s="195">
        <v>0</v>
      </c>
      <c r="E2194" s="199" t="s">
        <v>189</v>
      </c>
      <c r="F2194" s="195">
        <v>0</v>
      </c>
      <c r="G2194" s="197">
        <f>Tabla110[[#This Row],[Importe]]-Tabla110[[#This Row],[Pagado]]</f>
        <v>0</v>
      </c>
      <c r="H2194" s="200" t="s">
        <v>30289</v>
      </c>
    </row>
    <row r="2195" spans="1:8" x14ac:dyDescent="0.25">
      <c r="A2195" s="127">
        <v>44823</v>
      </c>
      <c r="B2195" s="128" t="s">
        <v>30290</v>
      </c>
      <c r="C2195" s="194" t="s">
        <v>214</v>
      </c>
      <c r="D2195" s="195">
        <v>4525</v>
      </c>
      <c r="E2195" s="196">
        <v>44824</v>
      </c>
      <c r="F2195" s="195">
        <v>4525</v>
      </c>
      <c r="G2195" s="197">
        <f>Tabla110[[#This Row],[Importe]]-Tabla110[[#This Row],[Pagado]]</f>
        <v>0</v>
      </c>
      <c r="H2195" s="194" t="s">
        <v>10</v>
      </c>
    </row>
    <row r="2196" spans="1:8" x14ac:dyDescent="0.25">
      <c r="A2196" s="127">
        <v>44823</v>
      </c>
      <c r="B2196" s="128" t="s">
        <v>30291</v>
      </c>
      <c r="C2196" s="194" t="s">
        <v>291</v>
      </c>
      <c r="D2196" s="195">
        <v>2499.1999999999998</v>
      </c>
      <c r="E2196" s="196">
        <v>44824</v>
      </c>
      <c r="F2196" s="195">
        <v>2499.1999999999998</v>
      </c>
      <c r="G2196" s="197">
        <f>Tabla110[[#This Row],[Importe]]-Tabla110[[#This Row],[Pagado]]</f>
        <v>0</v>
      </c>
      <c r="H2196" s="194" t="s">
        <v>10</v>
      </c>
    </row>
    <row r="2197" spans="1:8" x14ac:dyDescent="0.25">
      <c r="A2197" s="127">
        <v>44823</v>
      </c>
      <c r="B2197" s="128" t="s">
        <v>30292</v>
      </c>
      <c r="C2197" s="194" t="s">
        <v>69</v>
      </c>
      <c r="D2197" s="195">
        <v>1246.4000000000001</v>
      </c>
      <c r="E2197" s="196">
        <v>44823</v>
      </c>
      <c r="F2197" s="195">
        <v>1246.4000000000001</v>
      </c>
      <c r="G2197" s="197">
        <f>Tabla110[[#This Row],[Importe]]-Tabla110[[#This Row],[Pagado]]</f>
        <v>0</v>
      </c>
      <c r="H2197" s="194" t="s">
        <v>10</v>
      </c>
    </row>
    <row r="2198" spans="1:8" x14ac:dyDescent="0.25">
      <c r="A2198" s="127">
        <v>44823</v>
      </c>
      <c r="B2198" s="128" t="s">
        <v>30293</v>
      </c>
      <c r="C2198" s="194" t="s">
        <v>2020</v>
      </c>
      <c r="D2198" s="195">
        <v>19000</v>
      </c>
      <c r="E2198" s="196">
        <v>44823</v>
      </c>
      <c r="F2198" s="195">
        <v>19000</v>
      </c>
      <c r="G2198" s="197">
        <f>Tabla110[[#This Row],[Importe]]-Tabla110[[#This Row],[Pagado]]</f>
        <v>0</v>
      </c>
      <c r="H2198" s="194" t="s">
        <v>10</v>
      </c>
    </row>
    <row r="2199" spans="1:8" x14ac:dyDescent="0.25">
      <c r="A2199" s="127">
        <v>44823</v>
      </c>
      <c r="B2199" s="128" t="s">
        <v>30294</v>
      </c>
      <c r="C2199" s="194" t="s">
        <v>1008</v>
      </c>
      <c r="D2199" s="195">
        <v>1260</v>
      </c>
      <c r="E2199" s="196">
        <v>44823</v>
      </c>
      <c r="F2199" s="195">
        <v>1260</v>
      </c>
      <c r="G2199" s="197">
        <f>Tabla110[[#This Row],[Importe]]-Tabla110[[#This Row],[Pagado]]</f>
        <v>0</v>
      </c>
      <c r="H2199" s="194" t="s">
        <v>10</v>
      </c>
    </row>
    <row r="2200" spans="1:8" x14ac:dyDescent="0.25">
      <c r="A2200" s="127">
        <v>44823</v>
      </c>
      <c r="B2200" s="128" t="s">
        <v>30295</v>
      </c>
      <c r="C2200" s="194" t="s">
        <v>28087</v>
      </c>
      <c r="D2200" s="195">
        <v>20064.02</v>
      </c>
      <c r="E2200" s="196">
        <v>44824</v>
      </c>
      <c r="F2200" s="195">
        <v>20064.02</v>
      </c>
      <c r="G2200" s="197">
        <f>Tabla110[[#This Row],[Importe]]-Tabla110[[#This Row],[Pagado]]</f>
        <v>0</v>
      </c>
      <c r="H2200" s="194" t="s">
        <v>10</v>
      </c>
    </row>
    <row r="2201" spans="1:8" x14ac:dyDescent="0.25">
      <c r="A2201" s="127">
        <v>44823</v>
      </c>
      <c r="B2201" s="128" t="s">
        <v>30296</v>
      </c>
      <c r="C2201" s="194" t="s">
        <v>14375</v>
      </c>
      <c r="D2201" s="195">
        <v>0</v>
      </c>
      <c r="E2201" s="199" t="s">
        <v>189</v>
      </c>
      <c r="F2201" s="195">
        <v>0</v>
      </c>
      <c r="G2201" s="197">
        <f>Tabla110[[#This Row],[Importe]]-Tabla110[[#This Row],[Pagado]]</f>
        <v>0</v>
      </c>
      <c r="H2201" s="194" t="s">
        <v>189</v>
      </c>
    </row>
    <row r="2202" spans="1:8" x14ac:dyDescent="0.25">
      <c r="A2202" s="127">
        <v>44823</v>
      </c>
      <c r="B2202" s="128" t="s">
        <v>30297</v>
      </c>
      <c r="C2202" s="194" t="s">
        <v>31</v>
      </c>
      <c r="D2202" s="195">
        <v>10488</v>
      </c>
      <c r="E2202" s="196">
        <v>44823</v>
      </c>
      <c r="F2202" s="195">
        <v>10488</v>
      </c>
      <c r="G2202" s="197">
        <f>Tabla110[[#This Row],[Importe]]-Tabla110[[#This Row],[Pagado]]</f>
        <v>0</v>
      </c>
      <c r="H2202" s="194" t="s">
        <v>10</v>
      </c>
    </row>
    <row r="2203" spans="1:8" x14ac:dyDescent="0.25">
      <c r="A2203" s="127">
        <v>44823</v>
      </c>
      <c r="B2203" s="128" t="s">
        <v>30298</v>
      </c>
      <c r="C2203" s="194" t="s">
        <v>31</v>
      </c>
      <c r="D2203" s="195">
        <v>3661</v>
      </c>
      <c r="E2203" s="196">
        <v>44823</v>
      </c>
      <c r="F2203" s="195">
        <v>3661</v>
      </c>
      <c r="G2203" s="197">
        <f>Tabla110[[#This Row],[Importe]]-Tabla110[[#This Row],[Pagado]]</f>
        <v>0</v>
      </c>
      <c r="H2203" s="194" t="s">
        <v>10</v>
      </c>
    </row>
    <row r="2204" spans="1:8" x14ac:dyDescent="0.25">
      <c r="A2204" s="127">
        <v>44823</v>
      </c>
      <c r="B2204" s="128" t="s">
        <v>30299</v>
      </c>
      <c r="C2204" s="194" t="s">
        <v>53</v>
      </c>
      <c r="D2204" s="195">
        <v>1973.4</v>
      </c>
      <c r="E2204" s="196">
        <v>44823</v>
      </c>
      <c r="F2204" s="195">
        <v>1973.4</v>
      </c>
      <c r="G2204" s="197">
        <f>Tabla110[[#This Row],[Importe]]-Tabla110[[#This Row],[Pagado]]</f>
        <v>0</v>
      </c>
      <c r="H2204" s="194" t="s">
        <v>10</v>
      </c>
    </row>
    <row r="2205" spans="1:8" x14ac:dyDescent="0.25">
      <c r="A2205" s="127">
        <v>44823</v>
      </c>
      <c r="B2205" s="128" t="s">
        <v>30300</v>
      </c>
      <c r="C2205" s="194" t="s">
        <v>450</v>
      </c>
      <c r="D2205" s="195">
        <v>7642.2</v>
      </c>
      <c r="E2205" s="196">
        <v>44823</v>
      </c>
      <c r="F2205" s="195">
        <v>7642.2</v>
      </c>
      <c r="G2205" s="197">
        <f>Tabla110[[#This Row],[Importe]]-Tabla110[[#This Row],[Pagado]]</f>
        <v>0</v>
      </c>
      <c r="H2205" s="194" t="s">
        <v>10</v>
      </c>
    </row>
    <row r="2206" spans="1:8" x14ac:dyDescent="0.25">
      <c r="A2206" s="127">
        <v>44823</v>
      </c>
      <c r="B2206" s="128" t="s">
        <v>30301</v>
      </c>
      <c r="C2206" s="194" t="s">
        <v>365</v>
      </c>
      <c r="D2206" s="195">
        <v>1094.8</v>
      </c>
      <c r="E2206" s="196">
        <v>44823</v>
      </c>
      <c r="F2206" s="195">
        <v>1094.8</v>
      </c>
      <c r="G2206" s="197">
        <f>Tabla110[[#This Row],[Importe]]-Tabla110[[#This Row],[Pagado]]</f>
        <v>0</v>
      </c>
      <c r="H2206" s="194" t="s">
        <v>10</v>
      </c>
    </row>
    <row r="2207" spans="1:8" x14ac:dyDescent="0.25">
      <c r="A2207" s="127">
        <v>44823</v>
      </c>
      <c r="B2207" s="128" t="s">
        <v>30302</v>
      </c>
      <c r="C2207" s="194" t="s">
        <v>10678</v>
      </c>
      <c r="D2207" s="195">
        <v>2618.4</v>
      </c>
      <c r="E2207" s="196">
        <v>44823</v>
      </c>
      <c r="F2207" s="195">
        <v>2618.4</v>
      </c>
      <c r="G2207" s="197">
        <f>Tabla110[[#This Row],[Importe]]-Tabla110[[#This Row],[Pagado]]</f>
        <v>0</v>
      </c>
      <c r="H2207" s="194" t="s">
        <v>10</v>
      </c>
    </row>
    <row r="2208" spans="1:8" x14ac:dyDescent="0.25">
      <c r="A2208" s="127">
        <v>44823</v>
      </c>
      <c r="B2208" s="128" t="s">
        <v>30303</v>
      </c>
      <c r="C2208" s="194" t="s">
        <v>53</v>
      </c>
      <c r="D2208" s="195">
        <v>2800.2</v>
      </c>
      <c r="E2208" s="196">
        <v>44823</v>
      </c>
      <c r="F2208" s="195">
        <v>2800.2</v>
      </c>
      <c r="G2208" s="197">
        <f>Tabla110[[#This Row],[Importe]]-Tabla110[[#This Row],[Pagado]]</f>
        <v>0</v>
      </c>
      <c r="H2208" s="194" t="s">
        <v>10</v>
      </c>
    </row>
    <row r="2209" spans="1:8" ht="31.5" x14ac:dyDescent="0.25">
      <c r="A2209" s="127">
        <v>44823</v>
      </c>
      <c r="B2209" s="128" t="s">
        <v>30304</v>
      </c>
      <c r="C2209" s="194" t="s">
        <v>10840</v>
      </c>
      <c r="D2209" s="195">
        <v>49944</v>
      </c>
      <c r="E2209" s="198" t="s">
        <v>30305</v>
      </c>
      <c r="F2209" s="195">
        <f>38000+11944</f>
        <v>49944</v>
      </c>
      <c r="G2209" s="197">
        <f>Tabla110[[#This Row],[Importe]]-Tabla110[[#This Row],[Pagado]]</f>
        <v>0</v>
      </c>
      <c r="H2209" s="194" t="s">
        <v>10</v>
      </c>
    </row>
    <row r="2210" spans="1:8" x14ac:dyDescent="0.25">
      <c r="A2210" s="127">
        <v>44823</v>
      </c>
      <c r="B2210" s="128" t="s">
        <v>30306</v>
      </c>
      <c r="C2210" s="194" t="s">
        <v>440</v>
      </c>
      <c r="D2210" s="195">
        <v>11647</v>
      </c>
      <c r="E2210" s="196">
        <v>44834</v>
      </c>
      <c r="F2210" s="195">
        <v>11647</v>
      </c>
      <c r="G2210" s="197">
        <f>Tabla110[[#This Row],[Importe]]-Tabla110[[#This Row],[Pagado]]</f>
        <v>0</v>
      </c>
      <c r="H2210" s="194" t="s">
        <v>10</v>
      </c>
    </row>
    <row r="2211" spans="1:8" x14ac:dyDescent="0.25">
      <c r="A2211" s="127">
        <v>44824</v>
      </c>
      <c r="B2211" s="128" t="s">
        <v>30307</v>
      </c>
      <c r="C2211" s="194" t="s">
        <v>75</v>
      </c>
      <c r="D2211" s="195">
        <v>6604.4</v>
      </c>
      <c r="E2211" s="196">
        <v>44824</v>
      </c>
      <c r="F2211" s="195">
        <v>6604.4</v>
      </c>
      <c r="G2211" s="197">
        <f>Tabla110[[#This Row],[Importe]]-Tabla110[[#This Row],[Pagado]]</f>
        <v>0</v>
      </c>
      <c r="H2211" s="194" t="s">
        <v>10</v>
      </c>
    </row>
    <row r="2212" spans="1:8" x14ac:dyDescent="0.25">
      <c r="A2212" s="127">
        <v>44824</v>
      </c>
      <c r="B2212" s="128" t="s">
        <v>30308</v>
      </c>
      <c r="C2212" s="194" t="s">
        <v>887</v>
      </c>
      <c r="D2212" s="195">
        <v>15615.6</v>
      </c>
      <c r="E2212" s="196">
        <v>44824</v>
      </c>
      <c r="F2212" s="195">
        <v>15615.6</v>
      </c>
      <c r="G2212" s="197">
        <f>Tabla110[[#This Row],[Importe]]-Tabla110[[#This Row],[Pagado]]</f>
        <v>0</v>
      </c>
      <c r="H2212" s="194" t="s">
        <v>10</v>
      </c>
    </row>
    <row r="2213" spans="1:8" x14ac:dyDescent="0.25">
      <c r="A2213" s="127">
        <v>44824</v>
      </c>
      <c r="B2213" s="128" t="s">
        <v>30309</v>
      </c>
      <c r="C2213" s="194" t="s">
        <v>12</v>
      </c>
      <c r="D2213" s="195">
        <v>18329.349999999999</v>
      </c>
      <c r="E2213" s="196">
        <v>44825</v>
      </c>
      <c r="F2213" s="195">
        <v>18329.349999999999</v>
      </c>
      <c r="G2213" s="197">
        <f>Tabla110[[#This Row],[Importe]]-Tabla110[[#This Row],[Pagado]]</f>
        <v>0</v>
      </c>
      <c r="H2213" s="194" t="s">
        <v>10</v>
      </c>
    </row>
    <row r="2214" spans="1:8" x14ac:dyDescent="0.25">
      <c r="A2214" s="127">
        <v>44824</v>
      </c>
      <c r="B2214" s="128" t="s">
        <v>30310</v>
      </c>
      <c r="C2214" s="194" t="s">
        <v>151</v>
      </c>
      <c r="D2214" s="195">
        <v>18480</v>
      </c>
      <c r="E2214" s="196">
        <v>44824</v>
      </c>
      <c r="F2214" s="195">
        <v>18480</v>
      </c>
      <c r="G2214" s="197">
        <f>Tabla110[[#This Row],[Importe]]-Tabla110[[#This Row],[Pagado]]</f>
        <v>0</v>
      </c>
      <c r="H2214" s="194" t="s">
        <v>10</v>
      </c>
    </row>
    <row r="2215" spans="1:8" x14ac:dyDescent="0.25">
      <c r="A2215" s="127">
        <v>44824</v>
      </c>
      <c r="B2215" s="128" t="s">
        <v>30311</v>
      </c>
      <c r="C2215" s="194" t="s">
        <v>345</v>
      </c>
      <c r="D2215" s="195">
        <v>352</v>
      </c>
      <c r="E2215" s="196">
        <v>44824</v>
      </c>
      <c r="F2215" s="195">
        <v>352</v>
      </c>
      <c r="G2215" s="197">
        <f>Tabla110[[#This Row],[Importe]]-Tabla110[[#This Row],[Pagado]]</f>
        <v>0</v>
      </c>
      <c r="H2215" s="194" t="s">
        <v>10</v>
      </c>
    </row>
    <row r="2216" spans="1:8" x14ac:dyDescent="0.25">
      <c r="A2216" s="127">
        <v>44824</v>
      </c>
      <c r="B2216" s="128" t="s">
        <v>30312</v>
      </c>
      <c r="C2216" s="194" t="s">
        <v>31</v>
      </c>
      <c r="D2216" s="195">
        <v>2484</v>
      </c>
      <c r="E2216" s="196">
        <v>44826</v>
      </c>
      <c r="F2216" s="195">
        <v>2484</v>
      </c>
      <c r="G2216" s="197">
        <f>Tabla110[[#This Row],[Importe]]-Tabla110[[#This Row],[Pagado]]</f>
        <v>0</v>
      </c>
      <c r="H2216" s="194" t="s">
        <v>10</v>
      </c>
    </row>
    <row r="2217" spans="1:8" x14ac:dyDescent="0.25">
      <c r="A2217" s="127">
        <v>44824</v>
      </c>
      <c r="B2217" s="128" t="s">
        <v>30313</v>
      </c>
      <c r="C2217" s="194" t="s">
        <v>22</v>
      </c>
      <c r="D2217" s="195">
        <v>59469</v>
      </c>
      <c r="E2217" s="196">
        <v>44825</v>
      </c>
      <c r="F2217" s="195">
        <v>59469</v>
      </c>
      <c r="G2217" s="197">
        <f>Tabla110[[#This Row],[Importe]]-Tabla110[[#This Row],[Pagado]]</f>
        <v>0</v>
      </c>
      <c r="H2217" s="194" t="s">
        <v>10</v>
      </c>
    </row>
    <row r="2218" spans="1:8" x14ac:dyDescent="0.25">
      <c r="A2218" s="127">
        <v>44824</v>
      </c>
      <c r="B2218" s="128" t="s">
        <v>30314</v>
      </c>
      <c r="C2218" s="194" t="s">
        <v>31</v>
      </c>
      <c r="D2218" s="195">
        <v>5129.1000000000004</v>
      </c>
      <c r="E2218" s="196">
        <v>44824</v>
      </c>
      <c r="F2218" s="195">
        <v>5129.1000000000004</v>
      </c>
      <c r="G2218" s="197">
        <f>Tabla110[[#This Row],[Importe]]-Tabla110[[#This Row],[Pagado]]</f>
        <v>0</v>
      </c>
      <c r="H2218" s="194" t="s">
        <v>10</v>
      </c>
    </row>
    <row r="2219" spans="1:8" x14ac:dyDescent="0.25">
      <c r="A2219" s="127">
        <v>44824</v>
      </c>
      <c r="B2219" s="128" t="s">
        <v>30315</v>
      </c>
      <c r="C2219" s="194" t="s">
        <v>105</v>
      </c>
      <c r="D2219" s="195">
        <v>5232.5</v>
      </c>
      <c r="E2219" s="196">
        <v>44824</v>
      </c>
      <c r="F2219" s="195">
        <v>5232.5</v>
      </c>
      <c r="G2219" s="197">
        <f>Tabla110[[#This Row],[Importe]]-Tabla110[[#This Row],[Pagado]]</f>
        <v>0</v>
      </c>
      <c r="H2219" s="194" t="s">
        <v>10</v>
      </c>
    </row>
    <row r="2220" spans="1:8" x14ac:dyDescent="0.25">
      <c r="A2220" s="127">
        <v>44824</v>
      </c>
      <c r="B2220" s="128" t="s">
        <v>30316</v>
      </c>
      <c r="C2220" s="194" t="s">
        <v>31</v>
      </c>
      <c r="D2220" s="195">
        <v>5950.5</v>
      </c>
      <c r="E2220" s="196">
        <v>44824</v>
      </c>
      <c r="F2220" s="195">
        <v>5950.5</v>
      </c>
      <c r="G2220" s="197">
        <f>Tabla110[[#This Row],[Importe]]-Tabla110[[#This Row],[Pagado]]</f>
        <v>0</v>
      </c>
      <c r="H2220" s="194" t="s">
        <v>10</v>
      </c>
    </row>
    <row r="2221" spans="1:8" ht="31.5" x14ac:dyDescent="0.25">
      <c r="A2221" s="127">
        <v>44824</v>
      </c>
      <c r="B2221" s="128" t="s">
        <v>30317</v>
      </c>
      <c r="C2221" s="194" t="s">
        <v>93</v>
      </c>
      <c r="D2221" s="195">
        <v>11670.2</v>
      </c>
      <c r="E2221" s="198" t="s">
        <v>30318</v>
      </c>
      <c r="F2221" s="195">
        <f>1400+10270.2</f>
        <v>11670.2</v>
      </c>
      <c r="G2221" s="197">
        <f>Tabla110[[#This Row],[Importe]]-Tabla110[[#This Row],[Pagado]]</f>
        <v>0</v>
      </c>
      <c r="H2221" s="194" t="s">
        <v>10</v>
      </c>
    </row>
    <row r="2222" spans="1:8" x14ac:dyDescent="0.25">
      <c r="A2222" s="127">
        <v>44824</v>
      </c>
      <c r="B2222" s="128" t="s">
        <v>30319</v>
      </c>
      <c r="C2222" s="194" t="s">
        <v>111</v>
      </c>
      <c r="D2222" s="195">
        <v>5135</v>
      </c>
      <c r="E2222" s="196">
        <v>44825</v>
      </c>
      <c r="F2222" s="195">
        <v>5135</v>
      </c>
      <c r="G2222" s="197">
        <f>Tabla110[[#This Row],[Importe]]-Tabla110[[#This Row],[Pagado]]</f>
        <v>0</v>
      </c>
      <c r="H2222" s="194" t="s">
        <v>10</v>
      </c>
    </row>
    <row r="2223" spans="1:8" x14ac:dyDescent="0.25">
      <c r="A2223" s="127">
        <v>44824</v>
      </c>
      <c r="B2223" s="128" t="s">
        <v>30320</v>
      </c>
      <c r="C2223" s="194" t="s">
        <v>83</v>
      </c>
      <c r="D2223" s="195">
        <v>12704</v>
      </c>
      <c r="E2223" s="196">
        <v>44824</v>
      </c>
      <c r="F2223" s="195">
        <v>12704</v>
      </c>
      <c r="G2223" s="197">
        <f>Tabla110[[#This Row],[Importe]]-Tabla110[[#This Row],[Pagado]]</f>
        <v>0</v>
      </c>
      <c r="H2223" s="194" t="s">
        <v>10</v>
      </c>
    </row>
    <row r="2224" spans="1:8" x14ac:dyDescent="0.25">
      <c r="A2224" s="127">
        <v>44824</v>
      </c>
      <c r="B2224" s="128" t="s">
        <v>30321</v>
      </c>
      <c r="C2224" s="194" t="s">
        <v>140</v>
      </c>
      <c r="D2224" s="195">
        <v>1411.8</v>
      </c>
      <c r="E2224" s="196">
        <v>44824</v>
      </c>
      <c r="F2224" s="195">
        <v>1411.8</v>
      </c>
      <c r="G2224" s="197">
        <f>Tabla110[[#This Row],[Importe]]-Tabla110[[#This Row],[Pagado]]</f>
        <v>0</v>
      </c>
      <c r="H2224" s="194" t="s">
        <v>10</v>
      </c>
    </row>
    <row r="2225" spans="1:8" x14ac:dyDescent="0.25">
      <c r="A2225" s="127">
        <v>44824</v>
      </c>
      <c r="B2225" s="128" t="s">
        <v>30322</v>
      </c>
      <c r="C2225" s="194" t="s">
        <v>129</v>
      </c>
      <c r="D2225" s="195">
        <v>1505.4</v>
      </c>
      <c r="E2225" s="196">
        <v>44824</v>
      </c>
      <c r="F2225" s="195">
        <v>1505.4</v>
      </c>
      <c r="G2225" s="197">
        <f>Tabla110[[#This Row],[Importe]]-Tabla110[[#This Row],[Pagado]]</f>
        <v>0</v>
      </c>
      <c r="H2225" s="194" t="s">
        <v>10</v>
      </c>
    </row>
    <row r="2226" spans="1:8" x14ac:dyDescent="0.25">
      <c r="A2226" s="127">
        <v>44824</v>
      </c>
      <c r="B2226" s="128" t="s">
        <v>30323</v>
      </c>
      <c r="C2226" s="194" t="s">
        <v>9415</v>
      </c>
      <c r="D2226" s="195">
        <v>27752.400000000001</v>
      </c>
      <c r="E2226" s="196">
        <v>44825</v>
      </c>
      <c r="F2226" s="195">
        <v>27752.400000000001</v>
      </c>
      <c r="G2226" s="197">
        <f>Tabla110[[#This Row],[Importe]]-Tabla110[[#This Row],[Pagado]]</f>
        <v>0</v>
      </c>
      <c r="H2226" s="194" t="s">
        <v>10</v>
      </c>
    </row>
    <row r="2227" spans="1:8" x14ac:dyDescent="0.25">
      <c r="A2227" s="127">
        <v>44824</v>
      </c>
      <c r="B2227" s="128" t="s">
        <v>30324</v>
      </c>
      <c r="C2227" s="194" t="s">
        <v>357</v>
      </c>
      <c r="D2227" s="195">
        <v>4168.5</v>
      </c>
      <c r="E2227" s="196">
        <v>44824</v>
      </c>
      <c r="F2227" s="195">
        <v>4168.5</v>
      </c>
      <c r="G2227" s="197">
        <f>Tabla110[[#This Row],[Importe]]-Tabla110[[#This Row],[Pagado]]</f>
        <v>0</v>
      </c>
      <c r="H2227" s="194" t="s">
        <v>10</v>
      </c>
    </row>
    <row r="2228" spans="1:8" x14ac:dyDescent="0.25">
      <c r="A2228" s="127">
        <v>44824</v>
      </c>
      <c r="B2228" s="128" t="s">
        <v>30325</v>
      </c>
      <c r="C2228" s="194" t="s">
        <v>127</v>
      </c>
      <c r="D2228" s="195">
        <v>4813.5</v>
      </c>
      <c r="E2228" s="196">
        <v>44824</v>
      </c>
      <c r="F2228" s="195">
        <v>4813.5</v>
      </c>
      <c r="G2228" s="197">
        <f>Tabla110[[#This Row],[Importe]]-Tabla110[[#This Row],[Pagado]]</f>
        <v>0</v>
      </c>
      <c r="H2228" s="194" t="s">
        <v>10</v>
      </c>
    </row>
    <row r="2229" spans="1:8" x14ac:dyDescent="0.25">
      <c r="A2229" s="127">
        <v>44824</v>
      </c>
      <c r="B2229" s="128" t="s">
        <v>30326</v>
      </c>
      <c r="C2229" s="194" t="s">
        <v>24768</v>
      </c>
      <c r="D2229" s="195">
        <v>5046</v>
      </c>
      <c r="E2229" s="196">
        <v>44824</v>
      </c>
      <c r="F2229" s="195">
        <v>5046</v>
      </c>
      <c r="G2229" s="197">
        <f>Tabla110[[#This Row],[Importe]]-Tabla110[[#This Row],[Pagado]]</f>
        <v>0</v>
      </c>
      <c r="H2229" s="194" t="s">
        <v>10</v>
      </c>
    </row>
    <row r="2230" spans="1:8" x14ac:dyDescent="0.25">
      <c r="A2230" s="127">
        <v>44824</v>
      </c>
      <c r="B2230" s="128" t="s">
        <v>30327</v>
      </c>
      <c r="C2230" s="194" t="s">
        <v>9</v>
      </c>
      <c r="D2230" s="195">
        <v>9812.6</v>
      </c>
      <c r="E2230" s="196">
        <v>44824</v>
      </c>
      <c r="F2230" s="195">
        <v>9812.6</v>
      </c>
      <c r="G2230" s="197">
        <f>Tabla110[[#This Row],[Importe]]-Tabla110[[#This Row],[Pagado]]</f>
        <v>0</v>
      </c>
      <c r="H2230" s="194" t="s">
        <v>10</v>
      </c>
    </row>
    <row r="2231" spans="1:8" x14ac:dyDescent="0.25">
      <c r="A2231" s="127">
        <v>44824</v>
      </c>
      <c r="B2231" s="128" t="s">
        <v>30328</v>
      </c>
      <c r="C2231" s="194" t="s">
        <v>2151</v>
      </c>
      <c r="D2231" s="195">
        <v>9458.2999999999993</v>
      </c>
      <c r="E2231" s="196">
        <v>44824</v>
      </c>
      <c r="F2231" s="195">
        <v>9458.2999999999993</v>
      </c>
      <c r="G2231" s="197">
        <f>Tabla110[[#This Row],[Importe]]-Tabla110[[#This Row],[Pagado]]</f>
        <v>0</v>
      </c>
      <c r="H2231" s="194" t="s">
        <v>10</v>
      </c>
    </row>
    <row r="2232" spans="1:8" x14ac:dyDescent="0.25">
      <c r="A2232" s="127">
        <v>44824</v>
      </c>
      <c r="B2232" s="128" t="s">
        <v>30329</v>
      </c>
      <c r="C2232" s="194" t="s">
        <v>97</v>
      </c>
      <c r="D2232" s="195">
        <v>7103.2</v>
      </c>
      <c r="E2232" s="196">
        <v>44825</v>
      </c>
      <c r="F2232" s="195">
        <v>7103.2</v>
      </c>
      <c r="G2232" s="197">
        <f>Tabla110[[#This Row],[Importe]]-Tabla110[[#This Row],[Pagado]]</f>
        <v>0</v>
      </c>
      <c r="H2232" s="194" t="s">
        <v>10</v>
      </c>
    </row>
    <row r="2233" spans="1:8" x14ac:dyDescent="0.25">
      <c r="A2233" s="127">
        <v>44824</v>
      </c>
      <c r="B2233" s="128" t="s">
        <v>30330</v>
      </c>
      <c r="C2233" s="194" t="s">
        <v>114</v>
      </c>
      <c r="D2233" s="195">
        <v>11888.5</v>
      </c>
      <c r="E2233" s="196">
        <v>44827</v>
      </c>
      <c r="F2233" s="195">
        <v>11888.5</v>
      </c>
      <c r="G2233" s="197">
        <f>Tabla110[[#This Row],[Importe]]-Tabla110[[#This Row],[Pagado]]</f>
        <v>0</v>
      </c>
      <c r="H2233" s="194" t="s">
        <v>10</v>
      </c>
    </row>
    <row r="2234" spans="1:8" ht="31.5" x14ac:dyDescent="0.25">
      <c r="A2234" s="127">
        <v>44824</v>
      </c>
      <c r="B2234" s="128" t="s">
        <v>30331</v>
      </c>
      <c r="C2234" s="194" t="s">
        <v>64</v>
      </c>
      <c r="D2234" s="195">
        <v>5762</v>
      </c>
      <c r="E2234" s="198" t="s">
        <v>30221</v>
      </c>
      <c r="F2234" s="195">
        <f>5676+86</f>
        <v>5762</v>
      </c>
      <c r="G2234" s="197">
        <f>Tabla110[[#This Row],[Importe]]-Tabla110[[#This Row],[Pagado]]</f>
        <v>0</v>
      </c>
      <c r="H2234" s="194" t="s">
        <v>10</v>
      </c>
    </row>
    <row r="2235" spans="1:8" ht="31.5" x14ac:dyDescent="0.25">
      <c r="A2235" s="127">
        <v>44824</v>
      </c>
      <c r="B2235" s="128" t="s">
        <v>30332</v>
      </c>
      <c r="C2235" s="194" t="s">
        <v>39</v>
      </c>
      <c r="D2235" s="195">
        <v>13349.9</v>
      </c>
      <c r="E2235" s="198" t="s">
        <v>30221</v>
      </c>
      <c r="F2235" s="195">
        <f>4000+9349.9</f>
        <v>13349.9</v>
      </c>
      <c r="G2235" s="197">
        <f>Tabla110[[#This Row],[Importe]]-Tabla110[[#This Row],[Pagado]]</f>
        <v>0</v>
      </c>
      <c r="H2235" s="194" t="s">
        <v>10</v>
      </c>
    </row>
    <row r="2236" spans="1:8" x14ac:dyDescent="0.25">
      <c r="A2236" s="127">
        <v>44824</v>
      </c>
      <c r="B2236" s="128" t="s">
        <v>30333</v>
      </c>
      <c r="C2236" s="194" t="s">
        <v>466</v>
      </c>
      <c r="D2236" s="195">
        <v>6000</v>
      </c>
      <c r="E2236" s="196">
        <v>44824</v>
      </c>
      <c r="F2236" s="195">
        <v>6000</v>
      </c>
      <c r="G2236" s="197">
        <f>Tabla110[[#This Row],[Importe]]-Tabla110[[#This Row],[Pagado]]</f>
        <v>0</v>
      </c>
      <c r="H2236" s="194" t="s">
        <v>10</v>
      </c>
    </row>
    <row r="2237" spans="1:8" x14ac:dyDescent="0.25">
      <c r="A2237" s="127">
        <v>44824</v>
      </c>
      <c r="B2237" s="128" t="s">
        <v>30334</v>
      </c>
      <c r="C2237" s="194" t="s">
        <v>53</v>
      </c>
      <c r="D2237" s="195">
        <v>3314.4</v>
      </c>
      <c r="E2237" s="196">
        <v>44824</v>
      </c>
      <c r="F2237" s="195">
        <v>3314.4</v>
      </c>
      <c r="G2237" s="197">
        <f>Tabla110[[#This Row],[Importe]]-Tabla110[[#This Row],[Pagado]]</f>
        <v>0</v>
      </c>
      <c r="H2237" s="194" t="s">
        <v>10</v>
      </c>
    </row>
    <row r="2238" spans="1:8" x14ac:dyDescent="0.25">
      <c r="A2238" s="127">
        <v>44824</v>
      </c>
      <c r="B2238" s="128" t="s">
        <v>30335</v>
      </c>
      <c r="C2238" s="194" t="s">
        <v>16</v>
      </c>
      <c r="D2238" s="195">
        <v>5633.9</v>
      </c>
      <c r="E2238" s="196">
        <v>44824</v>
      </c>
      <c r="F2238" s="195">
        <v>5633.9</v>
      </c>
      <c r="G2238" s="197">
        <f>Tabla110[[#This Row],[Importe]]-Tabla110[[#This Row],[Pagado]]</f>
        <v>0</v>
      </c>
      <c r="H2238" s="194" t="s">
        <v>10</v>
      </c>
    </row>
    <row r="2239" spans="1:8" x14ac:dyDescent="0.25">
      <c r="A2239" s="127">
        <v>44824</v>
      </c>
      <c r="B2239" s="128" t="s">
        <v>30336</v>
      </c>
      <c r="C2239" s="194" t="s">
        <v>314</v>
      </c>
      <c r="D2239" s="195">
        <v>3032.4</v>
      </c>
      <c r="E2239" s="196">
        <v>44824</v>
      </c>
      <c r="F2239" s="195">
        <v>3032.4</v>
      </c>
      <c r="G2239" s="197">
        <f>Tabla110[[#This Row],[Importe]]-Tabla110[[#This Row],[Pagado]]</f>
        <v>0</v>
      </c>
      <c r="H2239" s="194" t="s">
        <v>10</v>
      </c>
    </row>
    <row r="2240" spans="1:8" x14ac:dyDescent="0.25">
      <c r="A2240" s="127">
        <v>44824</v>
      </c>
      <c r="B2240" s="128" t="s">
        <v>30337</v>
      </c>
      <c r="C2240" s="194" t="s">
        <v>87</v>
      </c>
      <c r="D2240" s="195">
        <v>2134</v>
      </c>
      <c r="E2240" s="196">
        <v>44824</v>
      </c>
      <c r="F2240" s="195">
        <v>2134</v>
      </c>
      <c r="G2240" s="197">
        <f>Tabla110[[#This Row],[Importe]]-Tabla110[[#This Row],[Pagado]]</f>
        <v>0</v>
      </c>
      <c r="H2240" s="194" t="s">
        <v>10</v>
      </c>
    </row>
    <row r="2241" spans="1:8" x14ac:dyDescent="0.25">
      <c r="A2241" s="127">
        <v>44824</v>
      </c>
      <c r="B2241" s="128" t="s">
        <v>30338</v>
      </c>
      <c r="C2241" s="194" t="s">
        <v>924</v>
      </c>
      <c r="D2241" s="195">
        <v>18676</v>
      </c>
      <c r="E2241" s="196">
        <v>44824</v>
      </c>
      <c r="F2241" s="195">
        <v>18676</v>
      </c>
      <c r="G2241" s="197">
        <f>Tabla110[[#This Row],[Importe]]-Tabla110[[#This Row],[Pagado]]</f>
        <v>0</v>
      </c>
      <c r="H2241" s="194" t="s">
        <v>10</v>
      </c>
    </row>
    <row r="2242" spans="1:8" x14ac:dyDescent="0.25">
      <c r="A2242" s="127">
        <v>44824</v>
      </c>
      <c r="B2242" s="128" t="s">
        <v>30339</v>
      </c>
      <c r="C2242" s="194" t="s">
        <v>45</v>
      </c>
      <c r="D2242" s="195">
        <v>9712.5</v>
      </c>
      <c r="E2242" s="196">
        <v>44824</v>
      </c>
      <c r="F2242" s="195">
        <v>9712.5</v>
      </c>
      <c r="G2242" s="197">
        <f>Tabla110[[#This Row],[Importe]]-Tabla110[[#This Row],[Pagado]]</f>
        <v>0</v>
      </c>
      <c r="H2242" s="194" t="s">
        <v>10</v>
      </c>
    </row>
    <row r="2243" spans="1:8" x14ac:dyDescent="0.25">
      <c r="A2243" s="127">
        <v>44824</v>
      </c>
      <c r="B2243" s="128" t="s">
        <v>30340</v>
      </c>
      <c r="C2243" s="194" t="s">
        <v>79</v>
      </c>
      <c r="D2243" s="195">
        <v>10688.8</v>
      </c>
      <c r="E2243" s="196">
        <v>44824</v>
      </c>
      <c r="F2243" s="195">
        <v>10688.8</v>
      </c>
      <c r="G2243" s="197">
        <f>Tabla110[[#This Row],[Importe]]-Tabla110[[#This Row],[Pagado]]</f>
        <v>0</v>
      </c>
      <c r="H2243" s="194" t="s">
        <v>10</v>
      </c>
    </row>
    <row r="2244" spans="1:8" x14ac:dyDescent="0.25">
      <c r="A2244" s="127">
        <v>44824</v>
      </c>
      <c r="B2244" s="128" t="s">
        <v>30341</v>
      </c>
      <c r="C2244" s="194" t="s">
        <v>149</v>
      </c>
      <c r="D2244" s="195">
        <v>3546</v>
      </c>
      <c r="E2244" s="196">
        <v>44824</v>
      </c>
      <c r="F2244" s="195">
        <v>3546</v>
      </c>
      <c r="G2244" s="197">
        <f>Tabla110[[#This Row],[Importe]]-Tabla110[[#This Row],[Pagado]]</f>
        <v>0</v>
      </c>
      <c r="H2244" s="194" t="s">
        <v>10</v>
      </c>
    </row>
    <row r="2245" spans="1:8" x14ac:dyDescent="0.25">
      <c r="A2245" s="127">
        <v>44824</v>
      </c>
      <c r="B2245" s="128" t="s">
        <v>30342</v>
      </c>
      <c r="C2245" s="194" t="s">
        <v>49</v>
      </c>
      <c r="D2245" s="195">
        <v>4843.5</v>
      </c>
      <c r="E2245" s="196">
        <v>44824</v>
      </c>
      <c r="F2245" s="195">
        <v>4843.5</v>
      </c>
      <c r="G2245" s="197">
        <f>Tabla110[[#This Row],[Importe]]-Tabla110[[#This Row],[Pagado]]</f>
        <v>0</v>
      </c>
      <c r="H2245" s="194" t="s">
        <v>10</v>
      </c>
    </row>
    <row r="2246" spans="1:8" x14ac:dyDescent="0.25">
      <c r="A2246" s="127">
        <v>44824</v>
      </c>
      <c r="B2246" s="128" t="s">
        <v>30343</v>
      </c>
      <c r="C2246" s="194" t="s">
        <v>296</v>
      </c>
      <c r="D2246" s="195">
        <v>5878.4</v>
      </c>
      <c r="E2246" s="196">
        <v>44824</v>
      </c>
      <c r="F2246" s="195">
        <v>5878.4</v>
      </c>
      <c r="G2246" s="197">
        <f>Tabla110[[#This Row],[Importe]]-Tabla110[[#This Row],[Pagado]]</f>
        <v>0</v>
      </c>
      <c r="H2246" s="194" t="s">
        <v>10</v>
      </c>
    </row>
    <row r="2247" spans="1:8" x14ac:dyDescent="0.25">
      <c r="A2247" s="127">
        <v>44824</v>
      </c>
      <c r="B2247" s="128" t="s">
        <v>30344</v>
      </c>
      <c r="C2247" s="194" t="s">
        <v>56</v>
      </c>
      <c r="D2247" s="195">
        <v>8650.7999999999993</v>
      </c>
      <c r="E2247" s="196">
        <v>44824</v>
      </c>
      <c r="F2247" s="195">
        <v>8650.7999999999993</v>
      </c>
      <c r="G2247" s="197">
        <f>Tabla110[[#This Row],[Importe]]-Tabla110[[#This Row],[Pagado]]</f>
        <v>0</v>
      </c>
      <c r="H2247" s="194" t="s">
        <v>10</v>
      </c>
    </row>
    <row r="2248" spans="1:8" x14ac:dyDescent="0.25">
      <c r="A2248" s="127">
        <v>44824</v>
      </c>
      <c r="B2248" s="128" t="s">
        <v>30345</v>
      </c>
      <c r="C2248" s="194" t="s">
        <v>159</v>
      </c>
      <c r="D2248" s="195">
        <v>9354.5</v>
      </c>
      <c r="E2248" s="196">
        <v>44824</v>
      </c>
      <c r="F2248" s="195">
        <v>9354.5</v>
      </c>
      <c r="G2248" s="197">
        <f>Tabla110[[#This Row],[Importe]]-Tabla110[[#This Row],[Pagado]]</f>
        <v>0</v>
      </c>
      <c r="H2248" s="194" t="s">
        <v>10</v>
      </c>
    </row>
    <row r="2249" spans="1:8" x14ac:dyDescent="0.25">
      <c r="A2249" s="127">
        <v>44824</v>
      </c>
      <c r="B2249" s="128" t="s">
        <v>30346</v>
      </c>
      <c r="C2249" s="194" t="s">
        <v>525</v>
      </c>
      <c r="D2249" s="195">
        <v>409.5</v>
      </c>
      <c r="E2249" s="196">
        <v>44824</v>
      </c>
      <c r="F2249" s="195">
        <v>409.5</v>
      </c>
      <c r="G2249" s="197">
        <f>Tabla110[[#This Row],[Importe]]-Tabla110[[#This Row],[Pagado]]</f>
        <v>0</v>
      </c>
      <c r="H2249" s="194" t="s">
        <v>10</v>
      </c>
    </row>
    <row r="2250" spans="1:8" x14ac:dyDescent="0.25">
      <c r="A2250" s="127">
        <v>44824</v>
      </c>
      <c r="B2250" s="128" t="s">
        <v>30347</v>
      </c>
      <c r="C2250" s="194" t="s">
        <v>319</v>
      </c>
      <c r="D2250" s="195">
        <v>10455.9</v>
      </c>
      <c r="E2250" s="196">
        <v>44824</v>
      </c>
      <c r="F2250" s="195">
        <v>10455.9</v>
      </c>
      <c r="G2250" s="197">
        <f>Tabla110[[#This Row],[Importe]]-Tabla110[[#This Row],[Pagado]]</f>
        <v>0</v>
      </c>
      <c r="H2250" s="194" t="s">
        <v>10</v>
      </c>
    </row>
    <row r="2251" spans="1:8" x14ac:dyDescent="0.25">
      <c r="A2251" s="127">
        <v>44824</v>
      </c>
      <c r="B2251" s="128" t="s">
        <v>30348</v>
      </c>
      <c r="C2251" s="194" t="s">
        <v>966</v>
      </c>
      <c r="D2251" s="195">
        <v>2177.6</v>
      </c>
      <c r="E2251" s="196">
        <v>44824</v>
      </c>
      <c r="F2251" s="195">
        <v>2177.6</v>
      </c>
      <c r="G2251" s="197">
        <f>Tabla110[[#This Row],[Importe]]-Tabla110[[#This Row],[Pagado]]</f>
        <v>0</v>
      </c>
      <c r="H2251" s="194" t="s">
        <v>10</v>
      </c>
    </row>
    <row r="2252" spans="1:8" x14ac:dyDescent="0.25">
      <c r="A2252" s="127">
        <v>44824</v>
      </c>
      <c r="B2252" s="128" t="s">
        <v>30349</v>
      </c>
      <c r="C2252" s="194" t="s">
        <v>520</v>
      </c>
      <c r="D2252" s="195">
        <v>13007</v>
      </c>
      <c r="E2252" s="196">
        <v>44824</v>
      </c>
      <c r="F2252" s="195">
        <v>13007</v>
      </c>
      <c r="G2252" s="197">
        <f>Tabla110[[#This Row],[Importe]]-Tabla110[[#This Row],[Pagado]]</f>
        <v>0</v>
      </c>
      <c r="H2252" s="194" t="s">
        <v>10</v>
      </c>
    </row>
    <row r="2253" spans="1:8" x14ac:dyDescent="0.25">
      <c r="A2253" s="127">
        <v>44824</v>
      </c>
      <c r="B2253" s="128" t="s">
        <v>30350</v>
      </c>
      <c r="C2253" s="194" t="s">
        <v>157</v>
      </c>
      <c r="D2253" s="195">
        <v>5594.5</v>
      </c>
      <c r="E2253" s="196">
        <v>44824</v>
      </c>
      <c r="F2253" s="195">
        <v>5594.5</v>
      </c>
      <c r="G2253" s="197">
        <f>Tabla110[[#This Row],[Importe]]-Tabla110[[#This Row],[Pagado]]</f>
        <v>0</v>
      </c>
      <c r="H2253" s="194" t="s">
        <v>10</v>
      </c>
    </row>
    <row r="2254" spans="1:8" x14ac:dyDescent="0.25">
      <c r="A2254" s="127">
        <v>44824</v>
      </c>
      <c r="B2254" s="128" t="s">
        <v>30351</v>
      </c>
      <c r="C2254" s="194" t="s">
        <v>518</v>
      </c>
      <c r="D2254" s="195">
        <v>4650.3999999999996</v>
      </c>
      <c r="E2254" s="196">
        <v>44824</v>
      </c>
      <c r="F2254" s="195">
        <v>4650.3999999999996</v>
      </c>
      <c r="G2254" s="197">
        <f>Tabla110[[#This Row],[Importe]]-Tabla110[[#This Row],[Pagado]]</f>
        <v>0</v>
      </c>
      <c r="H2254" s="194" t="s">
        <v>10</v>
      </c>
    </row>
    <row r="2255" spans="1:8" x14ac:dyDescent="0.25">
      <c r="A2255" s="127">
        <v>44824</v>
      </c>
      <c r="B2255" s="128" t="s">
        <v>30352</v>
      </c>
      <c r="C2255" s="194" t="s">
        <v>289</v>
      </c>
      <c r="D2255" s="195">
        <v>14907.2</v>
      </c>
      <c r="E2255" s="196">
        <v>44824</v>
      </c>
      <c r="F2255" s="195">
        <v>14907.2</v>
      </c>
      <c r="G2255" s="197">
        <f>Tabla110[[#This Row],[Importe]]-Tabla110[[#This Row],[Pagado]]</f>
        <v>0</v>
      </c>
      <c r="H2255" s="194" t="s">
        <v>10</v>
      </c>
    </row>
    <row r="2256" spans="1:8" x14ac:dyDescent="0.25">
      <c r="A2256" s="127">
        <v>44824</v>
      </c>
      <c r="B2256" s="128" t="s">
        <v>30353</v>
      </c>
      <c r="C2256" s="194" t="s">
        <v>19271</v>
      </c>
      <c r="D2256" s="195">
        <v>52565.4</v>
      </c>
      <c r="E2256" s="196">
        <v>44824</v>
      </c>
      <c r="F2256" s="195">
        <v>52565.4</v>
      </c>
      <c r="G2256" s="197">
        <f>Tabla110[[#This Row],[Importe]]-Tabla110[[#This Row],[Pagado]]</f>
        <v>0</v>
      </c>
      <c r="H2256" s="194" t="s">
        <v>10</v>
      </c>
    </row>
    <row r="2257" spans="1:8" x14ac:dyDescent="0.25">
      <c r="A2257" s="127">
        <v>44824</v>
      </c>
      <c r="B2257" s="128" t="s">
        <v>30354</v>
      </c>
      <c r="C2257" s="194" t="s">
        <v>319</v>
      </c>
      <c r="D2257" s="195">
        <v>903.6</v>
      </c>
      <c r="E2257" s="196">
        <v>44824</v>
      </c>
      <c r="F2257" s="195">
        <v>903.6</v>
      </c>
      <c r="G2257" s="197">
        <f>Tabla110[[#This Row],[Importe]]-Tabla110[[#This Row],[Pagado]]</f>
        <v>0</v>
      </c>
      <c r="H2257" s="194" t="s">
        <v>10</v>
      </c>
    </row>
    <row r="2258" spans="1:8" x14ac:dyDescent="0.25">
      <c r="A2258" s="127">
        <v>44824</v>
      </c>
      <c r="B2258" s="128" t="s">
        <v>30355</v>
      </c>
      <c r="C2258" s="194" t="s">
        <v>3971</v>
      </c>
      <c r="D2258" s="195">
        <v>1645.6</v>
      </c>
      <c r="E2258" s="196">
        <v>44824</v>
      </c>
      <c r="F2258" s="195">
        <v>1645.6</v>
      </c>
      <c r="G2258" s="197">
        <f>Tabla110[[#This Row],[Importe]]-Tabla110[[#This Row],[Pagado]]</f>
        <v>0</v>
      </c>
      <c r="H2258" s="194" t="s">
        <v>10</v>
      </c>
    </row>
    <row r="2259" spans="1:8" x14ac:dyDescent="0.25">
      <c r="A2259" s="127">
        <v>44824</v>
      </c>
      <c r="B2259" s="128" t="s">
        <v>30356</v>
      </c>
      <c r="C2259" s="194" t="s">
        <v>396</v>
      </c>
      <c r="D2259" s="195">
        <v>11620.94</v>
      </c>
      <c r="E2259" s="196">
        <v>44834</v>
      </c>
      <c r="F2259" s="195">
        <v>11620.94</v>
      </c>
      <c r="G2259" s="197">
        <f>Tabla110[[#This Row],[Importe]]-Tabla110[[#This Row],[Pagado]]</f>
        <v>0</v>
      </c>
      <c r="H2259" s="194" t="s">
        <v>10</v>
      </c>
    </row>
    <row r="2260" spans="1:8" x14ac:dyDescent="0.25">
      <c r="A2260" s="127">
        <v>44824</v>
      </c>
      <c r="B2260" s="128" t="s">
        <v>30357</v>
      </c>
      <c r="C2260" s="194" t="s">
        <v>135</v>
      </c>
      <c r="D2260" s="195">
        <v>1396.2</v>
      </c>
      <c r="E2260" s="196">
        <v>44824</v>
      </c>
      <c r="F2260" s="195">
        <v>1396.2</v>
      </c>
      <c r="G2260" s="197">
        <f>Tabla110[[#This Row],[Importe]]-Tabla110[[#This Row],[Pagado]]</f>
        <v>0</v>
      </c>
      <c r="H2260" s="194" t="s">
        <v>10</v>
      </c>
    </row>
    <row r="2261" spans="1:8" x14ac:dyDescent="0.25">
      <c r="A2261" s="127">
        <v>44824</v>
      </c>
      <c r="B2261" s="128" t="s">
        <v>30358</v>
      </c>
      <c r="C2261" s="194" t="s">
        <v>698</v>
      </c>
      <c r="D2261" s="195">
        <v>7413.6</v>
      </c>
      <c r="E2261" s="196">
        <v>44824</v>
      </c>
      <c r="F2261" s="195">
        <v>7413.6</v>
      </c>
      <c r="G2261" s="197">
        <f>Tabla110[[#This Row],[Importe]]-Tabla110[[#This Row],[Pagado]]</f>
        <v>0</v>
      </c>
      <c r="H2261" s="194" t="s">
        <v>10</v>
      </c>
    </row>
    <row r="2262" spans="1:8" x14ac:dyDescent="0.25">
      <c r="A2262" s="127">
        <v>44824</v>
      </c>
      <c r="B2262" s="128" t="s">
        <v>30359</v>
      </c>
      <c r="C2262" s="194" t="s">
        <v>24</v>
      </c>
      <c r="D2262" s="195">
        <v>954.6</v>
      </c>
      <c r="E2262" s="196">
        <v>44824</v>
      </c>
      <c r="F2262" s="195">
        <v>954.6</v>
      </c>
      <c r="G2262" s="197">
        <f>Tabla110[[#This Row],[Importe]]-Tabla110[[#This Row],[Pagado]]</f>
        <v>0</v>
      </c>
      <c r="H2262" s="194" t="s">
        <v>10</v>
      </c>
    </row>
    <row r="2263" spans="1:8" x14ac:dyDescent="0.25">
      <c r="A2263" s="127">
        <v>44824</v>
      </c>
      <c r="B2263" s="128" t="s">
        <v>30360</v>
      </c>
      <c r="C2263" s="194" t="s">
        <v>7745</v>
      </c>
      <c r="D2263" s="195">
        <v>18975</v>
      </c>
      <c r="E2263" s="196">
        <v>44824</v>
      </c>
      <c r="F2263" s="195">
        <v>18975</v>
      </c>
      <c r="G2263" s="197">
        <f>Tabla110[[#This Row],[Importe]]-Tabla110[[#This Row],[Pagado]]</f>
        <v>0</v>
      </c>
      <c r="H2263" s="194" t="s">
        <v>10</v>
      </c>
    </row>
    <row r="2264" spans="1:8" x14ac:dyDescent="0.25">
      <c r="A2264" s="127">
        <v>44824</v>
      </c>
      <c r="B2264" s="128" t="s">
        <v>30361</v>
      </c>
      <c r="C2264" s="194" t="s">
        <v>31</v>
      </c>
      <c r="D2264" s="195">
        <v>691.6</v>
      </c>
      <c r="E2264" s="196">
        <v>44824</v>
      </c>
      <c r="F2264" s="195">
        <v>691.6</v>
      </c>
      <c r="G2264" s="197">
        <f>Tabla110[[#This Row],[Importe]]-Tabla110[[#This Row],[Pagado]]</f>
        <v>0</v>
      </c>
      <c r="H2264" s="194" t="s">
        <v>10</v>
      </c>
    </row>
    <row r="2265" spans="1:8" x14ac:dyDescent="0.25">
      <c r="A2265" s="127">
        <v>44824</v>
      </c>
      <c r="B2265" s="128" t="s">
        <v>30362</v>
      </c>
      <c r="C2265" s="194" t="s">
        <v>1003</v>
      </c>
      <c r="D2265" s="195">
        <v>6349.2</v>
      </c>
      <c r="E2265" s="196">
        <v>44827</v>
      </c>
      <c r="F2265" s="195">
        <v>6349.2</v>
      </c>
      <c r="G2265" s="197">
        <f>Tabla110[[#This Row],[Importe]]-Tabla110[[#This Row],[Pagado]]</f>
        <v>0</v>
      </c>
      <c r="H2265" s="194" t="s">
        <v>10</v>
      </c>
    </row>
    <row r="2266" spans="1:8" x14ac:dyDescent="0.25">
      <c r="A2266" s="127">
        <v>44824</v>
      </c>
      <c r="B2266" s="128" t="s">
        <v>30363</v>
      </c>
      <c r="C2266" s="194" t="s">
        <v>216</v>
      </c>
      <c r="D2266" s="195">
        <v>1884.8</v>
      </c>
      <c r="E2266" s="196">
        <v>44824</v>
      </c>
      <c r="F2266" s="195">
        <v>1884.8</v>
      </c>
      <c r="G2266" s="197">
        <f>Tabla110[[#This Row],[Importe]]-Tabla110[[#This Row],[Pagado]]</f>
        <v>0</v>
      </c>
      <c r="H2266" s="194" t="s">
        <v>10</v>
      </c>
    </row>
    <row r="2267" spans="1:8" x14ac:dyDescent="0.25">
      <c r="A2267" s="127">
        <v>44824</v>
      </c>
      <c r="B2267" s="128" t="s">
        <v>30364</v>
      </c>
      <c r="C2267" s="194" t="s">
        <v>191</v>
      </c>
      <c r="D2267" s="195">
        <v>1677</v>
      </c>
      <c r="E2267" s="196">
        <v>44824</v>
      </c>
      <c r="F2267" s="195">
        <v>1677</v>
      </c>
      <c r="G2267" s="197">
        <f>Tabla110[[#This Row],[Importe]]-Tabla110[[#This Row],[Pagado]]</f>
        <v>0</v>
      </c>
      <c r="H2267" s="194" t="s">
        <v>10</v>
      </c>
    </row>
    <row r="2268" spans="1:8" x14ac:dyDescent="0.25">
      <c r="A2268" s="127">
        <v>44824</v>
      </c>
      <c r="B2268" s="128" t="s">
        <v>30365</v>
      </c>
      <c r="C2268" s="194" t="s">
        <v>146</v>
      </c>
      <c r="D2268" s="195">
        <v>5093.3999999999996</v>
      </c>
      <c r="E2268" s="196">
        <v>44824</v>
      </c>
      <c r="F2268" s="195">
        <v>5093.3999999999996</v>
      </c>
      <c r="G2268" s="197">
        <f>Tabla110[[#This Row],[Importe]]-Tabla110[[#This Row],[Pagado]]</f>
        <v>0</v>
      </c>
      <c r="H2268" s="194" t="s">
        <v>10</v>
      </c>
    </row>
    <row r="2269" spans="1:8" x14ac:dyDescent="0.25">
      <c r="A2269" s="127">
        <v>44824</v>
      </c>
      <c r="B2269" s="128" t="s">
        <v>30366</v>
      </c>
      <c r="C2269" s="194" t="s">
        <v>28087</v>
      </c>
      <c r="D2269" s="195">
        <v>105432.9</v>
      </c>
      <c r="E2269" s="196">
        <v>44824</v>
      </c>
      <c r="F2269" s="195">
        <v>105432.9</v>
      </c>
      <c r="G2269" s="197">
        <f>Tabla110[[#This Row],[Importe]]-Tabla110[[#This Row],[Pagado]]</f>
        <v>0</v>
      </c>
      <c r="H2269" s="194" t="s">
        <v>10</v>
      </c>
    </row>
    <row r="2270" spans="1:8" x14ac:dyDescent="0.25">
      <c r="A2270" s="127">
        <v>44824</v>
      </c>
      <c r="B2270" s="128" t="s">
        <v>30367</v>
      </c>
      <c r="C2270" s="194" t="s">
        <v>246</v>
      </c>
      <c r="D2270" s="195">
        <v>89116</v>
      </c>
      <c r="E2270" s="196">
        <v>44824</v>
      </c>
      <c r="F2270" s="195">
        <v>89116</v>
      </c>
      <c r="G2270" s="197">
        <f>Tabla110[[#This Row],[Importe]]-Tabla110[[#This Row],[Pagado]]</f>
        <v>0</v>
      </c>
      <c r="H2270" s="194" t="s">
        <v>10</v>
      </c>
    </row>
    <row r="2271" spans="1:8" x14ac:dyDescent="0.25">
      <c r="A2271" s="127">
        <v>44824</v>
      </c>
      <c r="B2271" s="128" t="s">
        <v>30368</v>
      </c>
      <c r="C2271" s="194" t="s">
        <v>233</v>
      </c>
      <c r="D2271" s="195">
        <v>6360.2</v>
      </c>
      <c r="E2271" s="196">
        <v>44824</v>
      </c>
      <c r="F2271" s="195">
        <v>6360.2</v>
      </c>
      <c r="G2271" s="197">
        <f>Tabla110[[#This Row],[Importe]]-Tabla110[[#This Row],[Pagado]]</f>
        <v>0</v>
      </c>
      <c r="H2271" s="194" t="s">
        <v>10</v>
      </c>
    </row>
    <row r="2272" spans="1:8" x14ac:dyDescent="0.25">
      <c r="A2272" s="127">
        <v>44824</v>
      </c>
      <c r="B2272" s="128" t="s">
        <v>30369</v>
      </c>
      <c r="C2272" s="194" t="s">
        <v>107</v>
      </c>
      <c r="D2272" s="195">
        <v>15594.2</v>
      </c>
      <c r="E2272" s="196">
        <v>44824</v>
      </c>
      <c r="F2272" s="195">
        <v>15594.2</v>
      </c>
      <c r="G2272" s="197">
        <f>Tabla110[[#This Row],[Importe]]-Tabla110[[#This Row],[Pagado]]</f>
        <v>0</v>
      </c>
      <c r="H2272" s="194" t="s">
        <v>10</v>
      </c>
    </row>
    <row r="2273" spans="1:8" x14ac:dyDescent="0.25">
      <c r="A2273" s="127">
        <v>44824</v>
      </c>
      <c r="B2273" s="128" t="s">
        <v>30370</v>
      </c>
      <c r="C2273" s="194" t="s">
        <v>1362</v>
      </c>
      <c r="D2273" s="195">
        <v>5811</v>
      </c>
      <c r="E2273" s="196">
        <v>44824</v>
      </c>
      <c r="F2273" s="195">
        <v>5811</v>
      </c>
      <c r="G2273" s="197">
        <f>Tabla110[[#This Row],[Importe]]-Tabla110[[#This Row],[Pagado]]</f>
        <v>0</v>
      </c>
      <c r="H2273" s="194" t="s">
        <v>10</v>
      </c>
    </row>
    <row r="2274" spans="1:8" x14ac:dyDescent="0.25">
      <c r="A2274" s="127">
        <v>44824</v>
      </c>
      <c r="B2274" s="128" t="s">
        <v>30371</v>
      </c>
      <c r="C2274" s="194" t="s">
        <v>670</v>
      </c>
      <c r="D2274" s="195">
        <v>4419</v>
      </c>
      <c r="E2274" s="196">
        <v>44824</v>
      </c>
      <c r="F2274" s="195">
        <v>4419</v>
      </c>
      <c r="G2274" s="197">
        <f>Tabla110[[#This Row],[Importe]]-Tabla110[[#This Row],[Pagado]]</f>
        <v>0</v>
      </c>
      <c r="H2274" s="194" t="s">
        <v>10</v>
      </c>
    </row>
    <row r="2275" spans="1:8" x14ac:dyDescent="0.25">
      <c r="A2275" s="127">
        <v>44824</v>
      </c>
      <c r="B2275" s="128" t="s">
        <v>30372</v>
      </c>
      <c r="C2275" s="194" t="s">
        <v>30373</v>
      </c>
      <c r="D2275" s="195">
        <v>0</v>
      </c>
      <c r="E2275" s="199" t="s">
        <v>189</v>
      </c>
      <c r="F2275" s="195">
        <v>0</v>
      </c>
      <c r="G2275" s="197">
        <f>Tabla110[[#This Row],[Importe]]-Tabla110[[#This Row],[Pagado]]</f>
        <v>0</v>
      </c>
      <c r="H2275" s="194" t="s">
        <v>189</v>
      </c>
    </row>
    <row r="2276" spans="1:8" x14ac:dyDescent="0.25">
      <c r="A2276" s="127">
        <v>44824</v>
      </c>
      <c r="B2276" s="128" t="s">
        <v>30374</v>
      </c>
      <c r="C2276" s="194" t="s">
        <v>3747</v>
      </c>
      <c r="D2276" s="195">
        <v>8374.6</v>
      </c>
      <c r="E2276" s="196">
        <v>44824</v>
      </c>
      <c r="F2276" s="195">
        <v>8374.6</v>
      </c>
      <c r="G2276" s="197">
        <f>Tabla110[[#This Row],[Importe]]-Tabla110[[#This Row],[Pagado]]</f>
        <v>0</v>
      </c>
      <c r="H2276" s="194" t="s">
        <v>10</v>
      </c>
    </row>
    <row r="2277" spans="1:8" x14ac:dyDescent="0.25">
      <c r="A2277" s="127">
        <v>44824</v>
      </c>
      <c r="B2277" s="128" t="s">
        <v>30375</v>
      </c>
      <c r="C2277" s="194" t="s">
        <v>31</v>
      </c>
      <c r="D2277" s="195">
        <v>1200.8</v>
      </c>
      <c r="E2277" s="196">
        <v>44824</v>
      </c>
      <c r="F2277" s="195">
        <v>1200.8</v>
      </c>
      <c r="G2277" s="197">
        <f>Tabla110[[#This Row],[Importe]]-Tabla110[[#This Row],[Pagado]]</f>
        <v>0</v>
      </c>
      <c r="H2277" s="194" t="s">
        <v>10</v>
      </c>
    </row>
    <row r="2278" spans="1:8" ht="31.5" x14ac:dyDescent="0.25">
      <c r="A2278" s="127">
        <v>44824</v>
      </c>
      <c r="B2278" s="128" t="s">
        <v>30376</v>
      </c>
      <c r="C2278" s="194" t="s">
        <v>142</v>
      </c>
      <c r="D2278" s="195">
        <v>64961.4</v>
      </c>
      <c r="E2278" s="198" t="s">
        <v>31551</v>
      </c>
      <c r="F2278" s="195">
        <f>3144.56+61816.84</f>
        <v>64961.399999999994</v>
      </c>
      <c r="G2278" s="197">
        <f>Tabla110[[#This Row],[Importe]]-Tabla110[[#This Row],[Pagado]]</f>
        <v>0</v>
      </c>
      <c r="H2278" s="194" t="s">
        <v>10</v>
      </c>
    </row>
    <row r="2279" spans="1:8" x14ac:dyDescent="0.25">
      <c r="A2279" s="127">
        <v>44824</v>
      </c>
      <c r="B2279" s="128" t="s">
        <v>30377</v>
      </c>
      <c r="C2279" s="194" t="s">
        <v>849</v>
      </c>
      <c r="D2279" s="195">
        <v>600</v>
      </c>
      <c r="E2279" s="196">
        <v>44824</v>
      </c>
      <c r="F2279" s="195">
        <v>600</v>
      </c>
      <c r="G2279" s="197">
        <f>Tabla110[[#This Row],[Importe]]-Tabla110[[#This Row],[Pagado]]</f>
        <v>0</v>
      </c>
      <c r="H2279" s="194" t="s">
        <v>10</v>
      </c>
    </row>
    <row r="2280" spans="1:8" x14ac:dyDescent="0.25">
      <c r="A2280" s="127">
        <v>44824</v>
      </c>
      <c r="B2280" s="128" t="s">
        <v>30378</v>
      </c>
      <c r="C2280" s="194" t="s">
        <v>244</v>
      </c>
      <c r="D2280" s="195">
        <v>1934.4</v>
      </c>
      <c r="E2280" s="196">
        <v>44824</v>
      </c>
      <c r="F2280" s="195">
        <v>1934.4</v>
      </c>
      <c r="G2280" s="197">
        <f>Tabla110[[#This Row],[Importe]]-Tabla110[[#This Row],[Pagado]]</f>
        <v>0</v>
      </c>
      <c r="H2280" s="194" t="s">
        <v>10</v>
      </c>
    </row>
    <row r="2281" spans="1:8" x14ac:dyDescent="0.25">
      <c r="A2281" s="127">
        <v>44824</v>
      </c>
      <c r="B2281" s="128" t="s">
        <v>30379</v>
      </c>
      <c r="C2281" s="194" t="s">
        <v>31</v>
      </c>
      <c r="D2281" s="195">
        <v>1614</v>
      </c>
      <c r="E2281" s="196">
        <v>44824</v>
      </c>
      <c r="F2281" s="195">
        <v>1614</v>
      </c>
      <c r="G2281" s="197">
        <f>Tabla110[[#This Row],[Importe]]-Tabla110[[#This Row],[Pagado]]</f>
        <v>0</v>
      </c>
      <c r="H2281" s="194" t="s">
        <v>10</v>
      </c>
    </row>
    <row r="2282" spans="1:8" x14ac:dyDescent="0.25">
      <c r="A2282" s="127">
        <v>44824</v>
      </c>
      <c r="B2282" s="128" t="s">
        <v>30380</v>
      </c>
      <c r="C2282" s="194" t="s">
        <v>58</v>
      </c>
      <c r="D2282" s="195">
        <v>2478</v>
      </c>
      <c r="E2282" s="196">
        <v>44824</v>
      </c>
      <c r="F2282" s="195">
        <v>2478</v>
      </c>
      <c r="G2282" s="197">
        <f>Tabla110[[#This Row],[Importe]]-Tabla110[[#This Row],[Pagado]]</f>
        <v>0</v>
      </c>
      <c r="H2282" s="194" t="s">
        <v>10</v>
      </c>
    </row>
    <row r="2283" spans="1:8" x14ac:dyDescent="0.25">
      <c r="A2283" s="127">
        <v>44824</v>
      </c>
      <c r="B2283" s="128" t="s">
        <v>30381</v>
      </c>
      <c r="C2283" s="194" t="s">
        <v>419</v>
      </c>
      <c r="D2283" s="195">
        <v>8982.1</v>
      </c>
      <c r="E2283" s="196">
        <v>44824</v>
      </c>
      <c r="F2283" s="195">
        <v>8982.1</v>
      </c>
      <c r="G2283" s="197">
        <f>Tabla110[[#This Row],[Importe]]-Tabla110[[#This Row],[Pagado]]</f>
        <v>0</v>
      </c>
      <c r="H2283" s="194" t="s">
        <v>10</v>
      </c>
    </row>
    <row r="2284" spans="1:8" x14ac:dyDescent="0.25">
      <c r="A2284" s="127">
        <v>44824</v>
      </c>
      <c r="B2284" s="128" t="s">
        <v>30382</v>
      </c>
      <c r="C2284" s="194" t="s">
        <v>208</v>
      </c>
      <c r="D2284" s="195">
        <v>20767.599999999999</v>
      </c>
      <c r="E2284" s="196">
        <v>44828</v>
      </c>
      <c r="F2284" s="195">
        <v>20767.599999999999</v>
      </c>
      <c r="G2284" s="197">
        <f>Tabla110[[#This Row],[Importe]]-Tabla110[[#This Row],[Pagado]]</f>
        <v>0</v>
      </c>
      <c r="H2284" s="194" t="s">
        <v>10</v>
      </c>
    </row>
    <row r="2285" spans="1:8" x14ac:dyDescent="0.25">
      <c r="A2285" s="127">
        <v>44824</v>
      </c>
      <c r="B2285" s="128" t="s">
        <v>30383</v>
      </c>
      <c r="C2285" s="194" t="s">
        <v>212</v>
      </c>
      <c r="D2285" s="195">
        <v>18279.8</v>
      </c>
      <c r="E2285" s="196">
        <v>44827</v>
      </c>
      <c r="F2285" s="195">
        <v>18279.8</v>
      </c>
      <c r="G2285" s="197">
        <f>Tabla110[[#This Row],[Importe]]-Tabla110[[#This Row],[Pagado]]</f>
        <v>0</v>
      </c>
      <c r="H2285" s="194" t="s">
        <v>10</v>
      </c>
    </row>
    <row r="2286" spans="1:8" x14ac:dyDescent="0.25">
      <c r="A2286" s="127">
        <v>44824</v>
      </c>
      <c r="B2286" s="128" t="s">
        <v>30384</v>
      </c>
      <c r="C2286" s="194" t="s">
        <v>31</v>
      </c>
      <c r="D2286" s="195">
        <v>1185.5999999999999</v>
      </c>
      <c r="E2286" s="196">
        <v>44824</v>
      </c>
      <c r="F2286" s="195">
        <v>1185.5999999999999</v>
      </c>
      <c r="G2286" s="197">
        <f>Tabla110[[#This Row],[Importe]]-Tabla110[[#This Row],[Pagado]]</f>
        <v>0</v>
      </c>
      <c r="H2286" s="194" t="s">
        <v>10</v>
      </c>
    </row>
    <row r="2287" spans="1:8" x14ac:dyDescent="0.25">
      <c r="A2287" s="127">
        <v>44824</v>
      </c>
      <c r="B2287" s="128" t="s">
        <v>30385</v>
      </c>
      <c r="C2287" s="194" t="s">
        <v>612</v>
      </c>
      <c r="D2287" s="195">
        <v>798.8</v>
      </c>
      <c r="E2287" s="196">
        <v>44824</v>
      </c>
      <c r="F2287" s="195">
        <v>798.8</v>
      </c>
      <c r="G2287" s="197">
        <f>Tabla110[[#This Row],[Importe]]-Tabla110[[#This Row],[Pagado]]</f>
        <v>0</v>
      </c>
      <c r="H2287" s="194" t="s">
        <v>10</v>
      </c>
    </row>
    <row r="2288" spans="1:8" x14ac:dyDescent="0.25">
      <c r="A2288" s="127">
        <v>44824</v>
      </c>
      <c r="B2288" s="128" t="s">
        <v>30386</v>
      </c>
      <c r="C2288" s="194" t="s">
        <v>133</v>
      </c>
      <c r="D2288" s="195">
        <v>19450.2</v>
      </c>
      <c r="E2288" s="196">
        <v>44825</v>
      </c>
      <c r="F2288" s="195">
        <v>19450.2</v>
      </c>
      <c r="G2288" s="197">
        <f>Tabla110[[#This Row],[Importe]]-Tabla110[[#This Row],[Pagado]]</f>
        <v>0</v>
      </c>
      <c r="H2288" s="194" t="s">
        <v>10</v>
      </c>
    </row>
    <row r="2289" spans="1:8" x14ac:dyDescent="0.25">
      <c r="A2289" s="127">
        <v>44824</v>
      </c>
      <c r="B2289" s="128" t="s">
        <v>30387</v>
      </c>
      <c r="C2289" s="194" t="s">
        <v>426</v>
      </c>
      <c r="D2289" s="195">
        <v>10052.700000000001</v>
      </c>
      <c r="E2289" s="196">
        <v>44825</v>
      </c>
      <c r="F2289" s="195">
        <v>10052.700000000001</v>
      </c>
      <c r="G2289" s="197">
        <f>Tabla110[[#This Row],[Importe]]-Tabla110[[#This Row],[Pagado]]</f>
        <v>0</v>
      </c>
      <c r="H2289" s="194" t="s">
        <v>10</v>
      </c>
    </row>
    <row r="2290" spans="1:8" x14ac:dyDescent="0.25">
      <c r="A2290" s="127">
        <v>44824</v>
      </c>
      <c r="B2290" s="128" t="s">
        <v>30388</v>
      </c>
      <c r="C2290" s="194" t="s">
        <v>200</v>
      </c>
      <c r="D2290" s="195">
        <v>1147.5999999999999</v>
      </c>
      <c r="E2290" s="196">
        <v>44825</v>
      </c>
      <c r="F2290" s="195">
        <v>1147.5999999999999</v>
      </c>
      <c r="G2290" s="197">
        <f>Tabla110[[#This Row],[Importe]]-Tabla110[[#This Row],[Pagado]]</f>
        <v>0</v>
      </c>
      <c r="H2290" s="194" t="s">
        <v>10</v>
      </c>
    </row>
    <row r="2291" spans="1:8" x14ac:dyDescent="0.25">
      <c r="A2291" s="127">
        <v>44824</v>
      </c>
      <c r="B2291" s="128" t="s">
        <v>30389</v>
      </c>
      <c r="C2291" s="194" t="s">
        <v>175</v>
      </c>
      <c r="D2291" s="195">
        <v>7101.9</v>
      </c>
      <c r="E2291" s="196">
        <v>44825</v>
      </c>
      <c r="F2291" s="195">
        <v>7101.9</v>
      </c>
      <c r="G2291" s="197">
        <f>Tabla110[[#This Row],[Importe]]-Tabla110[[#This Row],[Pagado]]</f>
        <v>0</v>
      </c>
      <c r="H2291" s="194" t="s">
        <v>10</v>
      </c>
    </row>
    <row r="2292" spans="1:8" x14ac:dyDescent="0.25">
      <c r="A2292" s="127">
        <v>44824</v>
      </c>
      <c r="B2292" s="128" t="s">
        <v>30390</v>
      </c>
      <c r="C2292" s="194" t="s">
        <v>16</v>
      </c>
      <c r="D2292" s="195">
        <v>1326</v>
      </c>
      <c r="E2292" s="196">
        <v>44824</v>
      </c>
      <c r="F2292" s="195">
        <v>1326</v>
      </c>
      <c r="G2292" s="197">
        <f>Tabla110[[#This Row],[Importe]]-Tabla110[[#This Row],[Pagado]]</f>
        <v>0</v>
      </c>
      <c r="H2292" s="194" t="s">
        <v>10</v>
      </c>
    </row>
    <row r="2293" spans="1:8" x14ac:dyDescent="0.25">
      <c r="A2293" s="127">
        <v>44824</v>
      </c>
      <c r="B2293" s="128" t="s">
        <v>30391</v>
      </c>
      <c r="C2293" s="194" t="s">
        <v>10819</v>
      </c>
      <c r="D2293" s="195">
        <v>1208.4000000000001</v>
      </c>
      <c r="E2293" s="196">
        <v>44825</v>
      </c>
      <c r="F2293" s="195">
        <v>1208.4000000000001</v>
      </c>
      <c r="G2293" s="197">
        <f>Tabla110[[#This Row],[Importe]]-Tabla110[[#This Row],[Pagado]]</f>
        <v>0</v>
      </c>
      <c r="H2293" s="194" t="s">
        <v>10</v>
      </c>
    </row>
    <row r="2294" spans="1:8" x14ac:dyDescent="0.25">
      <c r="A2294" s="127">
        <v>44824</v>
      </c>
      <c r="B2294" s="128" t="s">
        <v>30392</v>
      </c>
      <c r="C2294" s="194" t="s">
        <v>5345</v>
      </c>
      <c r="D2294" s="195">
        <v>752.4</v>
      </c>
      <c r="E2294" s="196">
        <v>44825</v>
      </c>
      <c r="F2294" s="195">
        <v>752.4</v>
      </c>
      <c r="G2294" s="197">
        <f>Tabla110[[#This Row],[Importe]]-Tabla110[[#This Row],[Pagado]]</f>
        <v>0</v>
      </c>
      <c r="H2294" s="194" t="s">
        <v>10</v>
      </c>
    </row>
    <row r="2295" spans="1:8" x14ac:dyDescent="0.25">
      <c r="A2295" s="127">
        <v>44824</v>
      </c>
      <c r="B2295" s="128" t="s">
        <v>30393</v>
      </c>
      <c r="C2295" s="194" t="s">
        <v>1644</v>
      </c>
      <c r="D2295" s="195">
        <v>11827.2</v>
      </c>
      <c r="E2295" s="196">
        <v>44825</v>
      </c>
      <c r="F2295" s="195">
        <v>11827.2</v>
      </c>
      <c r="G2295" s="197">
        <f>Tabla110[[#This Row],[Importe]]-Tabla110[[#This Row],[Pagado]]</f>
        <v>0</v>
      </c>
      <c r="H2295" s="194" t="s">
        <v>10</v>
      </c>
    </row>
    <row r="2296" spans="1:8" x14ac:dyDescent="0.25">
      <c r="A2296" s="127">
        <v>44824</v>
      </c>
      <c r="B2296" s="128" t="s">
        <v>30394</v>
      </c>
      <c r="C2296" s="194" t="s">
        <v>280</v>
      </c>
      <c r="D2296" s="195">
        <v>722</v>
      </c>
      <c r="E2296" s="196">
        <v>44825</v>
      </c>
      <c r="F2296" s="195">
        <v>722</v>
      </c>
      <c r="G2296" s="197">
        <f>Tabla110[[#This Row],[Importe]]-Tabla110[[#This Row],[Pagado]]</f>
        <v>0</v>
      </c>
      <c r="H2296" s="194" t="s">
        <v>10</v>
      </c>
    </row>
    <row r="2297" spans="1:8" x14ac:dyDescent="0.25">
      <c r="A2297" s="127">
        <v>44824</v>
      </c>
      <c r="B2297" s="128" t="s">
        <v>30395</v>
      </c>
      <c r="C2297" s="194" t="s">
        <v>67</v>
      </c>
      <c r="D2297" s="195">
        <v>2348.4</v>
      </c>
      <c r="E2297" s="196">
        <v>44824</v>
      </c>
      <c r="F2297" s="195">
        <v>2348.4</v>
      </c>
      <c r="G2297" s="197">
        <f>Tabla110[[#This Row],[Importe]]-Tabla110[[#This Row],[Pagado]]</f>
        <v>0</v>
      </c>
      <c r="H2297" s="194" t="s">
        <v>10</v>
      </c>
    </row>
    <row r="2298" spans="1:8" x14ac:dyDescent="0.25">
      <c r="A2298" s="127">
        <v>44824</v>
      </c>
      <c r="B2298" s="128" t="s">
        <v>30396</v>
      </c>
      <c r="C2298" s="194" t="s">
        <v>284</v>
      </c>
      <c r="D2298" s="195">
        <v>6384</v>
      </c>
      <c r="E2298" s="196">
        <v>44825</v>
      </c>
      <c r="F2298" s="195">
        <v>6384</v>
      </c>
      <c r="G2298" s="197">
        <f>Tabla110[[#This Row],[Importe]]-Tabla110[[#This Row],[Pagado]]</f>
        <v>0</v>
      </c>
      <c r="H2298" s="194" t="s">
        <v>10</v>
      </c>
    </row>
    <row r="2299" spans="1:8" x14ac:dyDescent="0.25">
      <c r="A2299" s="127">
        <v>44824</v>
      </c>
      <c r="B2299" s="128" t="s">
        <v>30397</v>
      </c>
      <c r="C2299" s="194" t="s">
        <v>263</v>
      </c>
      <c r="D2299" s="195">
        <v>155488.6</v>
      </c>
      <c r="E2299" s="196">
        <v>44824</v>
      </c>
      <c r="F2299" s="195">
        <v>155488.6</v>
      </c>
      <c r="G2299" s="197">
        <f>Tabla110[[#This Row],[Importe]]-Tabla110[[#This Row],[Pagado]]</f>
        <v>0</v>
      </c>
      <c r="H2299" s="194" t="s">
        <v>10</v>
      </c>
    </row>
    <row r="2300" spans="1:8" x14ac:dyDescent="0.25">
      <c r="A2300" s="127">
        <v>44824</v>
      </c>
      <c r="B2300" s="128" t="s">
        <v>30398</v>
      </c>
      <c r="C2300" s="194" t="s">
        <v>994</v>
      </c>
      <c r="D2300" s="195">
        <v>815.2</v>
      </c>
      <c r="E2300" s="196">
        <v>44824</v>
      </c>
      <c r="F2300" s="195">
        <v>815.2</v>
      </c>
      <c r="G2300" s="197">
        <f>Tabla110[[#This Row],[Importe]]-Tabla110[[#This Row],[Pagado]]</f>
        <v>0</v>
      </c>
      <c r="H2300" s="194" t="s">
        <v>10</v>
      </c>
    </row>
    <row r="2301" spans="1:8" x14ac:dyDescent="0.25">
      <c r="A2301" s="127">
        <v>44824</v>
      </c>
      <c r="B2301" s="128" t="s">
        <v>30399</v>
      </c>
      <c r="C2301" s="194" t="s">
        <v>450</v>
      </c>
      <c r="D2301" s="195">
        <v>714</v>
      </c>
      <c r="E2301" s="196">
        <v>44824</v>
      </c>
      <c r="F2301" s="195">
        <v>714</v>
      </c>
      <c r="G2301" s="197">
        <f>Tabla110[[#This Row],[Importe]]-Tabla110[[#This Row],[Pagado]]</f>
        <v>0</v>
      </c>
      <c r="H2301" s="194" t="s">
        <v>10</v>
      </c>
    </row>
    <row r="2302" spans="1:8" x14ac:dyDescent="0.25">
      <c r="A2302" s="127">
        <v>44824</v>
      </c>
      <c r="B2302" s="128" t="s">
        <v>30400</v>
      </c>
      <c r="C2302" s="194" t="s">
        <v>31</v>
      </c>
      <c r="D2302" s="195">
        <v>283.5</v>
      </c>
      <c r="E2302" s="196">
        <v>44824</v>
      </c>
      <c r="F2302" s="195">
        <v>283.5</v>
      </c>
      <c r="G2302" s="197">
        <f>Tabla110[[#This Row],[Importe]]-Tabla110[[#This Row],[Pagado]]</f>
        <v>0</v>
      </c>
      <c r="H2302" s="194" t="s">
        <v>10</v>
      </c>
    </row>
    <row r="2303" spans="1:8" x14ac:dyDescent="0.25">
      <c r="A2303" s="127">
        <v>44824</v>
      </c>
      <c r="B2303" s="128" t="s">
        <v>30401</v>
      </c>
      <c r="C2303" s="194" t="s">
        <v>10678</v>
      </c>
      <c r="D2303" s="195">
        <v>2939.5</v>
      </c>
      <c r="E2303" s="196">
        <v>44824</v>
      </c>
      <c r="F2303" s="195">
        <v>2939.5</v>
      </c>
      <c r="G2303" s="197">
        <f>Tabla110[[#This Row],[Importe]]-Tabla110[[#This Row],[Pagado]]</f>
        <v>0</v>
      </c>
      <c r="H2303" s="194" t="s">
        <v>10</v>
      </c>
    </row>
    <row r="2304" spans="1:8" x14ac:dyDescent="0.25">
      <c r="A2304" s="127">
        <v>44824</v>
      </c>
      <c r="B2304" s="128" t="s">
        <v>30402</v>
      </c>
      <c r="C2304" s="194" t="s">
        <v>21085</v>
      </c>
      <c r="D2304" s="195">
        <v>38000</v>
      </c>
      <c r="E2304" s="196">
        <v>44824</v>
      </c>
      <c r="F2304" s="195">
        <v>38000</v>
      </c>
      <c r="G2304" s="197">
        <f>Tabla110[[#This Row],[Importe]]-Tabla110[[#This Row],[Pagado]]</f>
        <v>0</v>
      </c>
      <c r="H2304" s="194" t="s">
        <v>10</v>
      </c>
    </row>
    <row r="2305" spans="1:8" x14ac:dyDescent="0.25">
      <c r="A2305" s="127">
        <v>44824</v>
      </c>
      <c r="B2305" s="128" t="s">
        <v>30403</v>
      </c>
      <c r="C2305" s="194" t="s">
        <v>30404</v>
      </c>
      <c r="D2305" s="195">
        <v>0</v>
      </c>
      <c r="E2305" s="199" t="s">
        <v>189</v>
      </c>
      <c r="F2305" s="195">
        <v>0</v>
      </c>
      <c r="G2305" s="197">
        <f>Tabla110[[#This Row],[Importe]]-Tabla110[[#This Row],[Pagado]]</f>
        <v>0</v>
      </c>
      <c r="H2305" s="200" t="s">
        <v>30405</v>
      </c>
    </row>
    <row r="2306" spans="1:8" x14ac:dyDescent="0.25">
      <c r="A2306" s="127">
        <v>44824</v>
      </c>
      <c r="B2306" s="128" t="s">
        <v>30406</v>
      </c>
      <c r="C2306" s="194" t="s">
        <v>31</v>
      </c>
      <c r="D2306" s="195">
        <v>1615.2</v>
      </c>
      <c r="E2306" s="196">
        <v>44824</v>
      </c>
      <c r="F2306" s="195">
        <v>1615.2</v>
      </c>
      <c r="G2306" s="197">
        <f>Tabla110[[#This Row],[Importe]]-Tabla110[[#This Row],[Pagado]]</f>
        <v>0</v>
      </c>
      <c r="H2306" s="194" t="s">
        <v>10</v>
      </c>
    </row>
    <row r="2307" spans="1:8" x14ac:dyDescent="0.25">
      <c r="A2307" s="127">
        <v>44824</v>
      </c>
      <c r="B2307" s="128" t="s">
        <v>30407</v>
      </c>
      <c r="C2307" s="194" t="s">
        <v>18376</v>
      </c>
      <c r="D2307" s="195">
        <v>616</v>
      </c>
      <c r="E2307" s="196">
        <v>44824</v>
      </c>
      <c r="F2307" s="195">
        <v>616</v>
      </c>
      <c r="G2307" s="197">
        <f>Tabla110[[#This Row],[Importe]]-Tabla110[[#This Row],[Pagado]]</f>
        <v>0</v>
      </c>
      <c r="H2307" s="194" t="s">
        <v>10</v>
      </c>
    </row>
    <row r="2308" spans="1:8" x14ac:dyDescent="0.25">
      <c r="A2308" s="127">
        <v>44824</v>
      </c>
      <c r="B2308" s="128" t="s">
        <v>30408</v>
      </c>
      <c r="C2308" s="194" t="s">
        <v>214</v>
      </c>
      <c r="D2308" s="195">
        <v>8942</v>
      </c>
      <c r="E2308" s="196">
        <v>44825</v>
      </c>
      <c r="F2308" s="195">
        <v>8942</v>
      </c>
      <c r="G2308" s="197">
        <f>Tabla110[[#This Row],[Importe]]-Tabla110[[#This Row],[Pagado]]</f>
        <v>0</v>
      </c>
      <c r="H2308" s="194" t="s">
        <v>10</v>
      </c>
    </row>
    <row r="2309" spans="1:8" x14ac:dyDescent="0.25">
      <c r="A2309" s="127">
        <v>44824</v>
      </c>
      <c r="B2309" s="128" t="s">
        <v>30409</v>
      </c>
      <c r="C2309" s="194" t="s">
        <v>296</v>
      </c>
      <c r="D2309" s="195">
        <v>3465</v>
      </c>
      <c r="E2309" s="196">
        <v>44824</v>
      </c>
      <c r="F2309" s="195">
        <v>3465</v>
      </c>
      <c r="G2309" s="197">
        <f>Tabla110[[#This Row],[Importe]]-Tabla110[[#This Row],[Pagado]]</f>
        <v>0</v>
      </c>
      <c r="H2309" s="194" t="s">
        <v>10</v>
      </c>
    </row>
    <row r="2310" spans="1:8" x14ac:dyDescent="0.25">
      <c r="A2310" s="127">
        <v>44824</v>
      </c>
      <c r="B2310" s="128" t="s">
        <v>30410</v>
      </c>
      <c r="C2310" s="194" t="s">
        <v>843</v>
      </c>
      <c r="D2310" s="195">
        <v>8000</v>
      </c>
      <c r="E2310" s="196">
        <v>44824</v>
      </c>
      <c r="F2310" s="195">
        <v>8000</v>
      </c>
      <c r="G2310" s="197">
        <f>Tabla110[[#This Row],[Importe]]-Tabla110[[#This Row],[Pagado]]</f>
        <v>0</v>
      </c>
      <c r="H2310" s="194" t="s">
        <v>10</v>
      </c>
    </row>
    <row r="2311" spans="1:8" x14ac:dyDescent="0.25">
      <c r="A2311" s="127">
        <v>44824</v>
      </c>
      <c r="B2311" s="128" t="s">
        <v>30411</v>
      </c>
      <c r="C2311" s="194" t="s">
        <v>273</v>
      </c>
      <c r="D2311" s="195">
        <v>3236.2</v>
      </c>
      <c r="E2311" s="196">
        <v>44825</v>
      </c>
      <c r="F2311" s="195">
        <v>3236.2</v>
      </c>
      <c r="G2311" s="197">
        <f>Tabla110[[#This Row],[Importe]]-Tabla110[[#This Row],[Pagado]]</f>
        <v>0</v>
      </c>
      <c r="H2311" s="194" t="s">
        <v>10</v>
      </c>
    </row>
    <row r="2312" spans="1:8" x14ac:dyDescent="0.25">
      <c r="A2312" s="127">
        <v>44824</v>
      </c>
      <c r="B2312" s="128" t="s">
        <v>30412</v>
      </c>
      <c r="C2312" s="194" t="s">
        <v>53</v>
      </c>
      <c r="D2312" s="195">
        <v>2628.6</v>
      </c>
      <c r="E2312" s="196">
        <v>44824</v>
      </c>
      <c r="F2312" s="195">
        <v>2628.6</v>
      </c>
      <c r="G2312" s="197">
        <f>Tabla110[[#This Row],[Importe]]-Tabla110[[#This Row],[Pagado]]</f>
        <v>0</v>
      </c>
      <c r="H2312" s="194" t="s">
        <v>10</v>
      </c>
    </row>
    <row r="2313" spans="1:8" x14ac:dyDescent="0.25">
      <c r="A2313" s="127">
        <v>44824</v>
      </c>
      <c r="B2313" s="128" t="s">
        <v>30413</v>
      </c>
      <c r="C2313" s="194" t="s">
        <v>51</v>
      </c>
      <c r="D2313" s="195">
        <v>655.20000000000005</v>
      </c>
      <c r="E2313" s="196">
        <v>44824</v>
      </c>
      <c r="F2313" s="195">
        <v>655.20000000000005</v>
      </c>
      <c r="G2313" s="197">
        <f>Tabla110[[#This Row],[Importe]]-Tabla110[[#This Row],[Pagado]]</f>
        <v>0</v>
      </c>
      <c r="H2313" s="194" t="s">
        <v>10</v>
      </c>
    </row>
    <row r="2314" spans="1:8" x14ac:dyDescent="0.25">
      <c r="A2314" s="127">
        <v>44824</v>
      </c>
      <c r="B2314" s="128" t="s">
        <v>30414</v>
      </c>
      <c r="C2314" s="194" t="s">
        <v>1350</v>
      </c>
      <c r="D2314" s="195">
        <v>845.6</v>
      </c>
      <c r="E2314" s="196">
        <v>44824</v>
      </c>
      <c r="F2314" s="195">
        <v>845.6</v>
      </c>
      <c r="G2314" s="197">
        <f>Tabla110[[#This Row],[Importe]]-Tabla110[[#This Row],[Pagado]]</f>
        <v>0</v>
      </c>
      <c r="H2314" s="194" t="s">
        <v>10</v>
      </c>
    </row>
    <row r="2315" spans="1:8" x14ac:dyDescent="0.25">
      <c r="A2315" s="127">
        <v>44824</v>
      </c>
      <c r="B2315" s="128" t="s">
        <v>30415</v>
      </c>
      <c r="C2315" s="194" t="s">
        <v>30416</v>
      </c>
      <c r="D2315" s="195">
        <v>8360</v>
      </c>
      <c r="E2315" s="196">
        <v>44824</v>
      </c>
      <c r="F2315" s="195">
        <v>8360</v>
      </c>
      <c r="G2315" s="197">
        <f>Tabla110[[#This Row],[Importe]]-Tabla110[[#This Row],[Pagado]]</f>
        <v>0</v>
      </c>
      <c r="H2315" s="194" t="s">
        <v>10</v>
      </c>
    </row>
    <row r="2316" spans="1:8" x14ac:dyDescent="0.25">
      <c r="A2316" s="127">
        <v>44824</v>
      </c>
      <c r="B2316" s="128" t="s">
        <v>30417</v>
      </c>
      <c r="C2316" s="194" t="s">
        <v>196</v>
      </c>
      <c r="D2316" s="195">
        <v>150680.32000000001</v>
      </c>
      <c r="E2316" s="196">
        <v>44827</v>
      </c>
      <c r="F2316" s="195">
        <v>150680.32000000001</v>
      </c>
      <c r="G2316" s="197">
        <f>Tabla110[[#This Row],[Importe]]-Tabla110[[#This Row],[Pagado]]</f>
        <v>0</v>
      </c>
      <c r="H2316" s="194" t="s">
        <v>10</v>
      </c>
    </row>
    <row r="2317" spans="1:8" x14ac:dyDescent="0.25">
      <c r="A2317" s="127">
        <v>44824</v>
      </c>
      <c r="B2317" s="128" t="s">
        <v>30418</v>
      </c>
      <c r="C2317" s="194" t="s">
        <v>433</v>
      </c>
      <c r="D2317" s="195">
        <v>22500</v>
      </c>
      <c r="E2317" s="196">
        <v>44824</v>
      </c>
      <c r="F2317" s="195">
        <v>22500</v>
      </c>
      <c r="G2317" s="197">
        <f>Tabla110[[#This Row],[Importe]]-Tabla110[[#This Row],[Pagado]]</f>
        <v>0</v>
      </c>
      <c r="H2317" s="194" t="s">
        <v>10</v>
      </c>
    </row>
    <row r="2318" spans="1:8" x14ac:dyDescent="0.25">
      <c r="A2318" s="127">
        <v>44824</v>
      </c>
      <c r="B2318" s="128" t="s">
        <v>30419</v>
      </c>
      <c r="C2318" s="194" t="s">
        <v>414</v>
      </c>
      <c r="D2318" s="195">
        <v>432764.25</v>
      </c>
      <c r="E2318" s="196">
        <v>44839</v>
      </c>
      <c r="F2318" s="195">
        <v>432764.25</v>
      </c>
      <c r="G2318" s="197">
        <f>Tabla110[[#This Row],[Importe]]-Tabla110[[#This Row],[Pagado]]</f>
        <v>0</v>
      </c>
      <c r="H2318" s="194" t="s">
        <v>10</v>
      </c>
    </row>
    <row r="2319" spans="1:8" x14ac:dyDescent="0.25">
      <c r="A2319" s="127">
        <v>44824</v>
      </c>
      <c r="B2319" s="128" t="s">
        <v>30420</v>
      </c>
      <c r="C2319" s="194" t="s">
        <v>56</v>
      </c>
      <c r="D2319" s="195">
        <v>8550</v>
      </c>
      <c r="E2319" s="196">
        <v>44824</v>
      </c>
      <c r="F2319" s="195">
        <v>8550</v>
      </c>
      <c r="G2319" s="197">
        <f>Tabla110[[#This Row],[Importe]]-Tabla110[[#This Row],[Pagado]]</f>
        <v>0</v>
      </c>
      <c r="H2319" s="194" t="s">
        <v>10</v>
      </c>
    </row>
    <row r="2320" spans="1:8" x14ac:dyDescent="0.25">
      <c r="A2320" s="127">
        <v>44824</v>
      </c>
      <c r="B2320" s="128" t="s">
        <v>30421</v>
      </c>
      <c r="C2320" s="194" t="s">
        <v>3747</v>
      </c>
      <c r="D2320" s="195">
        <v>16533</v>
      </c>
      <c r="E2320" s="196">
        <v>44824</v>
      </c>
      <c r="F2320" s="195">
        <v>16533</v>
      </c>
      <c r="G2320" s="197">
        <f>Tabla110[[#This Row],[Importe]]-Tabla110[[#This Row],[Pagado]]</f>
        <v>0</v>
      </c>
      <c r="H2320" s="194" t="s">
        <v>10</v>
      </c>
    </row>
    <row r="2321" spans="1:8" x14ac:dyDescent="0.25">
      <c r="A2321" s="127">
        <v>44825</v>
      </c>
      <c r="B2321" s="128" t="s">
        <v>30422</v>
      </c>
      <c r="C2321" s="194" t="s">
        <v>887</v>
      </c>
      <c r="D2321" s="195">
        <v>16488.7</v>
      </c>
      <c r="E2321" s="196">
        <v>44825</v>
      </c>
      <c r="F2321" s="195">
        <v>16488.7</v>
      </c>
      <c r="G2321" s="197">
        <f>Tabla110[[#This Row],[Importe]]-Tabla110[[#This Row],[Pagado]]</f>
        <v>0</v>
      </c>
      <c r="H2321" s="194" t="s">
        <v>10</v>
      </c>
    </row>
    <row r="2322" spans="1:8" x14ac:dyDescent="0.25">
      <c r="A2322" s="127">
        <v>44825</v>
      </c>
      <c r="B2322" s="128" t="s">
        <v>30423</v>
      </c>
      <c r="C2322" s="194" t="s">
        <v>475</v>
      </c>
      <c r="D2322" s="195">
        <v>108050.6</v>
      </c>
      <c r="E2322" s="196">
        <v>44826</v>
      </c>
      <c r="F2322" s="195">
        <v>108050.6</v>
      </c>
      <c r="G2322" s="197">
        <f>Tabla110[[#This Row],[Importe]]-Tabla110[[#This Row],[Pagado]]</f>
        <v>0</v>
      </c>
      <c r="H2322" s="194" t="s">
        <v>10</v>
      </c>
    </row>
    <row r="2323" spans="1:8" x14ac:dyDescent="0.25">
      <c r="A2323" s="127">
        <v>44825</v>
      </c>
      <c r="B2323" s="128" t="s">
        <v>30424</v>
      </c>
      <c r="C2323" s="194" t="s">
        <v>12</v>
      </c>
      <c r="D2323" s="195">
        <v>15530.25</v>
      </c>
      <c r="E2323" s="196">
        <v>44826</v>
      </c>
      <c r="F2323" s="195">
        <v>15530.25</v>
      </c>
      <c r="G2323" s="197">
        <f>Tabla110[[#This Row],[Importe]]-Tabla110[[#This Row],[Pagado]]</f>
        <v>0</v>
      </c>
      <c r="H2323" s="194" t="s">
        <v>10</v>
      </c>
    </row>
    <row r="2324" spans="1:8" x14ac:dyDescent="0.25">
      <c r="A2324" s="127">
        <v>44825</v>
      </c>
      <c r="B2324" s="128" t="s">
        <v>30425</v>
      </c>
      <c r="C2324" s="194" t="s">
        <v>79</v>
      </c>
      <c r="D2324" s="195">
        <v>6353.6</v>
      </c>
      <c r="E2324" s="196">
        <v>44825</v>
      </c>
      <c r="F2324" s="195">
        <v>6353.6</v>
      </c>
      <c r="G2324" s="197">
        <f>Tabla110[[#This Row],[Importe]]-Tabla110[[#This Row],[Pagado]]</f>
        <v>0</v>
      </c>
      <c r="H2324" s="194" t="s">
        <v>10</v>
      </c>
    </row>
    <row r="2325" spans="1:8" x14ac:dyDescent="0.25">
      <c r="A2325" s="127">
        <v>44825</v>
      </c>
      <c r="B2325" s="128" t="s">
        <v>30426</v>
      </c>
      <c r="C2325" s="194" t="s">
        <v>22</v>
      </c>
      <c r="D2325" s="195">
        <v>27245.599999999999</v>
      </c>
      <c r="E2325" s="196">
        <v>44826</v>
      </c>
      <c r="F2325" s="195">
        <v>27245.599999999999</v>
      </c>
      <c r="G2325" s="197">
        <f>Tabla110[[#This Row],[Importe]]-Tabla110[[#This Row],[Pagado]]</f>
        <v>0</v>
      </c>
      <c r="H2325" s="194" t="s">
        <v>10</v>
      </c>
    </row>
    <row r="2326" spans="1:8" x14ac:dyDescent="0.25">
      <c r="A2326" s="127">
        <v>44825</v>
      </c>
      <c r="B2326" s="128" t="s">
        <v>30427</v>
      </c>
      <c r="C2326" s="194" t="s">
        <v>89</v>
      </c>
      <c r="D2326" s="195">
        <v>11052</v>
      </c>
      <c r="E2326" s="196">
        <v>44826</v>
      </c>
      <c r="F2326" s="195">
        <v>11052</v>
      </c>
      <c r="G2326" s="197">
        <f>Tabla110[[#This Row],[Importe]]-Tabla110[[#This Row],[Pagado]]</f>
        <v>0</v>
      </c>
      <c r="H2326" s="194" t="s">
        <v>10</v>
      </c>
    </row>
    <row r="2327" spans="1:8" x14ac:dyDescent="0.25">
      <c r="A2327" s="127">
        <v>44825</v>
      </c>
      <c r="B2327" s="128" t="s">
        <v>30428</v>
      </c>
      <c r="C2327" s="194" t="s">
        <v>105</v>
      </c>
      <c r="D2327" s="195">
        <v>14138.5</v>
      </c>
      <c r="E2327" s="196">
        <v>44826</v>
      </c>
      <c r="F2327" s="195">
        <v>14138.5</v>
      </c>
      <c r="G2327" s="197">
        <f>Tabla110[[#This Row],[Importe]]-Tabla110[[#This Row],[Pagado]]</f>
        <v>0</v>
      </c>
      <c r="H2327" s="194" t="s">
        <v>10</v>
      </c>
    </row>
    <row r="2328" spans="1:8" x14ac:dyDescent="0.25">
      <c r="A2328" s="127">
        <v>44825</v>
      </c>
      <c r="B2328" s="128" t="s">
        <v>30429</v>
      </c>
      <c r="C2328" s="194" t="s">
        <v>1187</v>
      </c>
      <c r="D2328" s="195">
        <v>1591.2</v>
      </c>
      <c r="E2328" s="196">
        <v>44825</v>
      </c>
      <c r="F2328" s="195">
        <v>1591.2</v>
      </c>
      <c r="G2328" s="197">
        <f>Tabla110[[#This Row],[Importe]]-Tabla110[[#This Row],[Pagado]]</f>
        <v>0</v>
      </c>
      <c r="H2328" s="194" t="s">
        <v>10</v>
      </c>
    </row>
    <row r="2329" spans="1:8" x14ac:dyDescent="0.25">
      <c r="A2329" s="127">
        <v>44825</v>
      </c>
      <c r="B2329" s="128" t="s">
        <v>30430</v>
      </c>
      <c r="C2329" s="194" t="s">
        <v>326</v>
      </c>
      <c r="D2329" s="195">
        <v>2136</v>
      </c>
      <c r="E2329" s="196">
        <v>44826</v>
      </c>
      <c r="F2329" s="195">
        <v>2136</v>
      </c>
      <c r="G2329" s="197">
        <f>Tabla110[[#This Row],[Importe]]-Tabla110[[#This Row],[Pagado]]</f>
        <v>0</v>
      </c>
      <c r="H2329" s="194" t="s">
        <v>10</v>
      </c>
    </row>
    <row r="2330" spans="1:8" x14ac:dyDescent="0.25">
      <c r="A2330" s="127">
        <v>44825</v>
      </c>
      <c r="B2330" s="128" t="s">
        <v>30431</v>
      </c>
      <c r="C2330" s="194" t="s">
        <v>348</v>
      </c>
      <c r="D2330" s="195">
        <v>6900</v>
      </c>
      <c r="E2330" s="196">
        <v>44825</v>
      </c>
      <c r="F2330" s="195">
        <v>6900</v>
      </c>
      <c r="G2330" s="197">
        <f>Tabla110[[#This Row],[Importe]]-Tabla110[[#This Row],[Pagado]]</f>
        <v>0</v>
      </c>
      <c r="H2330" s="194" t="s">
        <v>10</v>
      </c>
    </row>
    <row r="2331" spans="1:8" x14ac:dyDescent="0.25">
      <c r="A2331" s="127">
        <v>44825</v>
      </c>
      <c r="B2331" s="128" t="s">
        <v>30432</v>
      </c>
      <c r="C2331" s="194" t="s">
        <v>64</v>
      </c>
      <c r="D2331" s="195">
        <v>5286.3</v>
      </c>
      <c r="E2331" s="196">
        <v>44827</v>
      </c>
      <c r="F2331" s="195">
        <v>5286.3</v>
      </c>
      <c r="G2331" s="197">
        <f>Tabla110[[#This Row],[Importe]]-Tabla110[[#This Row],[Pagado]]</f>
        <v>0</v>
      </c>
      <c r="H2331" s="194" t="s">
        <v>10</v>
      </c>
    </row>
    <row r="2332" spans="1:8" x14ac:dyDescent="0.25">
      <c r="A2332" s="127">
        <v>44825</v>
      </c>
      <c r="B2332" s="128" t="s">
        <v>30433</v>
      </c>
      <c r="C2332" s="194" t="s">
        <v>97</v>
      </c>
      <c r="D2332" s="195">
        <v>7093.4</v>
      </c>
      <c r="E2332" s="196">
        <v>44827</v>
      </c>
      <c r="F2332" s="195">
        <v>7093.4</v>
      </c>
      <c r="G2332" s="197">
        <f>Tabla110[[#This Row],[Importe]]-Tabla110[[#This Row],[Pagado]]</f>
        <v>0</v>
      </c>
      <c r="H2332" s="194" t="s">
        <v>10</v>
      </c>
    </row>
    <row r="2333" spans="1:8" x14ac:dyDescent="0.25">
      <c r="A2333" s="127">
        <v>44825</v>
      </c>
      <c r="B2333" s="128" t="s">
        <v>30434</v>
      </c>
      <c r="C2333" s="194" t="s">
        <v>95</v>
      </c>
      <c r="D2333" s="195">
        <v>29650</v>
      </c>
      <c r="E2333" s="196">
        <v>44825</v>
      </c>
      <c r="F2333" s="195">
        <v>29650</v>
      </c>
      <c r="G2333" s="197">
        <f>Tabla110[[#This Row],[Importe]]-Tabla110[[#This Row],[Pagado]]</f>
        <v>0</v>
      </c>
      <c r="H2333" s="194" t="s">
        <v>10</v>
      </c>
    </row>
    <row r="2334" spans="1:8" x14ac:dyDescent="0.25">
      <c r="A2334" s="127">
        <v>44825</v>
      </c>
      <c r="B2334" s="128" t="s">
        <v>30435</v>
      </c>
      <c r="C2334" s="194" t="s">
        <v>18</v>
      </c>
      <c r="D2334" s="195">
        <v>1638</v>
      </c>
      <c r="E2334" s="196">
        <v>44825</v>
      </c>
      <c r="F2334" s="195">
        <v>1638</v>
      </c>
      <c r="G2334" s="197">
        <f>Tabla110[[#This Row],[Importe]]-Tabla110[[#This Row],[Pagado]]</f>
        <v>0</v>
      </c>
      <c r="H2334" s="194" t="s">
        <v>10</v>
      </c>
    </row>
    <row r="2335" spans="1:8" x14ac:dyDescent="0.25">
      <c r="A2335" s="127">
        <v>44825</v>
      </c>
      <c r="B2335" s="128" t="s">
        <v>30436</v>
      </c>
      <c r="C2335" s="194" t="s">
        <v>1237</v>
      </c>
      <c r="D2335" s="195">
        <v>53603.86</v>
      </c>
      <c r="E2335" s="196">
        <v>44825</v>
      </c>
      <c r="F2335" s="195">
        <v>53603.86</v>
      </c>
      <c r="G2335" s="197">
        <f>Tabla110[[#This Row],[Importe]]-Tabla110[[#This Row],[Pagado]]</f>
        <v>0</v>
      </c>
      <c r="H2335" s="194" t="s">
        <v>10</v>
      </c>
    </row>
    <row r="2336" spans="1:8" x14ac:dyDescent="0.25">
      <c r="A2336" s="127">
        <v>44825</v>
      </c>
      <c r="B2336" s="128" t="s">
        <v>30437</v>
      </c>
      <c r="C2336" s="194" t="s">
        <v>83</v>
      </c>
      <c r="D2336" s="195">
        <v>5832</v>
      </c>
      <c r="E2336" s="196">
        <v>44825</v>
      </c>
      <c r="F2336" s="195">
        <v>5832</v>
      </c>
      <c r="G2336" s="197">
        <f>Tabla110[[#This Row],[Importe]]-Tabla110[[#This Row],[Pagado]]</f>
        <v>0</v>
      </c>
      <c r="H2336" s="194" t="s">
        <v>10</v>
      </c>
    </row>
    <row r="2337" spans="1:8" x14ac:dyDescent="0.25">
      <c r="A2337" s="127">
        <v>44825</v>
      </c>
      <c r="B2337" s="128" t="s">
        <v>30438</v>
      </c>
      <c r="C2337" s="194" t="s">
        <v>87</v>
      </c>
      <c r="D2337" s="195">
        <v>2784</v>
      </c>
      <c r="E2337" s="196">
        <v>44825</v>
      </c>
      <c r="F2337" s="195">
        <v>2784</v>
      </c>
      <c r="G2337" s="197">
        <f>Tabla110[[#This Row],[Importe]]-Tabla110[[#This Row],[Pagado]]</f>
        <v>0</v>
      </c>
      <c r="H2337" s="194" t="s">
        <v>10</v>
      </c>
    </row>
    <row r="2338" spans="1:8" x14ac:dyDescent="0.25">
      <c r="A2338" s="127">
        <v>44825</v>
      </c>
      <c r="B2338" s="128" t="s">
        <v>30439</v>
      </c>
      <c r="C2338" s="194" t="s">
        <v>206</v>
      </c>
      <c r="D2338" s="195">
        <v>18411.900000000001</v>
      </c>
      <c r="E2338" s="196">
        <v>44828</v>
      </c>
      <c r="F2338" s="195">
        <v>18411.900000000001</v>
      </c>
      <c r="G2338" s="197">
        <f>Tabla110[[#This Row],[Importe]]-Tabla110[[#This Row],[Pagado]]</f>
        <v>0</v>
      </c>
      <c r="H2338" s="194" t="s">
        <v>10</v>
      </c>
    </row>
    <row r="2339" spans="1:8" x14ac:dyDescent="0.25">
      <c r="A2339" s="127">
        <v>44825</v>
      </c>
      <c r="B2339" s="128" t="s">
        <v>30440</v>
      </c>
      <c r="C2339" s="194" t="s">
        <v>146</v>
      </c>
      <c r="D2339" s="195">
        <v>5436.2</v>
      </c>
      <c r="E2339" s="196">
        <v>44825</v>
      </c>
      <c r="F2339" s="195">
        <v>5436.2</v>
      </c>
      <c r="G2339" s="197">
        <f>Tabla110[[#This Row],[Importe]]-Tabla110[[#This Row],[Pagado]]</f>
        <v>0</v>
      </c>
      <c r="H2339" s="194" t="s">
        <v>10</v>
      </c>
    </row>
    <row r="2340" spans="1:8" x14ac:dyDescent="0.25">
      <c r="A2340" s="127">
        <v>44825</v>
      </c>
      <c r="B2340" s="128" t="s">
        <v>30441</v>
      </c>
      <c r="C2340" s="194" t="s">
        <v>17556</v>
      </c>
      <c r="D2340" s="195">
        <v>4096.1000000000004</v>
      </c>
      <c r="E2340" s="196">
        <v>44825</v>
      </c>
      <c r="F2340" s="195">
        <v>4096.1000000000004</v>
      </c>
      <c r="G2340" s="197">
        <f>Tabla110[[#This Row],[Importe]]-Tabla110[[#This Row],[Pagado]]</f>
        <v>0</v>
      </c>
      <c r="H2340" s="194" t="s">
        <v>10</v>
      </c>
    </row>
    <row r="2341" spans="1:8" x14ac:dyDescent="0.25">
      <c r="A2341" s="127">
        <v>44825</v>
      </c>
      <c r="B2341" s="128" t="s">
        <v>30442</v>
      </c>
      <c r="C2341" s="194" t="s">
        <v>31</v>
      </c>
      <c r="D2341" s="195">
        <v>4771.6000000000004</v>
      </c>
      <c r="E2341" s="196">
        <v>44825</v>
      </c>
      <c r="F2341" s="195">
        <v>4771.6000000000004</v>
      </c>
      <c r="G2341" s="197">
        <f>Tabla110[[#This Row],[Importe]]-Tabla110[[#This Row],[Pagado]]</f>
        <v>0</v>
      </c>
      <c r="H2341" s="194" t="s">
        <v>10</v>
      </c>
    </row>
    <row r="2342" spans="1:8" x14ac:dyDescent="0.25">
      <c r="A2342" s="127">
        <v>44825</v>
      </c>
      <c r="B2342" s="128" t="s">
        <v>30443</v>
      </c>
      <c r="C2342" s="194" t="s">
        <v>31</v>
      </c>
      <c r="D2342" s="195">
        <v>8249.1</v>
      </c>
      <c r="E2342" s="196">
        <v>44825</v>
      </c>
      <c r="F2342" s="195">
        <v>8249.1</v>
      </c>
      <c r="G2342" s="197">
        <f>Tabla110[[#This Row],[Importe]]-Tabla110[[#This Row],[Pagado]]</f>
        <v>0</v>
      </c>
      <c r="H2342" s="194" t="s">
        <v>10</v>
      </c>
    </row>
    <row r="2343" spans="1:8" x14ac:dyDescent="0.25">
      <c r="A2343" s="127">
        <v>44825</v>
      </c>
      <c r="B2343" s="128" t="s">
        <v>30444</v>
      </c>
      <c r="C2343" s="194" t="s">
        <v>9</v>
      </c>
      <c r="D2343" s="195">
        <v>6675.5</v>
      </c>
      <c r="E2343" s="196">
        <v>44825</v>
      </c>
      <c r="F2343" s="195">
        <v>6675.5</v>
      </c>
      <c r="G2343" s="197">
        <f>Tabla110[[#This Row],[Importe]]-Tabla110[[#This Row],[Pagado]]</f>
        <v>0</v>
      </c>
      <c r="H2343" s="194" t="s">
        <v>10</v>
      </c>
    </row>
    <row r="2344" spans="1:8" x14ac:dyDescent="0.25">
      <c r="A2344" s="127">
        <v>44825</v>
      </c>
      <c r="B2344" s="128" t="s">
        <v>30445</v>
      </c>
      <c r="C2344" s="194" t="s">
        <v>154</v>
      </c>
      <c r="D2344" s="195">
        <v>40080.800000000003</v>
      </c>
      <c r="E2344" s="196">
        <v>44831</v>
      </c>
      <c r="F2344" s="195">
        <v>40080.800000000003</v>
      </c>
      <c r="G2344" s="197">
        <f>Tabla110[[#This Row],[Importe]]-Tabla110[[#This Row],[Pagado]]</f>
        <v>0</v>
      </c>
      <c r="H2344" s="194" t="s">
        <v>10</v>
      </c>
    </row>
    <row r="2345" spans="1:8" x14ac:dyDescent="0.25">
      <c r="A2345" s="127">
        <v>44825</v>
      </c>
      <c r="B2345" s="128" t="s">
        <v>30446</v>
      </c>
      <c r="C2345" s="194" t="s">
        <v>9415</v>
      </c>
      <c r="D2345" s="195">
        <v>2100</v>
      </c>
      <c r="E2345" s="196">
        <v>44825</v>
      </c>
      <c r="F2345" s="195">
        <v>2100</v>
      </c>
      <c r="G2345" s="197">
        <f>Tabla110[[#This Row],[Importe]]-Tabla110[[#This Row],[Pagado]]</f>
        <v>0</v>
      </c>
      <c r="H2345" s="194" t="s">
        <v>10</v>
      </c>
    </row>
    <row r="2346" spans="1:8" x14ac:dyDescent="0.25">
      <c r="A2346" s="127">
        <v>44825</v>
      </c>
      <c r="B2346" s="128" t="s">
        <v>30447</v>
      </c>
      <c r="C2346" s="194" t="s">
        <v>218</v>
      </c>
      <c r="D2346" s="195">
        <v>26261.9</v>
      </c>
      <c r="E2346" s="196">
        <v>44828</v>
      </c>
      <c r="F2346" s="195">
        <v>26261.9</v>
      </c>
      <c r="G2346" s="197">
        <f>Tabla110[[#This Row],[Importe]]-Tabla110[[#This Row],[Pagado]]</f>
        <v>0</v>
      </c>
      <c r="H2346" s="194" t="s">
        <v>10</v>
      </c>
    </row>
    <row r="2347" spans="1:8" x14ac:dyDescent="0.25">
      <c r="A2347" s="127">
        <v>44825</v>
      </c>
      <c r="B2347" s="128" t="s">
        <v>30448</v>
      </c>
      <c r="C2347" s="194" t="s">
        <v>24</v>
      </c>
      <c r="D2347" s="195">
        <v>4362.3999999999996</v>
      </c>
      <c r="E2347" s="196">
        <v>44825</v>
      </c>
      <c r="F2347" s="195">
        <v>4362.3999999999996</v>
      </c>
      <c r="G2347" s="197">
        <f>Tabla110[[#This Row],[Importe]]-Tabla110[[#This Row],[Pagado]]</f>
        <v>0</v>
      </c>
      <c r="H2347" s="194" t="s">
        <v>10</v>
      </c>
    </row>
    <row r="2348" spans="1:8" x14ac:dyDescent="0.25">
      <c r="A2348" s="127">
        <v>44825</v>
      </c>
      <c r="B2348" s="128" t="s">
        <v>30449</v>
      </c>
      <c r="C2348" s="194" t="s">
        <v>357</v>
      </c>
      <c r="D2348" s="195">
        <v>600.6</v>
      </c>
      <c r="E2348" s="196">
        <v>44825</v>
      </c>
      <c r="F2348" s="195">
        <v>600.6</v>
      </c>
      <c r="G2348" s="197">
        <f>Tabla110[[#This Row],[Importe]]-Tabla110[[#This Row],[Pagado]]</f>
        <v>0</v>
      </c>
      <c r="H2348" s="194" t="s">
        <v>10</v>
      </c>
    </row>
    <row r="2349" spans="1:8" x14ac:dyDescent="0.25">
      <c r="A2349" s="127">
        <v>44825</v>
      </c>
      <c r="B2349" s="128" t="s">
        <v>30450</v>
      </c>
      <c r="C2349" s="194" t="s">
        <v>9415</v>
      </c>
      <c r="D2349" s="195">
        <v>4833.6000000000004</v>
      </c>
      <c r="E2349" s="196">
        <v>44826</v>
      </c>
      <c r="F2349" s="195">
        <v>4833.6000000000004</v>
      </c>
      <c r="G2349" s="197">
        <f>Tabla110[[#This Row],[Importe]]-Tabla110[[#This Row],[Pagado]]</f>
        <v>0</v>
      </c>
      <c r="H2349" s="194" t="s">
        <v>10</v>
      </c>
    </row>
    <row r="2350" spans="1:8" x14ac:dyDescent="0.25">
      <c r="A2350" s="127">
        <v>44825</v>
      </c>
      <c r="B2350" s="128" t="s">
        <v>30451</v>
      </c>
      <c r="C2350" s="194" t="s">
        <v>129</v>
      </c>
      <c r="D2350" s="195">
        <v>2723.8</v>
      </c>
      <c r="E2350" s="196">
        <v>44825</v>
      </c>
      <c r="F2350" s="195">
        <v>2723.8</v>
      </c>
      <c r="G2350" s="197">
        <f>Tabla110[[#This Row],[Importe]]-Tabla110[[#This Row],[Pagado]]</f>
        <v>0</v>
      </c>
      <c r="H2350" s="194" t="s">
        <v>10</v>
      </c>
    </row>
    <row r="2351" spans="1:8" x14ac:dyDescent="0.25">
      <c r="A2351" s="127">
        <v>44825</v>
      </c>
      <c r="B2351" s="128" t="s">
        <v>30452</v>
      </c>
      <c r="C2351" s="194" t="s">
        <v>339</v>
      </c>
      <c r="D2351" s="195">
        <v>934.2</v>
      </c>
      <c r="E2351" s="196">
        <v>44825</v>
      </c>
      <c r="F2351" s="195">
        <v>934.2</v>
      </c>
      <c r="G2351" s="197">
        <f>Tabla110[[#This Row],[Importe]]-Tabla110[[#This Row],[Pagado]]</f>
        <v>0</v>
      </c>
      <c r="H2351" s="194" t="s">
        <v>10</v>
      </c>
    </row>
    <row r="2352" spans="1:8" x14ac:dyDescent="0.25">
      <c r="A2352" s="127">
        <v>44825</v>
      </c>
      <c r="B2352" s="128" t="s">
        <v>30453</v>
      </c>
      <c r="C2352" s="194" t="s">
        <v>21085</v>
      </c>
      <c r="D2352" s="195">
        <v>38000</v>
      </c>
      <c r="E2352" s="196">
        <v>44825</v>
      </c>
      <c r="F2352" s="195">
        <v>38000</v>
      </c>
      <c r="G2352" s="197">
        <f>Tabla110[[#This Row],[Importe]]-Tabla110[[#This Row],[Pagado]]</f>
        <v>0</v>
      </c>
      <c r="H2352" s="194" t="s">
        <v>10</v>
      </c>
    </row>
    <row r="2353" spans="1:8" x14ac:dyDescent="0.25">
      <c r="A2353" s="127">
        <v>44825</v>
      </c>
      <c r="B2353" s="128" t="s">
        <v>30454</v>
      </c>
      <c r="C2353" s="194" t="s">
        <v>414</v>
      </c>
      <c r="D2353" s="195">
        <v>62796.800000000003</v>
      </c>
      <c r="E2353" s="196">
        <v>44833</v>
      </c>
      <c r="F2353" s="195">
        <v>62796.800000000003</v>
      </c>
      <c r="G2353" s="197">
        <f>Tabla110[[#This Row],[Importe]]-Tabla110[[#This Row],[Pagado]]</f>
        <v>0</v>
      </c>
      <c r="H2353" s="194" t="s">
        <v>10</v>
      </c>
    </row>
    <row r="2354" spans="1:8" x14ac:dyDescent="0.25">
      <c r="A2354" s="127">
        <v>44825</v>
      </c>
      <c r="B2354" s="128" t="s">
        <v>30455</v>
      </c>
      <c r="C2354" s="194" t="s">
        <v>127</v>
      </c>
      <c r="D2354" s="195">
        <v>6590.6</v>
      </c>
      <c r="E2354" s="196">
        <v>44825</v>
      </c>
      <c r="F2354" s="195">
        <v>6590.6</v>
      </c>
      <c r="G2354" s="197">
        <f>Tabla110[[#This Row],[Importe]]-Tabla110[[#This Row],[Pagado]]</f>
        <v>0</v>
      </c>
      <c r="H2354" s="194" t="s">
        <v>10</v>
      </c>
    </row>
    <row r="2355" spans="1:8" x14ac:dyDescent="0.25">
      <c r="A2355" s="127">
        <v>44825</v>
      </c>
      <c r="B2355" s="128" t="s">
        <v>30456</v>
      </c>
      <c r="C2355" s="194" t="s">
        <v>212</v>
      </c>
      <c r="D2355" s="195">
        <v>10625</v>
      </c>
      <c r="E2355" s="196">
        <v>44828</v>
      </c>
      <c r="F2355" s="195">
        <v>10625</v>
      </c>
      <c r="G2355" s="197">
        <f>Tabla110[[#This Row],[Importe]]-Tabla110[[#This Row],[Pagado]]</f>
        <v>0</v>
      </c>
      <c r="H2355" s="194" t="s">
        <v>10</v>
      </c>
    </row>
    <row r="2356" spans="1:8" x14ac:dyDescent="0.25">
      <c r="A2356" s="127">
        <v>44825</v>
      </c>
      <c r="B2356" s="128" t="s">
        <v>30457</v>
      </c>
      <c r="C2356" s="194" t="s">
        <v>587</v>
      </c>
      <c r="D2356" s="195">
        <v>5822.4</v>
      </c>
      <c r="E2356" s="196">
        <v>44825</v>
      </c>
      <c r="F2356" s="195">
        <v>5822.4</v>
      </c>
      <c r="G2356" s="197">
        <f>Tabla110[[#This Row],[Importe]]-Tabla110[[#This Row],[Pagado]]</f>
        <v>0</v>
      </c>
      <c r="H2356" s="194" t="s">
        <v>10</v>
      </c>
    </row>
    <row r="2357" spans="1:8" x14ac:dyDescent="0.25">
      <c r="A2357" s="127">
        <v>44825</v>
      </c>
      <c r="B2357" s="128" t="s">
        <v>30458</v>
      </c>
      <c r="C2357" s="194" t="s">
        <v>31</v>
      </c>
      <c r="D2357" s="195">
        <v>737.2</v>
      </c>
      <c r="E2357" s="196">
        <v>44825</v>
      </c>
      <c r="F2357" s="195">
        <v>737.2</v>
      </c>
      <c r="G2357" s="197">
        <f>Tabla110[[#This Row],[Importe]]-Tabla110[[#This Row],[Pagado]]</f>
        <v>0</v>
      </c>
      <c r="H2357" s="194" t="s">
        <v>10</v>
      </c>
    </row>
    <row r="2358" spans="1:8" x14ac:dyDescent="0.25">
      <c r="A2358" s="127">
        <v>44825</v>
      </c>
      <c r="B2358" s="128" t="s">
        <v>30459</v>
      </c>
      <c r="C2358" s="194" t="s">
        <v>140</v>
      </c>
      <c r="D2358" s="195">
        <v>2081.4</v>
      </c>
      <c r="E2358" s="196">
        <v>44825</v>
      </c>
      <c r="F2358" s="195">
        <v>2081.4</v>
      </c>
      <c r="G2358" s="197">
        <f>Tabla110[[#This Row],[Importe]]-Tabla110[[#This Row],[Pagado]]</f>
        <v>0</v>
      </c>
      <c r="H2358" s="194" t="s">
        <v>10</v>
      </c>
    </row>
    <row r="2359" spans="1:8" x14ac:dyDescent="0.25">
      <c r="A2359" s="127">
        <v>44825</v>
      </c>
      <c r="B2359" s="128" t="s">
        <v>30460</v>
      </c>
      <c r="C2359" s="194" t="s">
        <v>45</v>
      </c>
      <c r="D2359" s="195">
        <v>16784.400000000001</v>
      </c>
      <c r="E2359" s="196">
        <v>44825</v>
      </c>
      <c r="F2359" s="195">
        <v>16784.400000000001</v>
      </c>
      <c r="G2359" s="197">
        <f>Tabla110[[#This Row],[Importe]]-Tabla110[[#This Row],[Pagado]]</f>
        <v>0</v>
      </c>
      <c r="H2359" s="194" t="s">
        <v>10</v>
      </c>
    </row>
    <row r="2360" spans="1:8" x14ac:dyDescent="0.25">
      <c r="A2360" s="127">
        <v>44825</v>
      </c>
      <c r="B2360" s="128" t="s">
        <v>30461</v>
      </c>
      <c r="C2360" s="194" t="s">
        <v>161</v>
      </c>
      <c r="D2360" s="195">
        <v>4635</v>
      </c>
      <c r="E2360" s="196">
        <v>44825</v>
      </c>
      <c r="F2360" s="195">
        <v>4635</v>
      </c>
      <c r="G2360" s="197">
        <f>Tabla110[[#This Row],[Importe]]-Tabla110[[#This Row],[Pagado]]</f>
        <v>0</v>
      </c>
      <c r="H2360" s="194" t="s">
        <v>10</v>
      </c>
    </row>
    <row r="2361" spans="1:8" x14ac:dyDescent="0.25">
      <c r="A2361" s="127">
        <v>44825</v>
      </c>
      <c r="B2361" s="128" t="s">
        <v>30462</v>
      </c>
      <c r="C2361" s="194" t="s">
        <v>804</v>
      </c>
      <c r="D2361" s="195">
        <v>13553.8</v>
      </c>
      <c r="E2361" s="196">
        <v>44825</v>
      </c>
      <c r="F2361" s="195">
        <v>13553.8</v>
      </c>
      <c r="G2361" s="197">
        <f>Tabla110[[#This Row],[Importe]]-Tabla110[[#This Row],[Pagado]]</f>
        <v>0</v>
      </c>
      <c r="H2361" s="194" t="s">
        <v>10</v>
      </c>
    </row>
    <row r="2362" spans="1:8" x14ac:dyDescent="0.25">
      <c r="A2362" s="127">
        <v>44825</v>
      </c>
      <c r="B2362" s="128" t="s">
        <v>30463</v>
      </c>
      <c r="C2362" s="194" t="s">
        <v>196</v>
      </c>
      <c r="D2362" s="195">
        <v>168795.67</v>
      </c>
      <c r="E2362" s="196">
        <v>44827</v>
      </c>
      <c r="F2362" s="195">
        <v>168795.67</v>
      </c>
      <c r="G2362" s="197">
        <f>Tabla110[[#This Row],[Importe]]-Tabla110[[#This Row],[Pagado]]</f>
        <v>0</v>
      </c>
      <c r="H2362" s="194" t="s">
        <v>10</v>
      </c>
    </row>
    <row r="2363" spans="1:8" x14ac:dyDescent="0.25">
      <c r="A2363" s="127">
        <v>44825</v>
      </c>
      <c r="B2363" s="128" t="s">
        <v>30464</v>
      </c>
      <c r="C2363" s="194" t="s">
        <v>670</v>
      </c>
      <c r="D2363" s="195">
        <v>1157.0999999999999</v>
      </c>
      <c r="E2363" s="196">
        <v>44825</v>
      </c>
      <c r="F2363" s="195">
        <v>1157.0999999999999</v>
      </c>
      <c r="G2363" s="197">
        <f>Tabla110[[#This Row],[Importe]]-Tabla110[[#This Row],[Pagado]]</f>
        <v>0</v>
      </c>
      <c r="H2363" s="194" t="s">
        <v>10</v>
      </c>
    </row>
    <row r="2364" spans="1:8" x14ac:dyDescent="0.25">
      <c r="A2364" s="127">
        <v>44825</v>
      </c>
      <c r="B2364" s="128" t="s">
        <v>30465</v>
      </c>
      <c r="C2364" s="194" t="s">
        <v>31</v>
      </c>
      <c r="D2364" s="195">
        <v>547.20000000000005</v>
      </c>
      <c r="E2364" s="196">
        <v>44825</v>
      </c>
      <c r="F2364" s="195">
        <v>547.20000000000005</v>
      </c>
      <c r="G2364" s="197">
        <f>Tabla110[[#This Row],[Importe]]-Tabla110[[#This Row],[Pagado]]</f>
        <v>0</v>
      </c>
      <c r="H2364" s="194" t="s">
        <v>10</v>
      </c>
    </row>
    <row r="2365" spans="1:8" x14ac:dyDescent="0.25">
      <c r="A2365" s="127">
        <v>44825</v>
      </c>
      <c r="B2365" s="128" t="s">
        <v>30466</v>
      </c>
      <c r="C2365" s="194" t="s">
        <v>173</v>
      </c>
      <c r="D2365" s="195">
        <v>36942.800000000003</v>
      </c>
      <c r="E2365" s="196">
        <v>44825</v>
      </c>
      <c r="F2365" s="195">
        <v>36942.800000000003</v>
      </c>
      <c r="G2365" s="197">
        <f>Tabla110[[#This Row],[Importe]]-Tabla110[[#This Row],[Pagado]]</f>
        <v>0</v>
      </c>
      <c r="H2365" s="194" t="s">
        <v>10</v>
      </c>
    </row>
    <row r="2366" spans="1:8" x14ac:dyDescent="0.25">
      <c r="A2366" s="127">
        <v>44825</v>
      </c>
      <c r="B2366" s="128" t="s">
        <v>30467</v>
      </c>
      <c r="C2366" s="194" t="s">
        <v>53</v>
      </c>
      <c r="D2366" s="195">
        <v>1926.6</v>
      </c>
      <c r="E2366" s="196">
        <v>44825</v>
      </c>
      <c r="F2366" s="195">
        <v>1926.6</v>
      </c>
      <c r="G2366" s="197">
        <f>Tabla110[[#This Row],[Importe]]-Tabla110[[#This Row],[Pagado]]</f>
        <v>0</v>
      </c>
      <c r="H2366" s="194" t="s">
        <v>10</v>
      </c>
    </row>
    <row r="2367" spans="1:8" x14ac:dyDescent="0.25">
      <c r="A2367" s="127">
        <v>44825</v>
      </c>
      <c r="B2367" s="128" t="s">
        <v>30468</v>
      </c>
      <c r="C2367" s="194" t="s">
        <v>62</v>
      </c>
      <c r="D2367" s="195">
        <v>4339.6000000000004</v>
      </c>
      <c r="E2367" s="196">
        <v>44825</v>
      </c>
      <c r="F2367" s="195">
        <v>4339.6000000000004</v>
      </c>
      <c r="G2367" s="197">
        <f>Tabla110[[#This Row],[Importe]]-Tabla110[[#This Row],[Pagado]]</f>
        <v>0</v>
      </c>
      <c r="H2367" s="194" t="s">
        <v>10</v>
      </c>
    </row>
    <row r="2368" spans="1:8" x14ac:dyDescent="0.25">
      <c r="A2368" s="127">
        <v>44825</v>
      </c>
      <c r="B2368" s="128" t="s">
        <v>30469</v>
      </c>
      <c r="C2368" s="194" t="s">
        <v>149</v>
      </c>
      <c r="D2368" s="195">
        <v>4085</v>
      </c>
      <c r="E2368" s="196">
        <v>44825</v>
      </c>
      <c r="F2368" s="195">
        <v>4085</v>
      </c>
      <c r="G2368" s="197">
        <f>Tabla110[[#This Row],[Importe]]-Tabla110[[#This Row],[Pagado]]</f>
        <v>0</v>
      </c>
      <c r="H2368" s="194" t="s">
        <v>10</v>
      </c>
    </row>
    <row r="2369" spans="1:8" x14ac:dyDescent="0.25">
      <c r="A2369" s="127">
        <v>44825</v>
      </c>
      <c r="B2369" s="128" t="s">
        <v>30470</v>
      </c>
      <c r="C2369" s="194" t="s">
        <v>49</v>
      </c>
      <c r="D2369" s="195">
        <v>3480</v>
      </c>
      <c r="E2369" s="196">
        <v>44825</v>
      </c>
      <c r="F2369" s="195">
        <v>3480</v>
      </c>
      <c r="G2369" s="197">
        <f>Tabla110[[#This Row],[Importe]]-Tabla110[[#This Row],[Pagado]]</f>
        <v>0</v>
      </c>
      <c r="H2369" s="194" t="s">
        <v>10</v>
      </c>
    </row>
    <row r="2370" spans="1:8" x14ac:dyDescent="0.25">
      <c r="A2370" s="127">
        <v>44825</v>
      </c>
      <c r="B2370" s="128" t="s">
        <v>30471</v>
      </c>
      <c r="C2370" s="194" t="s">
        <v>216</v>
      </c>
      <c r="D2370" s="195">
        <v>1482</v>
      </c>
      <c r="E2370" s="196">
        <v>44825</v>
      </c>
      <c r="F2370" s="195">
        <v>1482</v>
      </c>
      <c r="G2370" s="197">
        <f>Tabla110[[#This Row],[Importe]]-Tabla110[[#This Row],[Pagado]]</f>
        <v>0</v>
      </c>
      <c r="H2370" s="194" t="s">
        <v>10</v>
      </c>
    </row>
    <row r="2371" spans="1:8" x14ac:dyDescent="0.25">
      <c r="A2371" s="127">
        <v>44825</v>
      </c>
      <c r="B2371" s="128" t="s">
        <v>30472</v>
      </c>
      <c r="C2371" s="194" t="s">
        <v>131</v>
      </c>
      <c r="D2371" s="195">
        <v>4917.2</v>
      </c>
      <c r="E2371" s="196">
        <v>44825</v>
      </c>
      <c r="F2371" s="195">
        <v>4917.2</v>
      </c>
      <c r="G2371" s="197">
        <f>Tabla110[[#This Row],[Importe]]-Tabla110[[#This Row],[Pagado]]</f>
        <v>0</v>
      </c>
      <c r="H2371" s="194" t="s">
        <v>10</v>
      </c>
    </row>
    <row r="2372" spans="1:8" x14ac:dyDescent="0.25">
      <c r="A2372" s="127">
        <v>44825</v>
      </c>
      <c r="B2372" s="128" t="s">
        <v>30473</v>
      </c>
      <c r="C2372" s="194" t="s">
        <v>27</v>
      </c>
      <c r="D2372" s="195">
        <v>1232.7</v>
      </c>
      <c r="E2372" s="196">
        <v>44825</v>
      </c>
      <c r="F2372" s="195">
        <v>1232.7</v>
      </c>
      <c r="G2372" s="197">
        <f>Tabla110[[#This Row],[Importe]]-Tabla110[[#This Row],[Pagado]]</f>
        <v>0</v>
      </c>
      <c r="H2372" s="194" t="s">
        <v>10</v>
      </c>
    </row>
    <row r="2373" spans="1:8" x14ac:dyDescent="0.25">
      <c r="A2373" s="127">
        <v>44825</v>
      </c>
      <c r="B2373" s="128" t="s">
        <v>30474</v>
      </c>
      <c r="C2373" s="194" t="s">
        <v>37</v>
      </c>
      <c r="D2373" s="195">
        <v>4664.6000000000004</v>
      </c>
      <c r="E2373" s="196">
        <v>44825</v>
      </c>
      <c r="F2373" s="195">
        <v>4664.6000000000004</v>
      </c>
      <c r="G2373" s="197">
        <f>Tabla110[[#This Row],[Importe]]-Tabla110[[#This Row],[Pagado]]</f>
        <v>0</v>
      </c>
      <c r="H2373" s="194" t="s">
        <v>10</v>
      </c>
    </row>
    <row r="2374" spans="1:8" x14ac:dyDescent="0.25">
      <c r="A2374" s="127">
        <v>44825</v>
      </c>
      <c r="B2374" s="128" t="s">
        <v>30475</v>
      </c>
      <c r="C2374" s="194" t="s">
        <v>135</v>
      </c>
      <c r="D2374" s="195">
        <v>2701</v>
      </c>
      <c r="E2374" s="196">
        <v>44825</v>
      </c>
      <c r="F2374" s="195">
        <v>2701</v>
      </c>
      <c r="G2374" s="197">
        <f>Tabla110[[#This Row],[Importe]]-Tabla110[[#This Row],[Pagado]]</f>
        <v>0</v>
      </c>
      <c r="H2374" s="194" t="s">
        <v>10</v>
      </c>
    </row>
    <row r="2375" spans="1:8" x14ac:dyDescent="0.25">
      <c r="A2375" s="127">
        <v>44825</v>
      </c>
      <c r="B2375" s="128" t="s">
        <v>30476</v>
      </c>
      <c r="C2375" s="194" t="s">
        <v>31</v>
      </c>
      <c r="D2375" s="195">
        <v>4107.2</v>
      </c>
      <c r="E2375" s="196">
        <v>44825</v>
      </c>
      <c r="F2375" s="195">
        <v>4107.2</v>
      </c>
      <c r="G2375" s="197">
        <f>Tabla110[[#This Row],[Importe]]-Tabla110[[#This Row],[Pagado]]</f>
        <v>0</v>
      </c>
      <c r="H2375" s="194" t="s">
        <v>10</v>
      </c>
    </row>
    <row r="2376" spans="1:8" x14ac:dyDescent="0.25">
      <c r="A2376" s="127">
        <v>44825</v>
      </c>
      <c r="B2376" s="128" t="s">
        <v>30477</v>
      </c>
      <c r="C2376" s="194" t="s">
        <v>191</v>
      </c>
      <c r="D2376" s="195">
        <v>1778.4</v>
      </c>
      <c r="E2376" s="196">
        <v>44825</v>
      </c>
      <c r="F2376" s="195">
        <v>1778.4</v>
      </c>
      <c r="G2376" s="197">
        <f>Tabla110[[#This Row],[Importe]]-Tabla110[[#This Row],[Pagado]]</f>
        <v>0</v>
      </c>
      <c r="H2376" s="194" t="s">
        <v>10</v>
      </c>
    </row>
    <row r="2377" spans="1:8" x14ac:dyDescent="0.25">
      <c r="A2377" s="127">
        <v>44825</v>
      </c>
      <c r="B2377" s="128" t="s">
        <v>30478</v>
      </c>
      <c r="C2377" s="194" t="s">
        <v>2151</v>
      </c>
      <c r="D2377" s="195">
        <v>5537</v>
      </c>
      <c r="E2377" s="196">
        <v>44825</v>
      </c>
      <c r="F2377" s="195">
        <v>5537</v>
      </c>
      <c r="G2377" s="197">
        <f>Tabla110[[#This Row],[Importe]]-Tabla110[[#This Row],[Pagado]]</f>
        <v>0</v>
      </c>
      <c r="H2377" s="194" t="s">
        <v>10</v>
      </c>
    </row>
    <row r="2378" spans="1:8" x14ac:dyDescent="0.25">
      <c r="A2378" s="127">
        <v>44825</v>
      </c>
      <c r="B2378" s="128" t="s">
        <v>30479</v>
      </c>
      <c r="C2378" s="194" t="s">
        <v>31</v>
      </c>
      <c r="D2378" s="195">
        <v>3498.8</v>
      </c>
      <c r="E2378" s="196">
        <v>44825</v>
      </c>
      <c r="F2378" s="195">
        <v>3498.8</v>
      </c>
      <c r="G2378" s="197">
        <f>Tabla110[[#This Row],[Importe]]-Tabla110[[#This Row],[Pagado]]</f>
        <v>0</v>
      </c>
      <c r="H2378" s="194" t="s">
        <v>10</v>
      </c>
    </row>
    <row r="2379" spans="1:8" x14ac:dyDescent="0.25">
      <c r="A2379" s="127">
        <v>44825</v>
      </c>
      <c r="B2379" s="128" t="s">
        <v>30480</v>
      </c>
      <c r="C2379" s="194" t="s">
        <v>1378</v>
      </c>
      <c r="D2379" s="195">
        <v>70764.800000000003</v>
      </c>
      <c r="E2379" s="196">
        <v>44826</v>
      </c>
      <c r="F2379" s="195">
        <v>70764.800000000003</v>
      </c>
      <c r="G2379" s="197">
        <f>Tabla110[[#This Row],[Importe]]-Tabla110[[#This Row],[Pagado]]</f>
        <v>0</v>
      </c>
      <c r="H2379" s="194" t="s">
        <v>10</v>
      </c>
    </row>
    <row r="2380" spans="1:8" x14ac:dyDescent="0.25">
      <c r="A2380" s="127">
        <v>44825</v>
      </c>
      <c r="B2380" s="128" t="s">
        <v>30481</v>
      </c>
      <c r="C2380" s="194" t="s">
        <v>10157</v>
      </c>
      <c r="D2380" s="195">
        <v>37863.5</v>
      </c>
      <c r="E2380" s="196">
        <v>44828</v>
      </c>
      <c r="F2380" s="195">
        <v>37863.5</v>
      </c>
      <c r="G2380" s="197">
        <f>Tabla110[[#This Row],[Importe]]-Tabla110[[#This Row],[Pagado]]</f>
        <v>0</v>
      </c>
      <c r="H2380" s="194" t="s">
        <v>10</v>
      </c>
    </row>
    <row r="2381" spans="1:8" x14ac:dyDescent="0.25">
      <c r="A2381" s="127">
        <v>44825</v>
      </c>
      <c r="B2381" s="128" t="s">
        <v>30482</v>
      </c>
      <c r="C2381" s="194" t="s">
        <v>15868</v>
      </c>
      <c r="D2381" s="195">
        <v>15678</v>
      </c>
      <c r="E2381" s="196">
        <v>44826</v>
      </c>
      <c r="F2381" s="195">
        <v>15678</v>
      </c>
      <c r="G2381" s="197">
        <f>Tabla110[[#This Row],[Importe]]-Tabla110[[#This Row],[Pagado]]</f>
        <v>0</v>
      </c>
      <c r="H2381" s="194" t="s">
        <v>10</v>
      </c>
    </row>
    <row r="2382" spans="1:8" x14ac:dyDescent="0.25">
      <c r="A2382" s="127">
        <v>44825</v>
      </c>
      <c r="B2382" s="128" t="s">
        <v>30483</v>
      </c>
      <c r="C2382" s="194" t="s">
        <v>133</v>
      </c>
      <c r="D2382" s="195">
        <v>7561.4</v>
      </c>
      <c r="E2382" s="196">
        <v>44826</v>
      </c>
      <c r="F2382" s="195">
        <v>7561.4</v>
      </c>
      <c r="G2382" s="197">
        <f>Tabla110[[#This Row],[Importe]]-Tabla110[[#This Row],[Pagado]]</f>
        <v>0</v>
      </c>
      <c r="H2382" s="194" t="s">
        <v>10</v>
      </c>
    </row>
    <row r="2383" spans="1:8" x14ac:dyDescent="0.25">
      <c r="A2383" s="127">
        <v>44825</v>
      </c>
      <c r="B2383" s="128" t="s">
        <v>30484</v>
      </c>
      <c r="C2383" s="194" t="s">
        <v>698</v>
      </c>
      <c r="D2383" s="195">
        <v>9036.6</v>
      </c>
      <c r="E2383" s="196">
        <v>44825</v>
      </c>
      <c r="F2383" s="195">
        <v>9036.6</v>
      </c>
      <c r="G2383" s="197">
        <f>Tabla110[[#This Row],[Importe]]-Tabla110[[#This Row],[Pagado]]</f>
        <v>0</v>
      </c>
      <c r="H2383" s="194" t="s">
        <v>10</v>
      </c>
    </row>
    <row r="2384" spans="1:8" x14ac:dyDescent="0.25">
      <c r="A2384" s="127">
        <v>44825</v>
      </c>
      <c r="B2384" s="128" t="s">
        <v>30485</v>
      </c>
      <c r="C2384" s="194" t="s">
        <v>421</v>
      </c>
      <c r="D2384" s="195">
        <v>13086.3</v>
      </c>
      <c r="E2384" s="196">
        <v>44830</v>
      </c>
      <c r="F2384" s="195">
        <v>13086.3</v>
      </c>
      <c r="G2384" s="197">
        <f>Tabla110[[#This Row],[Importe]]-Tabla110[[#This Row],[Pagado]]</f>
        <v>0</v>
      </c>
      <c r="H2384" s="194" t="s">
        <v>10</v>
      </c>
    </row>
    <row r="2385" spans="1:8" x14ac:dyDescent="0.25">
      <c r="A2385" s="127">
        <v>44825</v>
      </c>
      <c r="B2385" s="128" t="s">
        <v>30486</v>
      </c>
      <c r="C2385" s="194" t="s">
        <v>12107</v>
      </c>
      <c r="D2385" s="195">
        <v>2240</v>
      </c>
      <c r="E2385" s="196">
        <v>44825</v>
      </c>
      <c r="F2385" s="195">
        <v>2240</v>
      </c>
      <c r="G2385" s="197">
        <f>Tabla110[[#This Row],[Importe]]-Tabla110[[#This Row],[Pagado]]</f>
        <v>0</v>
      </c>
      <c r="H2385" s="194" t="s">
        <v>10</v>
      </c>
    </row>
    <row r="2386" spans="1:8" x14ac:dyDescent="0.25">
      <c r="A2386" s="127">
        <v>44825</v>
      </c>
      <c r="B2386" s="128" t="s">
        <v>30487</v>
      </c>
      <c r="C2386" s="194" t="s">
        <v>1644</v>
      </c>
      <c r="D2386" s="195">
        <v>13894.6</v>
      </c>
      <c r="E2386" s="196">
        <v>44826</v>
      </c>
      <c r="F2386" s="195">
        <v>13894.6</v>
      </c>
      <c r="G2386" s="197">
        <f>Tabla110[[#This Row],[Importe]]-Tabla110[[#This Row],[Pagado]]</f>
        <v>0</v>
      </c>
      <c r="H2386" s="194" t="s">
        <v>10</v>
      </c>
    </row>
    <row r="2387" spans="1:8" x14ac:dyDescent="0.25">
      <c r="A2387" s="127">
        <v>44825</v>
      </c>
      <c r="B2387" s="128" t="s">
        <v>30488</v>
      </c>
      <c r="C2387" s="194" t="s">
        <v>555</v>
      </c>
      <c r="D2387" s="195">
        <v>17779.2</v>
      </c>
      <c r="E2387" s="196">
        <v>44825</v>
      </c>
      <c r="F2387" s="195">
        <v>17779.2</v>
      </c>
      <c r="G2387" s="197">
        <f>Tabla110[[#This Row],[Importe]]-Tabla110[[#This Row],[Pagado]]</f>
        <v>0</v>
      </c>
      <c r="H2387" s="194" t="s">
        <v>10</v>
      </c>
    </row>
    <row r="2388" spans="1:8" x14ac:dyDescent="0.25">
      <c r="A2388" s="127">
        <v>44825</v>
      </c>
      <c r="B2388" s="128" t="s">
        <v>30489</v>
      </c>
      <c r="C2388" s="194" t="s">
        <v>1302</v>
      </c>
      <c r="D2388" s="195">
        <v>13380</v>
      </c>
      <c r="E2388" s="196">
        <v>44825</v>
      </c>
      <c r="F2388" s="195">
        <v>13380</v>
      </c>
      <c r="G2388" s="197">
        <f>Tabla110[[#This Row],[Importe]]-Tabla110[[#This Row],[Pagado]]</f>
        <v>0</v>
      </c>
      <c r="H2388" s="194" t="s">
        <v>10</v>
      </c>
    </row>
    <row r="2389" spans="1:8" x14ac:dyDescent="0.25">
      <c r="A2389" s="127">
        <v>44825</v>
      </c>
      <c r="B2389" s="128" t="s">
        <v>30490</v>
      </c>
      <c r="C2389" s="194" t="s">
        <v>107</v>
      </c>
      <c r="D2389" s="195">
        <v>15237.3</v>
      </c>
      <c r="E2389" s="196">
        <v>44825</v>
      </c>
      <c r="F2389" s="195">
        <v>15237.3</v>
      </c>
      <c r="G2389" s="197">
        <f>Tabla110[[#This Row],[Importe]]-Tabla110[[#This Row],[Pagado]]</f>
        <v>0</v>
      </c>
      <c r="H2389" s="194" t="s">
        <v>10</v>
      </c>
    </row>
    <row r="2390" spans="1:8" x14ac:dyDescent="0.25">
      <c r="A2390" s="127">
        <v>44825</v>
      </c>
      <c r="B2390" s="128" t="s">
        <v>30491</v>
      </c>
      <c r="C2390" s="194" t="s">
        <v>181</v>
      </c>
      <c r="D2390" s="195">
        <v>14307.8</v>
      </c>
      <c r="E2390" s="196">
        <v>44825</v>
      </c>
      <c r="F2390" s="195">
        <v>14307.8</v>
      </c>
      <c r="G2390" s="197">
        <f>Tabla110[[#This Row],[Importe]]-Tabla110[[#This Row],[Pagado]]</f>
        <v>0</v>
      </c>
      <c r="H2390" s="194" t="s">
        <v>10</v>
      </c>
    </row>
    <row r="2391" spans="1:8" x14ac:dyDescent="0.25">
      <c r="A2391" s="127">
        <v>44825</v>
      </c>
      <c r="B2391" s="128" t="s">
        <v>30492</v>
      </c>
      <c r="C2391" s="194" t="s">
        <v>31</v>
      </c>
      <c r="D2391" s="195">
        <v>1224</v>
      </c>
      <c r="E2391" s="196">
        <v>44825</v>
      </c>
      <c r="F2391" s="195">
        <v>1224</v>
      </c>
      <c r="G2391" s="197">
        <f>Tabla110[[#This Row],[Importe]]-Tabla110[[#This Row],[Pagado]]</f>
        <v>0</v>
      </c>
      <c r="H2391" s="194" t="s">
        <v>10</v>
      </c>
    </row>
    <row r="2392" spans="1:8" x14ac:dyDescent="0.25">
      <c r="A2392" s="127">
        <v>44825</v>
      </c>
      <c r="B2392" s="128" t="s">
        <v>30493</v>
      </c>
      <c r="C2392" s="194" t="s">
        <v>175</v>
      </c>
      <c r="D2392" s="195">
        <v>2873</v>
      </c>
      <c r="E2392" s="196">
        <v>44825</v>
      </c>
      <c r="F2392" s="195">
        <v>2873</v>
      </c>
      <c r="G2392" s="197">
        <f>Tabla110[[#This Row],[Importe]]-Tabla110[[#This Row],[Pagado]]</f>
        <v>0</v>
      </c>
      <c r="H2392" s="194" t="s">
        <v>10</v>
      </c>
    </row>
    <row r="2393" spans="1:8" x14ac:dyDescent="0.25">
      <c r="A2393" s="127">
        <v>44825</v>
      </c>
      <c r="B2393" s="128" t="s">
        <v>30494</v>
      </c>
      <c r="C2393" s="194" t="s">
        <v>426</v>
      </c>
      <c r="D2393" s="195">
        <v>2082</v>
      </c>
      <c r="E2393" s="196">
        <v>44825</v>
      </c>
      <c r="F2393" s="195">
        <v>2082</v>
      </c>
      <c r="G2393" s="197">
        <f>Tabla110[[#This Row],[Importe]]-Tabla110[[#This Row],[Pagado]]</f>
        <v>0</v>
      </c>
      <c r="H2393" s="194" t="s">
        <v>10</v>
      </c>
    </row>
    <row r="2394" spans="1:8" x14ac:dyDescent="0.25">
      <c r="A2394" s="127">
        <v>44825</v>
      </c>
      <c r="B2394" s="128" t="s">
        <v>30495</v>
      </c>
      <c r="C2394" s="194" t="s">
        <v>419</v>
      </c>
      <c r="D2394" s="195">
        <v>5097.7</v>
      </c>
      <c r="E2394" s="196">
        <v>44825</v>
      </c>
      <c r="F2394" s="195">
        <v>5097.7</v>
      </c>
      <c r="G2394" s="197">
        <f>Tabla110[[#This Row],[Importe]]-Tabla110[[#This Row],[Pagado]]</f>
        <v>0</v>
      </c>
      <c r="H2394" s="194" t="s">
        <v>10</v>
      </c>
    </row>
    <row r="2395" spans="1:8" x14ac:dyDescent="0.25">
      <c r="A2395" s="127">
        <v>44825</v>
      </c>
      <c r="B2395" s="128" t="s">
        <v>30496</v>
      </c>
      <c r="C2395" s="194" t="s">
        <v>359</v>
      </c>
      <c r="D2395" s="195">
        <v>1946.2</v>
      </c>
      <c r="E2395" s="196">
        <v>44825</v>
      </c>
      <c r="F2395" s="195">
        <v>1946.2</v>
      </c>
      <c r="G2395" s="197">
        <f>Tabla110[[#This Row],[Importe]]-Tabla110[[#This Row],[Pagado]]</f>
        <v>0</v>
      </c>
      <c r="H2395" s="194" t="s">
        <v>10</v>
      </c>
    </row>
    <row r="2396" spans="1:8" x14ac:dyDescent="0.25">
      <c r="A2396" s="127">
        <v>44825</v>
      </c>
      <c r="B2396" s="128" t="s">
        <v>30497</v>
      </c>
      <c r="C2396" s="194" t="s">
        <v>58</v>
      </c>
      <c r="D2396" s="195">
        <v>5079.8999999999996</v>
      </c>
      <c r="E2396" s="196">
        <v>44825</v>
      </c>
      <c r="F2396" s="195">
        <v>5079.8999999999996</v>
      </c>
      <c r="G2396" s="197">
        <f>Tabla110[[#This Row],[Importe]]-Tabla110[[#This Row],[Pagado]]</f>
        <v>0</v>
      </c>
      <c r="H2396" s="194" t="s">
        <v>10</v>
      </c>
    </row>
    <row r="2397" spans="1:8" x14ac:dyDescent="0.25">
      <c r="A2397" s="127">
        <v>44825</v>
      </c>
      <c r="B2397" s="128" t="s">
        <v>30498</v>
      </c>
      <c r="C2397" s="194" t="s">
        <v>62</v>
      </c>
      <c r="D2397" s="195">
        <v>1314</v>
      </c>
      <c r="E2397" s="196">
        <v>44825</v>
      </c>
      <c r="F2397" s="195">
        <v>1314</v>
      </c>
      <c r="G2397" s="197">
        <f>Tabla110[[#This Row],[Importe]]-Tabla110[[#This Row],[Pagado]]</f>
        <v>0</v>
      </c>
      <c r="H2397" s="194" t="s">
        <v>10</v>
      </c>
    </row>
    <row r="2398" spans="1:8" x14ac:dyDescent="0.25">
      <c r="A2398" s="127">
        <v>44825</v>
      </c>
      <c r="B2398" s="128" t="s">
        <v>30499</v>
      </c>
      <c r="C2398" s="194" t="s">
        <v>31</v>
      </c>
      <c r="D2398" s="195">
        <v>3936</v>
      </c>
      <c r="E2398" s="196">
        <v>44825</v>
      </c>
      <c r="F2398" s="195">
        <v>3936</v>
      </c>
      <c r="G2398" s="197">
        <f>Tabla110[[#This Row],[Importe]]-Tabla110[[#This Row],[Pagado]]</f>
        <v>0</v>
      </c>
      <c r="H2398" s="194" t="s">
        <v>10</v>
      </c>
    </row>
    <row r="2399" spans="1:8" x14ac:dyDescent="0.25">
      <c r="A2399" s="127">
        <v>44825</v>
      </c>
      <c r="B2399" s="128" t="s">
        <v>30500</v>
      </c>
      <c r="C2399" s="194" t="s">
        <v>16</v>
      </c>
      <c r="D2399" s="195">
        <v>2396</v>
      </c>
      <c r="E2399" s="196">
        <v>44825</v>
      </c>
      <c r="F2399" s="195">
        <v>2396</v>
      </c>
      <c r="G2399" s="197">
        <f>Tabla110[[#This Row],[Importe]]-Tabla110[[#This Row],[Pagado]]</f>
        <v>0</v>
      </c>
      <c r="H2399" s="194" t="s">
        <v>10</v>
      </c>
    </row>
    <row r="2400" spans="1:8" x14ac:dyDescent="0.25">
      <c r="A2400" s="127">
        <v>44825</v>
      </c>
      <c r="B2400" s="128" t="s">
        <v>30501</v>
      </c>
      <c r="C2400" s="194" t="s">
        <v>9827</v>
      </c>
      <c r="D2400" s="195">
        <v>4073.6</v>
      </c>
      <c r="E2400" s="196">
        <v>44825</v>
      </c>
      <c r="F2400" s="195">
        <v>4073.6</v>
      </c>
      <c r="G2400" s="197">
        <f>Tabla110[[#This Row],[Importe]]-Tabla110[[#This Row],[Pagado]]</f>
        <v>0</v>
      </c>
      <c r="H2400" s="194" t="s">
        <v>10</v>
      </c>
    </row>
    <row r="2401" spans="1:8" x14ac:dyDescent="0.25">
      <c r="A2401" s="127">
        <v>44825</v>
      </c>
      <c r="B2401" s="128" t="s">
        <v>30502</v>
      </c>
      <c r="C2401" s="194" t="s">
        <v>69</v>
      </c>
      <c r="D2401" s="195">
        <v>2029.2</v>
      </c>
      <c r="E2401" s="196">
        <v>44825</v>
      </c>
      <c r="F2401" s="195">
        <v>2029.2</v>
      </c>
      <c r="G2401" s="197">
        <f>Tabla110[[#This Row],[Importe]]-Tabla110[[#This Row],[Pagado]]</f>
        <v>0</v>
      </c>
      <c r="H2401" s="194" t="s">
        <v>10</v>
      </c>
    </row>
    <row r="2402" spans="1:8" x14ac:dyDescent="0.25">
      <c r="A2402" s="127">
        <v>44825</v>
      </c>
      <c r="B2402" s="128" t="s">
        <v>30503</v>
      </c>
      <c r="C2402" s="194" t="s">
        <v>214</v>
      </c>
      <c r="D2402" s="195">
        <v>1816.4</v>
      </c>
      <c r="E2402" s="196">
        <v>44825</v>
      </c>
      <c r="F2402" s="195">
        <v>1816.4</v>
      </c>
      <c r="G2402" s="197">
        <f>Tabla110[[#This Row],[Importe]]-Tabla110[[#This Row],[Pagado]]</f>
        <v>0</v>
      </c>
      <c r="H2402" s="194" t="s">
        <v>10</v>
      </c>
    </row>
    <row r="2403" spans="1:8" x14ac:dyDescent="0.25">
      <c r="A2403" s="127">
        <v>44825</v>
      </c>
      <c r="B2403" s="128" t="s">
        <v>30504</v>
      </c>
      <c r="C2403" s="194" t="s">
        <v>562</v>
      </c>
      <c r="D2403" s="195">
        <v>5511</v>
      </c>
      <c r="E2403" s="196">
        <v>44825</v>
      </c>
      <c r="F2403" s="195">
        <v>5511</v>
      </c>
      <c r="G2403" s="197">
        <f>Tabla110[[#This Row],[Importe]]-Tabla110[[#This Row],[Pagado]]</f>
        <v>0</v>
      </c>
      <c r="H2403" s="194" t="s">
        <v>10</v>
      </c>
    </row>
    <row r="2404" spans="1:8" x14ac:dyDescent="0.25">
      <c r="A2404" s="127">
        <v>44825</v>
      </c>
      <c r="B2404" s="128" t="s">
        <v>30505</v>
      </c>
      <c r="C2404" s="194" t="s">
        <v>475</v>
      </c>
      <c r="D2404" s="195">
        <v>7807.8</v>
      </c>
      <c r="E2404" s="196">
        <v>44826</v>
      </c>
      <c r="F2404" s="195">
        <v>7807.8</v>
      </c>
      <c r="G2404" s="197">
        <f>Tabla110[[#This Row],[Importe]]-Tabla110[[#This Row],[Pagado]]</f>
        <v>0</v>
      </c>
      <c r="H2404" s="194" t="s">
        <v>10</v>
      </c>
    </row>
    <row r="2405" spans="1:8" x14ac:dyDescent="0.25">
      <c r="A2405" s="127">
        <v>44825</v>
      </c>
      <c r="B2405" s="128" t="s">
        <v>30506</v>
      </c>
      <c r="C2405" s="194" t="s">
        <v>31</v>
      </c>
      <c r="D2405" s="195">
        <v>107.8</v>
      </c>
      <c r="E2405" s="196">
        <v>44825</v>
      </c>
      <c r="F2405" s="195">
        <v>107.8</v>
      </c>
      <c r="G2405" s="197">
        <f>Tabla110[[#This Row],[Importe]]-Tabla110[[#This Row],[Pagado]]</f>
        <v>0</v>
      </c>
      <c r="H2405" s="194" t="s">
        <v>10</v>
      </c>
    </row>
    <row r="2406" spans="1:8" x14ac:dyDescent="0.25">
      <c r="A2406" s="127">
        <v>44825</v>
      </c>
      <c r="B2406" s="128" t="s">
        <v>30507</v>
      </c>
      <c r="C2406" s="194" t="s">
        <v>31</v>
      </c>
      <c r="D2406" s="195">
        <v>539.6</v>
      </c>
      <c r="E2406" s="196">
        <v>44825</v>
      </c>
      <c r="F2406" s="195">
        <v>539.6</v>
      </c>
      <c r="G2406" s="197">
        <f>Tabla110[[#This Row],[Importe]]-Tabla110[[#This Row],[Pagado]]</f>
        <v>0</v>
      </c>
      <c r="H2406" s="194" t="s">
        <v>10</v>
      </c>
    </row>
    <row r="2407" spans="1:8" x14ac:dyDescent="0.25">
      <c r="A2407" s="127">
        <v>44825</v>
      </c>
      <c r="B2407" s="128" t="s">
        <v>30508</v>
      </c>
      <c r="C2407" s="194" t="s">
        <v>142</v>
      </c>
      <c r="D2407" s="195">
        <v>8619.2000000000007</v>
      </c>
      <c r="E2407" s="196">
        <v>44855</v>
      </c>
      <c r="F2407" s="195">
        <v>8619.2000000000007</v>
      </c>
      <c r="G2407" s="197">
        <f>Tabla110[[#This Row],[Importe]]-Tabla110[[#This Row],[Pagado]]</f>
        <v>0</v>
      </c>
      <c r="H2407" s="194" t="s">
        <v>10</v>
      </c>
    </row>
    <row r="2408" spans="1:8" x14ac:dyDescent="0.25">
      <c r="A2408" s="127">
        <v>44825</v>
      </c>
      <c r="B2408" s="128" t="s">
        <v>30509</v>
      </c>
      <c r="C2408" s="194" t="s">
        <v>284</v>
      </c>
      <c r="D2408" s="195">
        <v>6171.2</v>
      </c>
      <c r="E2408" s="196">
        <v>44826</v>
      </c>
      <c r="F2408" s="195">
        <v>6171.2</v>
      </c>
      <c r="G2408" s="197">
        <f>Tabla110[[#This Row],[Importe]]-Tabla110[[#This Row],[Pagado]]</f>
        <v>0</v>
      </c>
      <c r="H2408" s="194" t="s">
        <v>10</v>
      </c>
    </row>
    <row r="2409" spans="1:8" x14ac:dyDescent="0.25">
      <c r="A2409" s="127">
        <v>44825</v>
      </c>
      <c r="B2409" s="128" t="s">
        <v>30510</v>
      </c>
      <c r="C2409" s="194" t="s">
        <v>280</v>
      </c>
      <c r="D2409" s="195">
        <v>1504.8</v>
      </c>
      <c r="E2409" s="196">
        <v>44826</v>
      </c>
      <c r="F2409" s="195">
        <v>1504.8</v>
      </c>
      <c r="G2409" s="197">
        <f>Tabla110[[#This Row],[Importe]]-Tabla110[[#This Row],[Pagado]]</f>
        <v>0</v>
      </c>
      <c r="H2409" s="194" t="s">
        <v>10</v>
      </c>
    </row>
    <row r="2410" spans="1:8" x14ac:dyDescent="0.25">
      <c r="A2410" s="127">
        <v>44825</v>
      </c>
      <c r="B2410" s="128" t="s">
        <v>30511</v>
      </c>
      <c r="C2410" s="194" t="s">
        <v>10819</v>
      </c>
      <c r="D2410" s="195">
        <v>1398.4</v>
      </c>
      <c r="E2410" s="196">
        <v>44826</v>
      </c>
      <c r="F2410" s="195">
        <v>1398.4</v>
      </c>
      <c r="G2410" s="197">
        <f>Tabla110[[#This Row],[Importe]]-Tabla110[[#This Row],[Pagado]]</f>
        <v>0</v>
      </c>
      <c r="H2410" s="194" t="s">
        <v>10</v>
      </c>
    </row>
    <row r="2411" spans="1:8" x14ac:dyDescent="0.25">
      <c r="A2411" s="127">
        <v>44825</v>
      </c>
      <c r="B2411" s="128" t="s">
        <v>30512</v>
      </c>
      <c r="C2411" s="194" t="s">
        <v>296</v>
      </c>
      <c r="D2411" s="195">
        <v>7739</v>
      </c>
      <c r="E2411" s="196">
        <v>44825</v>
      </c>
      <c r="F2411" s="195">
        <v>7739</v>
      </c>
      <c r="G2411" s="197">
        <f>Tabla110[[#This Row],[Importe]]-Tabla110[[#This Row],[Pagado]]</f>
        <v>0</v>
      </c>
      <c r="H2411" s="194" t="s">
        <v>10</v>
      </c>
    </row>
    <row r="2412" spans="1:8" x14ac:dyDescent="0.25">
      <c r="A2412" s="127">
        <v>44825</v>
      </c>
      <c r="B2412" s="128" t="s">
        <v>30513</v>
      </c>
      <c r="C2412" s="194" t="s">
        <v>296</v>
      </c>
      <c r="D2412" s="195">
        <v>168</v>
      </c>
      <c r="E2412" s="196">
        <v>44825</v>
      </c>
      <c r="F2412" s="195">
        <v>168</v>
      </c>
      <c r="G2412" s="197">
        <f>Tabla110[[#This Row],[Importe]]-Tabla110[[#This Row],[Pagado]]</f>
        <v>0</v>
      </c>
      <c r="H2412" s="194" t="s">
        <v>10</v>
      </c>
    </row>
    <row r="2413" spans="1:8" x14ac:dyDescent="0.25">
      <c r="A2413" s="127">
        <v>44825</v>
      </c>
      <c r="B2413" s="128" t="s">
        <v>30514</v>
      </c>
      <c r="C2413" s="194" t="s">
        <v>15306</v>
      </c>
      <c r="D2413" s="195">
        <v>10437.9</v>
      </c>
      <c r="E2413" s="196">
        <v>44825</v>
      </c>
      <c r="F2413" s="195">
        <v>10437.9</v>
      </c>
      <c r="G2413" s="197">
        <f>Tabla110[[#This Row],[Importe]]-Tabla110[[#This Row],[Pagado]]</f>
        <v>0</v>
      </c>
      <c r="H2413" s="194" t="s">
        <v>10</v>
      </c>
    </row>
    <row r="2414" spans="1:8" x14ac:dyDescent="0.25">
      <c r="A2414" s="127">
        <v>44825</v>
      </c>
      <c r="B2414" s="128" t="s">
        <v>30515</v>
      </c>
      <c r="C2414" s="194" t="s">
        <v>2139</v>
      </c>
      <c r="D2414" s="195">
        <v>5251.6</v>
      </c>
      <c r="E2414" s="196">
        <v>44825</v>
      </c>
      <c r="F2414" s="195">
        <v>5251.6</v>
      </c>
      <c r="G2414" s="197">
        <f>Tabla110[[#This Row],[Importe]]-Tabla110[[#This Row],[Pagado]]</f>
        <v>0</v>
      </c>
      <c r="H2414" s="194" t="s">
        <v>10</v>
      </c>
    </row>
    <row r="2415" spans="1:8" x14ac:dyDescent="0.25">
      <c r="A2415" s="127">
        <v>44825</v>
      </c>
      <c r="B2415" s="128" t="s">
        <v>30516</v>
      </c>
      <c r="C2415" s="194" t="s">
        <v>845</v>
      </c>
      <c r="D2415" s="195">
        <v>553</v>
      </c>
      <c r="E2415" s="196">
        <v>44825</v>
      </c>
      <c r="F2415" s="195">
        <v>553</v>
      </c>
      <c r="G2415" s="197">
        <f>Tabla110[[#This Row],[Importe]]-Tabla110[[#This Row],[Pagado]]</f>
        <v>0</v>
      </c>
      <c r="H2415" s="194" t="s">
        <v>10</v>
      </c>
    </row>
    <row r="2416" spans="1:8" x14ac:dyDescent="0.25">
      <c r="A2416" s="127">
        <v>44825</v>
      </c>
      <c r="B2416" s="128" t="s">
        <v>30517</v>
      </c>
      <c r="C2416" s="194" t="s">
        <v>10324</v>
      </c>
      <c r="D2416" s="195">
        <v>4304.3</v>
      </c>
      <c r="E2416" s="196">
        <v>44825</v>
      </c>
      <c r="F2416" s="195">
        <v>4304.3</v>
      </c>
      <c r="G2416" s="197">
        <f>Tabla110[[#This Row],[Importe]]-Tabla110[[#This Row],[Pagado]]</f>
        <v>0</v>
      </c>
      <c r="H2416" s="194" t="s">
        <v>10</v>
      </c>
    </row>
    <row r="2417" spans="1:8" x14ac:dyDescent="0.25">
      <c r="A2417" s="127">
        <v>44825</v>
      </c>
      <c r="B2417" s="128" t="s">
        <v>30518</v>
      </c>
      <c r="C2417" s="194" t="s">
        <v>53</v>
      </c>
      <c r="D2417" s="195">
        <v>2480.4</v>
      </c>
      <c r="E2417" s="196">
        <v>44825</v>
      </c>
      <c r="F2417" s="195">
        <v>2480.4</v>
      </c>
      <c r="G2417" s="197">
        <f>Tabla110[[#This Row],[Importe]]-Tabla110[[#This Row],[Pagado]]</f>
        <v>0</v>
      </c>
      <c r="H2417" s="194" t="s">
        <v>10</v>
      </c>
    </row>
    <row r="2418" spans="1:8" x14ac:dyDescent="0.25">
      <c r="A2418" s="127">
        <v>44825</v>
      </c>
      <c r="B2418" s="128" t="s">
        <v>30519</v>
      </c>
      <c r="C2418" s="194" t="s">
        <v>875</v>
      </c>
      <c r="D2418" s="195">
        <v>59184.09</v>
      </c>
      <c r="E2418" s="196">
        <v>44826</v>
      </c>
      <c r="F2418" s="195">
        <v>59184.09</v>
      </c>
      <c r="G2418" s="197">
        <f>Tabla110[[#This Row],[Importe]]-Tabla110[[#This Row],[Pagado]]</f>
        <v>0</v>
      </c>
      <c r="H2418" s="194" t="s">
        <v>10</v>
      </c>
    </row>
    <row r="2419" spans="1:8" x14ac:dyDescent="0.25">
      <c r="A2419" s="127">
        <v>44825</v>
      </c>
      <c r="B2419" s="128" t="s">
        <v>30520</v>
      </c>
      <c r="C2419" s="194" t="s">
        <v>9577</v>
      </c>
      <c r="D2419" s="195">
        <v>23532</v>
      </c>
      <c r="E2419" s="196">
        <v>44826</v>
      </c>
      <c r="F2419" s="195">
        <v>23532</v>
      </c>
      <c r="G2419" s="197">
        <f>Tabla110[[#This Row],[Importe]]-Tabla110[[#This Row],[Pagado]]</f>
        <v>0</v>
      </c>
      <c r="H2419" s="194" t="s">
        <v>10</v>
      </c>
    </row>
    <row r="2420" spans="1:8" x14ac:dyDescent="0.25">
      <c r="A2420" s="127">
        <v>44825</v>
      </c>
      <c r="B2420" s="128" t="s">
        <v>30521</v>
      </c>
      <c r="C2420" s="194" t="s">
        <v>1421</v>
      </c>
      <c r="D2420" s="195">
        <v>61762.8</v>
      </c>
      <c r="E2420" s="196">
        <v>44825</v>
      </c>
      <c r="F2420" s="195">
        <v>61762.8</v>
      </c>
      <c r="G2420" s="197">
        <f>Tabla110[[#This Row],[Importe]]-Tabla110[[#This Row],[Pagado]]</f>
        <v>0</v>
      </c>
      <c r="H2420" s="194" t="s">
        <v>10</v>
      </c>
    </row>
    <row r="2421" spans="1:8" x14ac:dyDescent="0.25">
      <c r="A2421" s="127">
        <v>44825</v>
      </c>
      <c r="B2421" s="128" t="s">
        <v>30522</v>
      </c>
      <c r="C2421" s="194" t="s">
        <v>610</v>
      </c>
      <c r="D2421" s="195">
        <v>28472</v>
      </c>
      <c r="E2421" s="196">
        <v>44825</v>
      </c>
      <c r="F2421" s="195">
        <v>28472</v>
      </c>
      <c r="G2421" s="197">
        <f>Tabla110[[#This Row],[Importe]]-Tabla110[[#This Row],[Pagado]]</f>
        <v>0</v>
      </c>
      <c r="H2421" s="194" t="s">
        <v>10</v>
      </c>
    </row>
    <row r="2422" spans="1:8" x14ac:dyDescent="0.25">
      <c r="A2422" s="127">
        <v>44825</v>
      </c>
      <c r="B2422" s="128" t="s">
        <v>30523</v>
      </c>
      <c r="C2422" s="194" t="s">
        <v>296</v>
      </c>
      <c r="D2422" s="195">
        <v>2464.8000000000002</v>
      </c>
      <c r="E2422" s="196">
        <v>44825</v>
      </c>
      <c r="F2422" s="195">
        <v>2464.8000000000002</v>
      </c>
      <c r="G2422" s="197">
        <f>Tabla110[[#This Row],[Importe]]-Tabla110[[#This Row],[Pagado]]</f>
        <v>0</v>
      </c>
      <c r="H2422" s="194" t="s">
        <v>10</v>
      </c>
    </row>
    <row r="2423" spans="1:8" ht="31.5" x14ac:dyDescent="0.25">
      <c r="A2423" s="127">
        <v>44826</v>
      </c>
      <c r="B2423" s="128" t="s">
        <v>30524</v>
      </c>
      <c r="C2423" s="194" t="s">
        <v>887</v>
      </c>
      <c r="D2423" s="195">
        <v>16207.3</v>
      </c>
      <c r="E2423" s="198" t="s">
        <v>30525</v>
      </c>
      <c r="F2423" s="195">
        <f>15000+1207.3</f>
        <v>16207.3</v>
      </c>
      <c r="G2423" s="197">
        <f>Tabla110[[#This Row],[Importe]]-Tabla110[[#This Row],[Pagado]]</f>
        <v>0</v>
      </c>
      <c r="H2423" s="194" t="s">
        <v>10</v>
      </c>
    </row>
    <row r="2424" spans="1:8" x14ac:dyDescent="0.25">
      <c r="A2424" s="127">
        <v>44826</v>
      </c>
      <c r="B2424" s="128" t="s">
        <v>30526</v>
      </c>
      <c r="C2424" s="194" t="s">
        <v>475</v>
      </c>
      <c r="D2424" s="195">
        <v>69542.5</v>
      </c>
      <c r="E2424" s="196">
        <v>44827</v>
      </c>
      <c r="F2424" s="195">
        <v>69542.5</v>
      </c>
      <c r="G2424" s="197">
        <f>Tabla110[[#This Row],[Importe]]-Tabla110[[#This Row],[Pagado]]</f>
        <v>0</v>
      </c>
      <c r="H2424" s="194" t="s">
        <v>10</v>
      </c>
    </row>
    <row r="2425" spans="1:8" x14ac:dyDescent="0.25">
      <c r="A2425" s="127">
        <v>44826</v>
      </c>
      <c r="B2425" s="128" t="s">
        <v>30527</v>
      </c>
      <c r="C2425" s="194" t="s">
        <v>12</v>
      </c>
      <c r="D2425" s="195">
        <v>24357.3</v>
      </c>
      <c r="E2425" s="196">
        <v>44827</v>
      </c>
      <c r="F2425" s="195">
        <v>24357.3</v>
      </c>
      <c r="G2425" s="197">
        <f>Tabla110[[#This Row],[Importe]]-Tabla110[[#This Row],[Pagado]]</f>
        <v>0</v>
      </c>
      <c r="H2425" s="194" t="s">
        <v>10</v>
      </c>
    </row>
    <row r="2426" spans="1:8" x14ac:dyDescent="0.25">
      <c r="A2426" s="127">
        <v>44826</v>
      </c>
      <c r="B2426" s="128" t="s">
        <v>30528</v>
      </c>
      <c r="C2426" s="194" t="s">
        <v>1187</v>
      </c>
      <c r="D2426" s="195">
        <v>2191.8000000000002</v>
      </c>
      <c r="E2426" s="196">
        <v>44826</v>
      </c>
      <c r="F2426" s="195">
        <v>2191.8000000000002</v>
      </c>
      <c r="G2426" s="197">
        <f>Tabla110[[#This Row],[Importe]]-Tabla110[[#This Row],[Pagado]]</f>
        <v>0</v>
      </c>
      <c r="H2426" s="194" t="s">
        <v>10</v>
      </c>
    </row>
    <row r="2427" spans="1:8" x14ac:dyDescent="0.25">
      <c r="A2427" s="127">
        <v>44826</v>
      </c>
      <c r="B2427" s="128" t="s">
        <v>30529</v>
      </c>
      <c r="C2427" s="194" t="s">
        <v>473</v>
      </c>
      <c r="D2427" s="195">
        <v>8010</v>
      </c>
      <c r="E2427" s="196">
        <v>44826</v>
      </c>
      <c r="F2427" s="195">
        <v>8010</v>
      </c>
      <c r="G2427" s="197">
        <f>Tabla110[[#This Row],[Importe]]-Tabla110[[#This Row],[Pagado]]</f>
        <v>0</v>
      </c>
      <c r="H2427" s="194" t="s">
        <v>10</v>
      </c>
    </row>
    <row r="2428" spans="1:8" x14ac:dyDescent="0.25">
      <c r="A2428" s="127">
        <v>44826</v>
      </c>
      <c r="B2428" s="128" t="s">
        <v>30530</v>
      </c>
      <c r="C2428" s="194" t="s">
        <v>618</v>
      </c>
      <c r="D2428" s="195">
        <v>10562.5</v>
      </c>
      <c r="E2428" s="196">
        <v>44826</v>
      </c>
      <c r="F2428" s="195">
        <v>10562.5</v>
      </c>
      <c r="G2428" s="197">
        <f>Tabla110[[#This Row],[Importe]]-Tabla110[[#This Row],[Pagado]]</f>
        <v>0</v>
      </c>
      <c r="H2428" s="194" t="s">
        <v>10</v>
      </c>
    </row>
    <row r="2429" spans="1:8" x14ac:dyDescent="0.25">
      <c r="A2429" s="127">
        <v>44826</v>
      </c>
      <c r="B2429" s="128" t="s">
        <v>30531</v>
      </c>
      <c r="C2429" s="194" t="s">
        <v>75</v>
      </c>
      <c r="D2429" s="195">
        <v>6353.6</v>
      </c>
      <c r="E2429" s="196">
        <v>44826</v>
      </c>
      <c r="F2429" s="195">
        <v>6353.6</v>
      </c>
      <c r="G2429" s="197">
        <f>Tabla110[[#This Row],[Importe]]-Tabla110[[#This Row],[Pagado]]</f>
        <v>0</v>
      </c>
      <c r="H2429" s="194" t="s">
        <v>10</v>
      </c>
    </row>
    <row r="2430" spans="1:8" x14ac:dyDescent="0.25">
      <c r="A2430" s="127">
        <v>44826</v>
      </c>
      <c r="B2430" s="128" t="s">
        <v>30532</v>
      </c>
      <c r="C2430" s="194" t="s">
        <v>348</v>
      </c>
      <c r="D2430" s="195">
        <v>5742</v>
      </c>
      <c r="E2430" s="196">
        <v>44826</v>
      </c>
      <c r="F2430" s="195">
        <v>5742</v>
      </c>
      <c r="G2430" s="197">
        <f>Tabla110[[#This Row],[Importe]]-Tabla110[[#This Row],[Pagado]]</f>
        <v>0</v>
      </c>
      <c r="H2430" s="194" t="s">
        <v>10</v>
      </c>
    </row>
    <row r="2431" spans="1:8" x14ac:dyDescent="0.25">
      <c r="A2431" s="127">
        <v>44826</v>
      </c>
      <c r="B2431" s="128" t="s">
        <v>30533</v>
      </c>
      <c r="C2431" s="194" t="s">
        <v>31</v>
      </c>
      <c r="D2431" s="195">
        <v>1494</v>
      </c>
      <c r="E2431" s="196">
        <v>44827</v>
      </c>
      <c r="F2431" s="195">
        <v>1494</v>
      </c>
      <c r="G2431" s="197">
        <f>Tabla110[[#This Row],[Importe]]-Tabla110[[#This Row],[Pagado]]</f>
        <v>0</v>
      </c>
      <c r="H2431" s="194" t="s">
        <v>10</v>
      </c>
    </row>
    <row r="2432" spans="1:8" x14ac:dyDescent="0.25">
      <c r="A2432" s="127">
        <v>44826</v>
      </c>
      <c r="B2432" s="128" t="s">
        <v>30534</v>
      </c>
      <c r="C2432" s="194" t="s">
        <v>29341</v>
      </c>
      <c r="D2432" s="195">
        <v>4377.6000000000004</v>
      </c>
      <c r="E2432" s="196">
        <v>44826</v>
      </c>
      <c r="F2432" s="195">
        <v>4377.6000000000004</v>
      </c>
      <c r="G2432" s="197">
        <f>Tabla110[[#This Row],[Importe]]-Tabla110[[#This Row],[Pagado]]</f>
        <v>0</v>
      </c>
      <c r="H2432" s="194" t="s">
        <v>10</v>
      </c>
    </row>
    <row r="2433" spans="1:8" x14ac:dyDescent="0.25">
      <c r="A2433" s="127">
        <v>44826</v>
      </c>
      <c r="B2433" s="128" t="s">
        <v>30535</v>
      </c>
      <c r="C2433" s="194" t="s">
        <v>326</v>
      </c>
      <c r="D2433" s="195">
        <v>6003.2</v>
      </c>
      <c r="E2433" s="196">
        <v>44827</v>
      </c>
      <c r="F2433" s="195">
        <v>6003.2</v>
      </c>
      <c r="G2433" s="197">
        <f>Tabla110[[#This Row],[Importe]]-Tabla110[[#This Row],[Pagado]]</f>
        <v>0</v>
      </c>
      <c r="H2433" s="194" t="s">
        <v>10</v>
      </c>
    </row>
    <row r="2434" spans="1:8" x14ac:dyDescent="0.25">
      <c r="A2434" s="127">
        <v>44826</v>
      </c>
      <c r="B2434" s="128" t="s">
        <v>30536</v>
      </c>
      <c r="C2434" s="194" t="s">
        <v>2151</v>
      </c>
      <c r="D2434" s="195">
        <v>8736.7999999999993</v>
      </c>
      <c r="E2434" s="196">
        <v>44826</v>
      </c>
      <c r="F2434" s="195">
        <v>8736.7999999999993</v>
      </c>
      <c r="G2434" s="197">
        <f>Tabla110[[#This Row],[Importe]]-Tabla110[[#This Row],[Pagado]]</f>
        <v>0</v>
      </c>
      <c r="H2434" s="194" t="s">
        <v>10</v>
      </c>
    </row>
    <row r="2435" spans="1:8" x14ac:dyDescent="0.25">
      <c r="A2435" s="127">
        <v>44826</v>
      </c>
      <c r="B2435" s="128" t="s">
        <v>30537</v>
      </c>
      <c r="C2435" s="194" t="s">
        <v>89</v>
      </c>
      <c r="D2435" s="195">
        <v>16032</v>
      </c>
      <c r="E2435" s="196">
        <v>44827</v>
      </c>
      <c r="F2435" s="195">
        <v>16032</v>
      </c>
      <c r="G2435" s="197">
        <f>Tabla110[[#This Row],[Importe]]-Tabla110[[#This Row],[Pagado]]</f>
        <v>0</v>
      </c>
      <c r="H2435" s="194" t="s">
        <v>10</v>
      </c>
    </row>
    <row r="2436" spans="1:8" x14ac:dyDescent="0.25">
      <c r="A2436" s="127">
        <v>44826</v>
      </c>
      <c r="B2436" s="128" t="s">
        <v>30538</v>
      </c>
      <c r="C2436" s="194" t="s">
        <v>353</v>
      </c>
      <c r="D2436" s="195">
        <v>3666</v>
      </c>
      <c r="E2436" s="196">
        <v>44826</v>
      </c>
      <c r="F2436" s="195">
        <v>3666</v>
      </c>
      <c r="G2436" s="197">
        <f>Tabla110[[#This Row],[Importe]]-Tabla110[[#This Row],[Pagado]]</f>
        <v>0</v>
      </c>
      <c r="H2436" s="194" t="s">
        <v>10</v>
      </c>
    </row>
    <row r="2437" spans="1:8" x14ac:dyDescent="0.25">
      <c r="A2437" s="127">
        <v>44826</v>
      </c>
      <c r="B2437" s="128" t="s">
        <v>30539</v>
      </c>
      <c r="C2437" s="194" t="s">
        <v>24768</v>
      </c>
      <c r="D2437" s="195">
        <v>4834.8</v>
      </c>
      <c r="E2437" s="196">
        <v>44826</v>
      </c>
      <c r="F2437" s="195">
        <v>4834.8</v>
      </c>
      <c r="G2437" s="197">
        <f>Tabla110[[#This Row],[Importe]]-Tabla110[[#This Row],[Pagado]]</f>
        <v>0</v>
      </c>
      <c r="H2437" s="194" t="s">
        <v>10</v>
      </c>
    </row>
    <row r="2438" spans="1:8" x14ac:dyDescent="0.25">
      <c r="A2438" s="127">
        <v>44826</v>
      </c>
      <c r="B2438" s="128" t="s">
        <v>30540</v>
      </c>
      <c r="C2438" s="194" t="s">
        <v>60</v>
      </c>
      <c r="D2438" s="195">
        <v>5122</v>
      </c>
      <c r="E2438" s="196">
        <v>44830</v>
      </c>
      <c r="F2438" s="195">
        <v>5122</v>
      </c>
      <c r="G2438" s="197">
        <f>Tabla110[[#This Row],[Importe]]-Tabla110[[#This Row],[Pagado]]</f>
        <v>0</v>
      </c>
      <c r="H2438" s="194" t="s">
        <v>10</v>
      </c>
    </row>
    <row r="2439" spans="1:8" x14ac:dyDescent="0.25">
      <c r="A2439" s="127">
        <v>44826</v>
      </c>
      <c r="B2439" s="128" t="s">
        <v>30541</v>
      </c>
      <c r="C2439" s="194" t="s">
        <v>114</v>
      </c>
      <c r="D2439" s="195">
        <v>6756</v>
      </c>
      <c r="E2439" s="196">
        <v>44828</v>
      </c>
      <c r="F2439" s="195">
        <v>6756</v>
      </c>
      <c r="G2439" s="197">
        <f>Tabla110[[#This Row],[Importe]]-Tabla110[[#This Row],[Pagado]]</f>
        <v>0</v>
      </c>
      <c r="H2439" s="194" t="s">
        <v>10</v>
      </c>
    </row>
    <row r="2440" spans="1:8" x14ac:dyDescent="0.25">
      <c r="A2440" s="127">
        <v>44826</v>
      </c>
      <c r="B2440" s="128" t="s">
        <v>30542</v>
      </c>
      <c r="C2440" s="194" t="s">
        <v>18</v>
      </c>
      <c r="D2440" s="195">
        <v>1973.4</v>
      </c>
      <c r="E2440" s="196">
        <v>44826</v>
      </c>
      <c r="F2440" s="195">
        <v>1973.4</v>
      </c>
      <c r="G2440" s="197">
        <f>Tabla110[[#This Row],[Importe]]-Tabla110[[#This Row],[Pagado]]</f>
        <v>0</v>
      </c>
      <c r="H2440" s="194" t="s">
        <v>10</v>
      </c>
    </row>
    <row r="2441" spans="1:8" x14ac:dyDescent="0.25">
      <c r="A2441" s="127">
        <v>44826</v>
      </c>
      <c r="B2441" s="128" t="s">
        <v>30543</v>
      </c>
      <c r="C2441" s="194" t="s">
        <v>64</v>
      </c>
      <c r="D2441" s="195">
        <v>5414.5</v>
      </c>
      <c r="E2441" s="196">
        <v>44827</v>
      </c>
      <c r="F2441" s="195">
        <v>5414.5</v>
      </c>
      <c r="G2441" s="197">
        <f>Tabla110[[#This Row],[Importe]]-Tabla110[[#This Row],[Pagado]]</f>
        <v>0</v>
      </c>
      <c r="H2441" s="194" t="s">
        <v>10</v>
      </c>
    </row>
    <row r="2442" spans="1:8" x14ac:dyDescent="0.25">
      <c r="A2442" s="127">
        <v>44826</v>
      </c>
      <c r="B2442" s="128" t="s">
        <v>30544</v>
      </c>
      <c r="C2442" s="194" t="s">
        <v>30545</v>
      </c>
      <c r="D2442" s="195">
        <v>0</v>
      </c>
      <c r="E2442" s="199" t="s">
        <v>189</v>
      </c>
      <c r="F2442" s="195">
        <v>0</v>
      </c>
      <c r="G2442" s="197">
        <f>Tabla110[[#This Row],[Importe]]-Tabla110[[#This Row],[Pagado]]</f>
        <v>0</v>
      </c>
      <c r="H2442" s="200" t="s">
        <v>30546</v>
      </c>
    </row>
    <row r="2443" spans="1:8" x14ac:dyDescent="0.25">
      <c r="A2443" s="127">
        <v>44826</v>
      </c>
      <c r="B2443" s="128" t="s">
        <v>30547</v>
      </c>
      <c r="C2443" s="194" t="s">
        <v>105</v>
      </c>
      <c r="D2443" s="195">
        <v>10695</v>
      </c>
      <c r="E2443" s="196">
        <v>44828</v>
      </c>
      <c r="F2443" s="195">
        <v>10695</v>
      </c>
      <c r="G2443" s="197">
        <f>Tabla110[[#This Row],[Importe]]-Tabla110[[#This Row],[Pagado]]</f>
        <v>0</v>
      </c>
      <c r="H2443" s="194" t="s">
        <v>10</v>
      </c>
    </row>
    <row r="2444" spans="1:8" x14ac:dyDescent="0.25">
      <c r="A2444" s="127">
        <v>44826</v>
      </c>
      <c r="B2444" s="128" t="s">
        <v>30548</v>
      </c>
      <c r="C2444" s="194" t="s">
        <v>93</v>
      </c>
      <c r="D2444" s="195">
        <v>6532.5</v>
      </c>
      <c r="E2444" s="196">
        <v>44827</v>
      </c>
      <c r="F2444" s="195">
        <v>6532.5</v>
      </c>
      <c r="G2444" s="197">
        <f>Tabla110[[#This Row],[Importe]]-Tabla110[[#This Row],[Pagado]]</f>
        <v>0</v>
      </c>
      <c r="H2444" s="194" t="s">
        <v>10</v>
      </c>
    </row>
    <row r="2445" spans="1:8" x14ac:dyDescent="0.25">
      <c r="A2445" s="127">
        <v>44826</v>
      </c>
      <c r="B2445" s="128" t="s">
        <v>30549</v>
      </c>
      <c r="C2445" s="194" t="s">
        <v>111</v>
      </c>
      <c r="D2445" s="195">
        <v>5947.5</v>
      </c>
      <c r="E2445" s="196">
        <v>44827</v>
      </c>
      <c r="F2445" s="195">
        <v>5947.5</v>
      </c>
      <c r="G2445" s="197">
        <f>Tabla110[[#This Row],[Importe]]-Tabla110[[#This Row],[Pagado]]</f>
        <v>0</v>
      </c>
      <c r="H2445" s="194" t="s">
        <v>10</v>
      </c>
    </row>
    <row r="2446" spans="1:8" x14ac:dyDescent="0.25">
      <c r="A2446" s="127">
        <v>44826</v>
      </c>
      <c r="B2446" s="128" t="s">
        <v>30550</v>
      </c>
      <c r="C2446" s="194" t="s">
        <v>97</v>
      </c>
      <c r="D2446" s="195">
        <v>1112.4000000000001</v>
      </c>
      <c r="E2446" s="196">
        <v>44827</v>
      </c>
      <c r="F2446" s="195">
        <v>1112.4000000000001</v>
      </c>
      <c r="G2446" s="197">
        <f>Tabla110[[#This Row],[Importe]]-Tabla110[[#This Row],[Pagado]]</f>
        <v>0</v>
      </c>
      <c r="H2446" s="194" t="s">
        <v>10</v>
      </c>
    </row>
    <row r="2447" spans="1:8" x14ac:dyDescent="0.25">
      <c r="A2447" s="127">
        <v>44826</v>
      </c>
      <c r="B2447" s="128" t="s">
        <v>30551</v>
      </c>
      <c r="C2447" s="194" t="s">
        <v>22</v>
      </c>
      <c r="D2447" s="195">
        <v>36373.4</v>
      </c>
      <c r="E2447" s="196">
        <v>44827</v>
      </c>
      <c r="F2447" s="195">
        <v>36373.4</v>
      </c>
      <c r="G2447" s="197">
        <f>Tabla110[[#This Row],[Importe]]-Tabla110[[#This Row],[Pagado]]</f>
        <v>0</v>
      </c>
      <c r="H2447" s="194" t="s">
        <v>10</v>
      </c>
    </row>
    <row r="2448" spans="1:8" x14ac:dyDescent="0.25">
      <c r="A2448" s="127">
        <v>44826</v>
      </c>
      <c r="B2448" s="128" t="s">
        <v>30552</v>
      </c>
      <c r="C2448" s="194" t="s">
        <v>131</v>
      </c>
      <c r="D2448" s="195">
        <v>6935.4</v>
      </c>
      <c r="E2448" s="196">
        <v>44826</v>
      </c>
      <c r="F2448" s="195">
        <v>6935.4</v>
      </c>
      <c r="G2448" s="197">
        <f>Tabla110[[#This Row],[Importe]]-Tabla110[[#This Row],[Pagado]]</f>
        <v>0</v>
      </c>
      <c r="H2448" s="194" t="s">
        <v>10</v>
      </c>
    </row>
    <row r="2449" spans="1:8" x14ac:dyDescent="0.25">
      <c r="A2449" s="127">
        <v>44826</v>
      </c>
      <c r="B2449" s="128" t="s">
        <v>30553</v>
      </c>
      <c r="C2449" s="194" t="s">
        <v>12</v>
      </c>
      <c r="D2449" s="195">
        <v>6895.05</v>
      </c>
      <c r="E2449" s="196" t="s">
        <v>30554</v>
      </c>
      <c r="F2449" s="195">
        <v>6895.05</v>
      </c>
      <c r="G2449" s="197">
        <f>Tabla110[[#This Row],[Importe]]-Tabla110[[#This Row],[Pagado]]</f>
        <v>0</v>
      </c>
      <c r="H2449" s="194" t="s">
        <v>10</v>
      </c>
    </row>
    <row r="2450" spans="1:8" x14ac:dyDescent="0.25">
      <c r="A2450" s="127">
        <v>44826</v>
      </c>
      <c r="B2450" s="128" t="s">
        <v>30555</v>
      </c>
      <c r="C2450" s="194" t="s">
        <v>484</v>
      </c>
      <c r="D2450" s="195">
        <v>4064</v>
      </c>
      <c r="E2450" s="196">
        <v>44826</v>
      </c>
      <c r="F2450" s="195">
        <v>4064</v>
      </c>
      <c r="G2450" s="197">
        <f>Tabla110[[#This Row],[Importe]]-Tabla110[[#This Row],[Pagado]]</f>
        <v>0</v>
      </c>
      <c r="H2450" s="194" t="s">
        <v>10</v>
      </c>
    </row>
    <row r="2451" spans="1:8" x14ac:dyDescent="0.25">
      <c r="A2451" s="127">
        <v>44826</v>
      </c>
      <c r="B2451" s="128" t="s">
        <v>30556</v>
      </c>
      <c r="C2451" s="194" t="s">
        <v>83</v>
      </c>
      <c r="D2451" s="195">
        <v>6602</v>
      </c>
      <c r="E2451" s="196">
        <v>44826</v>
      </c>
      <c r="F2451" s="195">
        <v>6602</v>
      </c>
      <c r="G2451" s="197">
        <f>Tabla110[[#This Row],[Importe]]-Tabla110[[#This Row],[Pagado]]</f>
        <v>0</v>
      </c>
      <c r="H2451" s="194" t="s">
        <v>10</v>
      </c>
    </row>
    <row r="2452" spans="1:8" x14ac:dyDescent="0.25">
      <c r="A2452" s="127">
        <v>44826</v>
      </c>
      <c r="B2452" s="128" t="s">
        <v>30557</v>
      </c>
      <c r="C2452" s="194" t="s">
        <v>9</v>
      </c>
      <c r="D2452" s="195">
        <v>6893.5</v>
      </c>
      <c r="E2452" s="196">
        <v>44826</v>
      </c>
      <c r="F2452" s="195">
        <v>6893.5</v>
      </c>
      <c r="G2452" s="197">
        <f>Tabla110[[#This Row],[Importe]]-Tabla110[[#This Row],[Pagado]]</f>
        <v>0</v>
      </c>
      <c r="H2452" s="194" t="s">
        <v>10</v>
      </c>
    </row>
    <row r="2453" spans="1:8" x14ac:dyDescent="0.25">
      <c r="A2453" s="127">
        <v>44826</v>
      </c>
      <c r="B2453" s="128" t="s">
        <v>30558</v>
      </c>
      <c r="C2453" s="194" t="s">
        <v>87</v>
      </c>
      <c r="D2453" s="195">
        <v>2830</v>
      </c>
      <c r="E2453" s="196">
        <v>44826</v>
      </c>
      <c r="F2453" s="195">
        <v>2830</v>
      </c>
      <c r="G2453" s="197">
        <f>Tabla110[[#This Row],[Importe]]-Tabla110[[#This Row],[Pagado]]</f>
        <v>0</v>
      </c>
      <c r="H2453" s="194" t="s">
        <v>10</v>
      </c>
    </row>
    <row r="2454" spans="1:8" x14ac:dyDescent="0.25">
      <c r="A2454" s="127">
        <v>44826</v>
      </c>
      <c r="B2454" s="128" t="s">
        <v>30559</v>
      </c>
      <c r="C2454" s="194" t="s">
        <v>127</v>
      </c>
      <c r="D2454" s="195">
        <v>2715.3</v>
      </c>
      <c r="E2454" s="196">
        <v>44826</v>
      </c>
      <c r="F2454" s="195">
        <v>2715.3</v>
      </c>
      <c r="G2454" s="197">
        <f>Tabla110[[#This Row],[Importe]]-Tabla110[[#This Row],[Pagado]]</f>
        <v>0</v>
      </c>
      <c r="H2454" s="194" t="s">
        <v>10</v>
      </c>
    </row>
    <row r="2455" spans="1:8" x14ac:dyDescent="0.25">
      <c r="A2455" s="127">
        <v>44826</v>
      </c>
      <c r="B2455" s="128" t="s">
        <v>30560</v>
      </c>
      <c r="C2455" s="194" t="s">
        <v>357</v>
      </c>
      <c r="D2455" s="195">
        <v>632.4</v>
      </c>
      <c r="E2455" s="196">
        <v>44826</v>
      </c>
      <c r="F2455" s="195">
        <v>632.4</v>
      </c>
      <c r="G2455" s="197">
        <f>Tabla110[[#This Row],[Importe]]-Tabla110[[#This Row],[Pagado]]</f>
        <v>0</v>
      </c>
      <c r="H2455" s="194" t="s">
        <v>10</v>
      </c>
    </row>
    <row r="2456" spans="1:8" x14ac:dyDescent="0.25">
      <c r="A2456" s="127">
        <v>44826</v>
      </c>
      <c r="B2456" s="128" t="s">
        <v>30561</v>
      </c>
      <c r="C2456" s="194" t="s">
        <v>140</v>
      </c>
      <c r="D2456" s="195">
        <v>4727.2</v>
      </c>
      <c r="E2456" s="196">
        <v>44826</v>
      </c>
      <c r="F2456" s="195">
        <v>4727.2</v>
      </c>
      <c r="G2456" s="197">
        <f>Tabla110[[#This Row],[Importe]]-Tabla110[[#This Row],[Pagado]]</f>
        <v>0</v>
      </c>
      <c r="H2456" s="194" t="s">
        <v>10</v>
      </c>
    </row>
    <row r="2457" spans="1:8" x14ac:dyDescent="0.25">
      <c r="A2457" s="127">
        <v>44826</v>
      </c>
      <c r="B2457" s="128" t="s">
        <v>30562</v>
      </c>
      <c r="C2457" s="194" t="s">
        <v>450</v>
      </c>
      <c r="D2457" s="195">
        <v>9244.6</v>
      </c>
      <c r="E2457" s="196">
        <v>44826</v>
      </c>
      <c r="F2457" s="195">
        <v>9244.6</v>
      </c>
      <c r="G2457" s="197">
        <f>Tabla110[[#This Row],[Importe]]-Tabla110[[#This Row],[Pagado]]</f>
        <v>0</v>
      </c>
      <c r="H2457" s="194" t="s">
        <v>10</v>
      </c>
    </row>
    <row r="2458" spans="1:8" x14ac:dyDescent="0.25">
      <c r="A2458" s="127">
        <v>44826</v>
      </c>
      <c r="B2458" s="128" t="s">
        <v>30563</v>
      </c>
      <c r="C2458" s="194" t="s">
        <v>501</v>
      </c>
      <c r="D2458" s="195">
        <v>5970</v>
      </c>
      <c r="E2458" s="196">
        <v>44826</v>
      </c>
      <c r="F2458" s="195">
        <v>5970</v>
      </c>
      <c r="G2458" s="197">
        <f>Tabla110[[#This Row],[Importe]]-Tabla110[[#This Row],[Pagado]]</f>
        <v>0</v>
      </c>
      <c r="H2458" s="194" t="s">
        <v>10</v>
      </c>
    </row>
    <row r="2459" spans="1:8" x14ac:dyDescent="0.25">
      <c r="A2459" s="127">
        <v>44826</v>
      </c>
      <c r="B2459" s="128" t="s">
        <v>30564</v>
      </c>
      <c r="C2459" s="194" t="s">
        <v>777</v>
      </c>
      <c r="D2459" s="195">
        <v>3717</v>
      </c>
      <c r="E2459" s="196">
        <v>44826</v>
      </c>
      <c r="F2459" s="195">
        <v>3717</v>
      </c>
      <c r="G2459" s="197">
        <f>Tabla110[[#This Row],[Importe]]-Tabla110[[#This Row],[Pagado]]</f>
        <v>0</v>
      </c>
      <c r="H2459" s="194" t="s">
        <v>10</v>
      </c>
    </row>
    <row r="2460" spans="1:8" x14ac:dyDescent="0.25">
      <c r="A2460" s="127">
        <v>44826</v>
      </c>
      <c r="B2460" s="128" t="s">
        <v>30565</v>
      </c>
      <c r="C2460" s="194" t="s">
        <v>333</v>
      </c>
      <c r="D2460" s="195">
        <v>1903.2</v>
      </c>
      <c r="E2460" s="196">
        <v>44826</v>
      </c>
      <c r="F2460" s="195">
        <v>1903.2</v>
      </c>
      <c r="G2460" s="197">
        <f>Tabla110[[#This Row],[Importe]]-Tabla110[[#This Row],[Pagado]]</f>
        <v>0</v>
      </c>
      <c r="H2460" s="194" t="s">
        <v>10</v>
      </c>
    </row>
    <row r="2461" spans="1:8" x14ac:dyDescent="0.25">
      <c r="A2461" s="127">
        <v>44826</v>
      </c>
      <c r="B2461" s="128" t="s">
        <v>30566</v>
      </c>
      <c r="C2461" s="194" t="s">
        <v>448</v>
      </c>
      <c r="D2461" s="195">
        <v>22982.400000000001</v>
      </c>
      <c r="E2461" s="196">
        <v>44826</v>
      </c>
      <c r="F2461" s="195">
        <v>22982.400000000001</v>
      </c>
      <c r="G2461" s="197">
        <f>Tabla110[[#This Row],[Importe]]-Tabla110[[#This Row],[Pagado]]</f>
        <v>0</v>
      </c>
      <c r="H2461" s="194" t="s">
        <v>10</v>
      </c>
    </row>
    <row r="2462" spans="1:8" x14ac:dyDescent="0.25">
      <c r="A2462" s="127">
        <v>44826</v>
      </c>
      <c r="B2462" s="128" t="s">
        <v>30567</v>
      </c>
      <c r="C2462" s="194" t="s">
        <v>312</v>
      </c>
      <c r="D2462" s="195">
        <v>1043.4000000000001</v>
      </c>
      <c r="E2462" s="196">
        <v>44826</v>
      </c>
      <c r="F2462" s="195">
        <v>1043.4000000000001</v>
      </c>
      <c r="G2462" s="197">
        <f>Tabla110[[#This Row],[Importe]]-Tabla110[[#This Row],[Pagado]]</f>
        <v>0</v>
      </c>
      <c r="H2462" s="194" t="s">
        <v>10</v>
      </c>
    </row>
    <row r="2463" spans="1:8" x14ac:dyDescent="0.25">
      <c r="A2463" s="127">
        <v>44826</v>
      </c>
      <c r="B2463" s="128" t="s">
        <v>30568</v>
      </c>
      <c r="C2463" s="194" t="s">
        <v>24</v>
      </c>
      <c r="D2463" s="195">
        <v>4479</v>
      </c>
      <c r="E2463" s="196">
        <v>44826</v>
      </c>
      <c r="F2463" s="195">
        <v>4479</v>
      </c>
      <c r="G2463" s="197">
        <f>Tabla110[[#This Row],[Importe]]-Tabla110[[#This Row],[Pagado]]</f>
        <v>0</v>
      </c>
      <c r="H2463" s="194" t="s">
        <v>10</v>
      </c>
    </row>
    <row r="2464" spans="1:8" x14ac:dyDescent="0.25">
      <c r="A2464" s="127">
        <v>44826</v>
      </c>
      <c r="B2464" s="128" t="s">
        <v>30569</v>
      </c>
      <c r="C2464" s="194" t="s">
        <v>49</v>
      </c>
      <c r="D2464" s="195">
        <v>3608</v>
      </c>
      <c r="E2464" s="196">
        <v>44826</v>
      </c>
      <c r="F2464" s="195">
        <v>3608</v>
      </c>
      <c r="G2464" s="197">
        <f>Tabla110[[#This Row],[Importe]]-Tabla110[[#This Row],[Pagado]]</f>
        <v>0</v>
      </c>
      <c r="H2464" s="194" t="s">
        <v>10</v>
      </c>
    </row>
    <row r="2465" spans="1:8" x14ac:dyDescent="0.25">
      <c r="A2465" s="127">
        <v>44826</v>
      </c>
      <c r="B2465" s="128" t="s">
        <v>30570</v>
      </c>
      <c r="C2465" s="194" t="s">
        <v>79</v>
      </c>
      <c r="D2465" s="195">
        <v>6482.8</v>
      </c>
      <c r="E2465" s="196">
        <v>44826</v>
      </c>
      <c r="F2465" s="195">
        <v>6482.8</v>
      </c>
      <c r="G2465" s="197">
        <f>Tabla110[[#This Row],[Importe]]-Tabla110[[#This Row],[Pagado]]</f>
        <v>0</v>
      </c>
      <c r="H2465" s="194" t="s">
        <v>10</v>
      </c>
    </row>
    <row r="2466" spans="1:8" x14ac:dyDescent="0.25">
      <c r="A2466" s="127">
        <v>44826</v>
      </c>
      <c r="B2466" s="128" t="s">
        <v>30571</v>
      </c>
      <c r="C2466" s="194" t="s">
        <v>230</v>
      </c>
      <c r="D2466" s="195">
        <v>5838.9</v>
      </c>
      <c r="E2466" s="196">
        <v>44826</v>
      </c>
      <c r="F2466" s="195">
        <v>5838.9</v>
      </c>
      <c r="G2466" s="197">
        <f>Tabla110[[#This Row],[Importe]]-Tabla110[[#This Row],[Pagado]]</f>
        <v>0</v>
      </c>
      <c r="H2466" s="194" t="s">
        <v>10</v>
      </c>
    </row>
    <row r="2467" spans="1:8" x14ac:dyDescent="0.25">
      <c r="A2467" s="127">
        <v>44826</v>
      </c>
      <c r="B2467" s="128" t="s">
        <v>30572</v>
      </c>
      <c r="C2467" s="194" t="s">
        <v>647</v>
      </c>
      <c r="D2467" s="195">
        <v>5932</v>
      </c>
      <c r="E2467" s="196">
        <v>44826</v>
      </c>
      <c r="F2467" s="195">
        <v>5932</v>
      </c>
      <c r="G2467" s="197">
        <f>Tabla110[[#This Row],[Importe]]-Tabla110[[#This Row],[Pagado]]</f>
        <v>0</v>
      </c>
      <c r="H2467" s="194" t="s">
        <v>10</v>
      </c>
    </row>
    <row r="2468" spans="1:8" x14ac:dyDescent="0.25">
      <c r="A2468" s="127">
        <v>44826</v>
      </c>
      <c r="B2468" s="128" t="s">
        <v>30573</v>
      </c>
      <c r="C2468" s="194" t="s">
        <v>16299</v>
      </c>
      <c r="D2468" s="195">
        <v>0</v>
      </c>
      <c r="E2468" s="199" t="s">
        <v>189</v>
      </c>
      <c r="F2468" s="195">
        <v>0</v>
      </c>
      <c r="G2468" s="197">
        <f>Tabla110[[#This Row],[Importe]]-Tabla110[[#This Row],[Pagado]]</f>
        <v>0</v>
      </c>
      <c r="H2468" s="200" t="s">
        <v>30574</v>
      </c>
    </row>
    <row r="2469" spans="1:8" x14ac:dyDescent="0.25">
      <c r="A2469" s="127">
        <v>44826</v>
      </c>
      <c r="B2469" s="128" t="s">
        <v>30575</v>
      </c>
      <c r="C2469" s="194" t="s">
        <v>17556</v>
      </c>
      <c r="D2469" s="195">
        <v>3068.5</v>
      </c>
      <c r="E2469" s="196">
        <v>44826</v>
      </c>
      <c r="F2469" s="195">
        <v>3068.5</v>
      </c>
      <c r="G2469" s="197">
        <f>Tabla110[[#This Row],[Importe]]-Tabla110[[#This Row],[Pagado]]</f>
        <v>0</v>
      </c>
      <c r="H2469" s="194" t="s">
        <v>10</v>
      </c>
    </row>
    <row r="2470" spans="1:8" x14ac:dyDescent="0.25">
      <c r="A2470" s="127">
        <v>44826</v>
      </c>
      <c r="B2470" s="128" t="s">
        <v>30576</v>
      </c>
      <c r="C2470" s="194" t="s">
        <v>198</v>
      </c>
      <c r="D2470" s="195">
        <v>6402.8</v>
      </c>
      <c r="E2470" s="196">
        <v>44826</v>
      </c>
      <c r="F2470" s="195">
        <v>6402.8</v>
      </c>
      <c r="G2470" s="197">
        <f>Tabla110[[#This Row],[Importe]]-Tabla110[[#This Row],[Pagado]]</f>
        <v>0</v>
      </c>
      <c r="H2470" s="194" t="s">
        <v>10</v>
      </c>
    </row>
    <row r="2471" spans="1:8" x14ac:dyDescent="0.25">
      <c r="A2471" s="127">
        <v>44826</v>
      </c>
      <c r="B2471" s="128" t="s">
        <v>30577</v>
      </c>
      <c r="C2471" s="194" t="s">
        <v>647</v>
      </c>
      <c r="D2471" s="195">
        <v>441</v>
      </c>
      <c r="E2471" s="196">
        <v>44826</v>
      </c>
      <c r="F2471" s="195">
        <v>441</v>
      </c>
      <c r="G2471" s="197">
        <f>Tabla110[[#This Row],[Importe]]-Tabla110[[#This Row],[Pagado]]</f>
        <v>0</v>
      </c>
      <c r="H2471" s="194" t="s">
        <v>10</v>
      </c>
    </row>
    <row r="2472" spans="1:8" x14ac:dyDescent="0.25">
      <c r="A2472" s="127">
        <v>44826</v>
      </c>
      <c r="B2472" s="128" t="s">
        <v>30578</v>
      </c>
      <c r="C2472" s="194" t="s">
        <v>142</v>
      </c>
      <c r="D2472" s="195">
        <v>26763.09</v>
      </c>
      <c r="E2472" s="196">
        <v>44855</v>
      </c>
      <c r="F2472" s="195">
        <v>26763.09</v>
      </c>
      <c r="G2472" s="197">
        <f>Tabla110[[#This Row],[Importe]]-Tabla110[[#This Row],[Pagado]]</f>
        <v>0</v>
      </c>
      <c r="H2472" s="194" t="s">
        <v>10</v>
      </c>
    </row>
    <row r="2473" spans="1:8" x14ac:dyDescent="0.25">
      <c r="A2473" s="127">
        <v>44826</v>
      </c>
      <c r="B2473" s="128" t="s">
        <v>30579</v>
      </c>
      <c r="C2473" s="194" t="s">
        <v>157</v>
      </c>
      <c r="D2473" s="195">
        <v>6963.2</v>
      </c>
      <c r="E2473" s="196">
        <v>44826</v>
      </c>
      <c r="F2473" s="195">
        <v>6963.2</v>
      </c>
      <c r="G2473" s="197">
        <f>Tabla110[[#This Row],[Importe]]-Tabla110[[#This Row],[Pagado]]</f>
        <v>0</v>
      </c>
      <c r="H2473" s="194" t="s">
        <v>10</v>
      </c>
    </row>
    <row r="2474" spans="1:8" x14ac:dyDescent="0.25">
      <c r="A2474" s="127">
        <v>44826</v>
      </c>
      <c r="B2474" s="128" t="s">
        <v>30580</v>
      </c>
      <c r="C2474" s="194" t="s">
        <v>28087</v>
      </c>
      <c r="D2474" s="195">
        <v>107736.27</v>
      </c>
      <c r="E2474" s="196">
        <v>44826</v>
      </c>
      <c r="F2474" s="195">
        <v>107736.27</v>
      </c>
      <c r="G2474" s="197">
        <f>Tabla110[[#This Row],[Importe]]-Tabla110[[#This Row],[Pagado]]</f>
        <v>0</v>
      </c>
      <c r="H2474" s="194" t="s">
        <v>10</v>
      </c>
    </row>
    <row r="2475" spans="1:8" x14ac:dyDescent="0.25">
      <c r="A2475" s="127">
        <v>44826</v>
      </c>
      <c r="B2475" s="128" t="s">
        <v>30581</v>
      </c>
      <c r="C2475" s="194" t="s">
        <v>319</v>
      </c>
      <c r="D2475" s="195">
        <v>12511.7</v>
      </c>
      <c r="E2475" s="196">
        <v>44826</v>
      </c>
      <c r="F2475" s="195">
        <v>12511.7</v>
      </c>
      <c r="G2475" s="197">
        <f>Tabla110[[#This Row],[Importe]]-Tabla110[[#This Row],[Pagado]]</f>
        <v>0</v>
      </c>
      <c r="H2475" s="194" t="s">
        <v>10</v>
      </c>
    </row>
    <row r="2476" spans="1:8" x14ac:dyDescent="0.25">
      <c r="A2476" s="127">
        <v>44826</v>
      </c>
      <c r="B2476" s="128" t="s">
        <v>30582</v>
      </c>
      <c r="C2476" s="194" t="s">
        <v>222</v>
      </c>
      <c r="D2476" s="195">
        <v>10836.4</v>
      </c>
      <c r="E2476" s="196">
        <v>44826</v>
      </c>
      <c r="F2476" s="195">
        <v>10836.4</v>
      </c>
      <c r="G2476" s="197">
        <f>Tabla110[[#This Row],[Importe]]-Tabla110[[#This Row],[Pagado]]</f>
        <v>0</v>
      </c>
      <c r="H2476" s="194" t="s">
        <v>10</v>
      </c>
    </row>
    <row r="2477" spans="1:8" x14ac:dyDescent="0.25">
      <c r="A2477" s="127">
        <v>44826</v>
      </c>
      <c r="B2477" s="128" t="s">
        <v>30583</v>
      </c>
      <c r="C2477" s="194" t="s">
        <v>729</v>
      </c>
      <c r="D2477" s="195">
        <v>17119.2</v>
      </c>
      <c r="E2477" s="196">
        <v>44826</v>
      </c>
      <c r="F2477" s="195">
        <v>17119.2</v>
      </c>
      <c r="G2477" s="197">
        <f>Tabla110[[#This Row],[Importe]]-Tabla110[[#This Row],[Pagado]]</f>
        <v>0</v>
      </c>
      <c r="H2477" s="194" t="s">
        <v>10</v>
      </c>
    </row>
    <row r="2478" spans="1:8" x14ac:dyDescent="0.25">
      <c r="A2478" s="127">
        <v>44826</v>
      </c>
      <c r="B2478" s="128" t="s">
        <v>30584</v>
      </c>
      <c r="C2478" s="194" t="s">
        <v>31</v>
      </c>
      <c r="D2478" s="195">
        <v>1307.2</v>
      </c>
      <c r="E2478" s="196">
        <v>44826</v>
      </c>
      <c r="F2478" s="195">
        <v>1307.2</v>
      </c>
      <c r="G2478" s="197">
        <f>Tabla110[[#This Row],[Importe]]-Tabla110[[#This Row],[Pagado]]</f>
        <v>0</v>
      </c>
      <c r="H2478" s="194" t="s">
        <v>10</v>
      </c>
    </row>
    <row r="2479" spans="1:8" x14ac:dyDescent="0.25">
      <c r="A2479" s="127">
        <v>44826</v>
      </c>
      <c r="B2479" s="128" t="s">
        <v>30585</v>
      </c>
      <c r="C2479" s="194" t="s">
        <v>58</v>
      </c>
      <c r="D2479" s="195">
        <v>3084</v>
      </c>
      <c r="E2479" s="196">
        <v>44826</v>
      </c>
      <c r="F2479" s="195">
        <v>3084</v>
      </c>
      <c r="G2479" s="197">
        <f>Tabla110[[#This Row],[Importe]]-Tabla110[[#This Row],[Pagado]]</f>
        <v>0</v>
      </c>
      <c r="H2479" s="194" t="s">
        <v>10</v>
      </c>
    </row>
    <row r="2480" spans="1:8" x14ac:dyDescent="0.25">
      <c r="A2480" s="127">
        <v>44826</v>
      </c>
      <c r="B2480" s="128" t="s">
        <v>30586</v>
      </c>
      <c r="C2480" s="194" t="s">
        <v>45</v>
      </c>
      <c r="D2480" s="195">
        <v>15794</v>
      </c>
      <c r="E2480" s="196">
        <v>44826</v>
      </c>
      <c r="F2480" s="195">
        <v>15794</v>
      </c>
      <c r="G2480" s="197">
        <f>Tabla110[[#This Row],[Importe]]-Tabla110[[#This Row],[Pagado]]</f>
        <v>0</v>
      </c>
      <c r="H2480" s="194" t="s">
        <v>10</v>
      </c>
    </row>
    <row r="2481" spans="1:8" x14ac:dyDescent="0.25">
      <c r="A2481" s="127">
        <v>44826</v>
      </c>
      <c r="B2481" s="128" t="s">
        <v>30587</v>
      </c>
      <c r="C2481" s="194" t="s">
        <v>56</v>
      </c>
      <c r="D2481" s="195">
        <v>5122.5</v>
      </c>
      <c r="E2481" s="196">
        <v>44826</v>
      </c>
      <c r="F2481" s="195">
        <v>5122.5</v>
      </c>
      <c r="G2481" s="197">
        <f>Tabla110[[#This Row],[Importe]]-Tabla110[[#This Row],[Pagado]]</f>
        <v>0</v>
      </c>
      <c r="H2481" s="194" t="s">
        <v>10</v>
      </c>
    </row>
    <row r="2482" spans="1:8" x14ac:dyDescent="0.25">
      <c r="A2482" s="127">
        <v>44826</v>
      </c>
      <c r="B2482" s="128" t="s">
        <v>30588</v>
      </c>
      <c r="C2482" s="194" t="s">
        <v>31</v>
      </c>
      <c r="D2482" s="195">
        <v>4841.8999999999996</v>
      </c>
      <c r="E2482" s="196">
        <v>44826</v>
      </c>
      <c r="F2482" s="195">
        <v>4841.8999999999996</v>
      </c>
      <c r="G2482" s="197">
        <f>Tabla110[[#This Row],[Importe]]-Tabla110[[#This Row],[Pagado]]</f>
        <v>0</v>
      </c>
      <c r="H2482" s="194" t="s">
        <v>10</v>
      </c>
    </row>
    <row r="2483" spans="1:8" x14ac:dyDescent="0.25">
      <c r="A2483" s="127">
        <v>44826</v>
      </c>
      <c r="B2483" s="128" t="s">
        <v>30589</v>
      </c>
      <c r="C2483" s="194" t="s">
        <v>29</v>
      </c>
      <c r="D2483" s="195">
        <v>4020.4</v>
      </c>
      <c r="E2483" s="196">
        <v>44826</v>
      </c>
      <c r="F2483" s="195">
        <v>4020.4</v>
      </c>
      <c r="G2483" s="197">
        <f>Tabla110[[#This Row],[Importe]]-Tabla110[[#This Row],[Pagado]]</f>
        <v>0</v>
      </c>
      <c r="H2483" s="194" t="s">
        <v>10</v>
      </c>
    </row>
    <row r="2484" spans="1:8" x14ac:dyDescent="0.25">
      <c r="A2484" s="127">
        <v>44826</v>
      </c>
      <c r="B2484" s="128" t="s">
        <v>30590</v>
      </c>
      <c r="C2484" s="194" t="s">
        <v>11383</v>
      </c>
      <c r="D2484" s="195">
        <v>32454.5</v>
      </c>
      <c r="E2484" s="196">
        <v>44826</v>
      </c>
      <c r="F2484" s="195">
        <v>32454.5</v>
      </c>
      <c r="G2484" s="197">
        <f>Tabla110[[#This Row],[Importe]]-Tabla110[[#This Row],[Pagado]]</f>
        <v>0</v>
      </c>
      <c r="H2484" s="194" t="s">
        <v>10</v>
      </c>
    </row>
    <row r="2485" spans="1:8" x14ac:dyDescent="0.25">
      <c r="A2485" s="127">
        <v>44826</v>
      </c>
      <c r="B2485" s="128" t="s">
        <v>30591</v>
      </c>
      <c r="C2485" s="194" t="s">
        <v>28087</v>
      </c>
      <c r="D2485" s="195">
        <v>29905.78</v>
      </c>
      <c r="E2485" s="196">
        <v>44826</v>
      </c>
      <c r="F2485" s="195">
        <v>29905.78</v>
      </c>
      <c r="G2485" s="197">
        <f>Tabla110[[#This Row],[Importe]]-Tabla110[[#This Row],[Pagado]]</f>
        <v>0</v>
      </c>
      <c r="H2485" s="194" t="s">
        <v>10</v>
      </c>
    </row>
    <row r="2486" spans="1:8" x14ac:dyDescent="0.25">
      <c r="A2486" s="127">
        <v>44826</v>
      </c>
      <c r="B2486" s="128" t="s">
        <v>30592</v>
      </c>
      <c r="C2486" s="194" t="s">
        <v>226</v>
      </c>
      <c r="D2486" s="195">
        <v>8399.1</v>
      </c>
      <c r="E2486" s="196">
        <v>44826</v>
      </c>
      <c r="F2486" s="195">
        <v>8399.1</v>
      </c>
      <c r="G2486" s="197">
        <f>Tabla110[[#This Row],[Importe]]-Tabla110[[#This Row],[Pagado]]</f>
        <v>0</v>
      </c>
      <c r="H2486" s="194" t="s">
        <v>10</v>
      </c>
    </row>
    <row r="2487" spans="1:8" x14ac:dyDescent="0.25">
      <c r="A2487" s="127">
        <v>44826</v>
      </c>
      <c r="B2487" s="128" t="s">
        <v>30593</v>
      </c>
      <c r="C2487" s="194" t="s">
        <v>53</v>
      </c>
      <c r="D2487" s="195">
        <v>2262</v>
      </c>
      <c r="E2487" s="196">
        <v>44826</v>
      </c>
      <c r="F2487" s="195">
        <v>2262</v>
      </c>
      <c r="G2487" s="197">
        <f>Tabla110[[#This Row],[Importe]]-Tabla110[[#This Row],[Pagado]]</f>
        <v>0</v>
      </c>
      <c r="H2487" s="194" t="s">
        <v>10</v>
      </c>
    </row>
    <row r="2488" spans="1:8" x14ac:dyDescent="0.25">
      <c r="A2488" s="127">
        <v>44826</v>
      </c>
      <c r="B2488" s="128" t="s">
        <v>30594</v>
      </c>
      <c r="C2488" s="194" t="s">
        <v>11383</v>
      </c>
      <c r="D2488" s="195">
        <v>740</v>
      </c>
      <c r="E2488" s="196">
        <v>44826</v>
      </c>
      <c r="F2488" s="195">
        <v>740</v>
      </c>
      <c r="G2488" s="197">
        <f>Tabla110[[#This Row],[Importe]]-Tabla110[[#This Row],[Pagado]]</f>
        <v>0</v>
      </c>
      <c r="H2488" s="194" t="s">
        <v>10</v>
      </c>
    </row>
    <row r="2489" spans="1:8" x14ac:dyDescent="0.25">
      <c r="A2489" s="127">
        <v>44826</v>
      </c>
      <c r="B2489" s="128" t="s">
        <v>30595</v>
      </c>
      <c r="C2489" s="194" t="s">
        <v>228</v>
      </c>
      <c r="D2489" s="195">
        <v>4762.8</v>
      </c>
      <c r="E2489" s="196">
        <v>44826</v>
      </c>
      <c r="F2489" s="195">
        <v>4762.8</v>
      </c>
      <c r="G2489" s="197">
        <f>Tabla110[[#This Row],[Importe]]-Tabla110[[#This Row],[Pagado]]</f>
        <v>0</v>
      </c>
      <c r="H2489" s="194" t="s">
        <v>10</v>
      </c>
    </row>
    <row r="2490" spans="1:8" x14ac:dyDescent="0.25">
      <c r="A2490" s="127">
        <v>44826</v>
      </c>
      <c r="B2490" s="128" t="s">
        <v>30596</v>
      </c>
      <c r="C2490" s="194" t="s">
        <v>216</v>
      </c>
      <c r="D2490" s="195">
        <v>1413.6</v>
      </c>
      <c r="E2490" s="196">
        <v>44826</v>
      </c>
      <c r="F2490" s="195">
        <v>1413.6</v>
      </c>
      <c r="G2490" s="197">
        <f>Tabla110[[#This Row],[Importe]]-Tabla110[[#This Row],[Pagado]]</f>
        <v>0</v>
      </c>
      <c r="H2490" s="194" t="s">
        <v>10</v>
      </c>
    </row>
    <row r="2491" spans="1:8" x14ac:dyDescent="0.25">
      <c r="A2491" s="127">
        <v>44826</v>
      </c>
      <c r="B2491" s="128" t="s">
        <v>30597</v>
      </c>
      <c r="C2491" s="194" t="s">
        <v>296</v>
      </c>
      <c r="D2491" s="195">
        <v>3371.2</v>
      </c>
      <c r="E2491" s="196">
        <v>44826</v>
      </c>
      <c r="F2491" s="195">
        <v>3371.2</v>
      </c>
      <c r="G2491" s="197">
        <f>Tabla110[[#This Row],[Importe]]-Tabla110[[#This Row],[Pagado]]</f>
        <v>0</v>
      </c>
      <c r="H2491" s="194" t="s">
        <v>10</v>
      </c>
    </row>
    <row r="2492" spans="1:8" x14ac:dyDescent="0.25">
      <c r="A2492" s="127">
        <v>44826</v>
      </c>
      <c r="B2492" s="128" t="s">
        <v>30598</v>
      </c>
      <c r="C2492" s="194" t="s">
        <v>135</v>
      </c>
      <c r="D2492" s="195">
        <v>1263.5999999999999</v>
      </c>
      <c r="E2492" s="196">
        <v>44826</v>
      </c>
      <c r="F2492" s="195">
        <v>1263.5999999999999</v>
      </c>
      <c r="G2492" s="197">
        <f>Tabla110[[#This Row],[Importe]]-Tabla110[[#This Row],[Pagado]]</f>
        <v>0</v>
      </c>
      <c r="H2492" s="194" t="s">
        <v>10</v>
      </c>
    </row>
    <row r="2493" spans="1:8" x14ac:dyDescent="0.25">
      <c r="A2493" s="127">
        <v>44826</v>
      </c>
      <c r="B2493" s="128" t="s">
        <v>30599</v>
      </c>
      <c r="C2493" s="194" t="s">
        <v>31</v>
      </c>
      <c r="D2493" s="195">
        <v>233.1</v>
      </c>
      <c r="E2493" s="196">
        <v>44826</v>
      </c>
      <c r="F2493" s="195">
        <v>233.1</v>
      </c>
      <c r="G2493" s="197">
        <f>Tabla110[[#This Row],[Importe]]-Tabla110[[#This Row],[Pagado]]</f>
        <v>0</v>
      </c>
      <c r="H2493" s="194" t="s">
        <v>10</v>
      </c>
    </row>
    <row r="2494" spans="1:8" x14ac:dyDescent="0.25">
      <c r="A2494" s="127">
        <v>44826</v>
      </c>
      <c r="B2494" s="128" t="s">
        <v>30600</v>
      </c>
      <c r="C2494" s="194" t="s">
        <v>698</v>
      </c>
      <c r="D2494" s="195">
        <v>9277.2999999999993</v>
      </c>
      <c r="E2494" s="196">
        <v>44826</v>
      </c>
      <c r="F2494" s="195">
        <v>9277.2999999999993</v>
      </c>
      <c r="G2494" s="197">
        <f>Tabla110[[#This Row],[Importe]]-Tabla110[[#This Row],[Pagado]]</f>
        <v>0</v>
      </c>
      <c r="H2494" s="194" t="s">
        <v>10</v>
      </c>
    </row>
    <row r="2495" spans="1:8" x14ac:dyDescent="0.25">
      <c r="A2495" s="127">
        <v>44826</v>
      </c>
      <c r="B2495" s="128" t="s">
        <v>30601</v>
      </c>
      <c r="C2495" s="194" t="s">
        <v>67</v>
      </c>
      <c r="D2495" s="195">
        <v>1904.9</v>
      </c>
      <c r="E2495" s="196">
        <v>44826</v>
      </c>
      <c r="F2495" s="195">
        <v>1904.9</v>
      </c>
      <c r="G2495" s="197">
        <f>Tabla110[[#This Row],[Importe]]-Tabla110[[#This Row],[Pagado]]</f>
        <v>0</v>
      </c>
      <c r="H2495" s="194" t="s">
        <v>10</v>
      </c>
    </row>
    <row r="2496" spans="1:8" x14ac:dyDescent="0.25">
      <c r="A2496" s="127">
        <v>44826</v>
      </c>
      <c r="B2496" s="128" t="s">
        <v>30602</v>
      </c>
      <c r="C2496" s="194" t="s">
        <v>12</v>
      </c>
      <c r="D2496" s="195">
        <v>2828</v>
      </c>
      <c r="E2496" s="196">
        <v>44827</v>
      </c>
      <c r="F2496" s="195">
        <v>2828</v>
      </c>
      <c r="G2496" s="197">
        <f>Tabla110[[#This Row],[Importe]]-Tabla110[[#This Row],[Pagado]]</f>
        <v>0</v>
      </c>
      <c r="H2496" s="194" t="s">
        <v>10</v>
      </c>
    </row>
    <row r="2497" spans="1:8" x14ac:dyDescent="0.25">
      <c r="A2497" s="127">
        <v>44826</v>
      </c>
      <c r="B2497" s="128" t="s">
        <v>30603</v>
      </c>
      <c r="C2497" s="194" t="s">
        <v>4136</v>
      </c>
      <c r="D2497" s="195">
        <v>1118.4000000000001</v>
      </c>
      <c r="E2497" s="196">
        <v>44826</v>
      </c>
      <c r="F2497" s="195">
        <v>1118.4000000000001</v>
      </c>
      <c r="G2497" s="197">
        <f>Tabla110[[#This Row],[Importe]]-Tabla110[[#This Row],[Pagado]]</f>
        <v>0</v>
      </c>
      <c r="H2497" s="194" t="s">
        <v>10</v>
      </c>
    </row>
    <row r="2498" spans="1:8" x14ac:dyDescent="0.25">
      <c r="A2498" s="127">
        <v>44826</v>
      </c>
      <c r="B2498" s="128" t="s">
        <v>30604</v>
      </c>
      <c r="C2498" s="194" t="s">
        <v>857</v>
      </c>
      <c r="D2498" s="195">
        <v>274.7</v>
      </c>
      <c r="E2498" s="196">
        <v>44826</v>
      </c>
      <c r="F2498" s="195">
        <v>274.7</v>
      </c>
      <c r="G2498" s="197">
        <f>Tabla110[[#This Row],[Importe]]-Tabla110[[#This Row],[Pagado]]</f>
        <v>0</v>
      </c>
      <c r="H2498" s="194" t="s">
        <v>10</v>
      </c>
    </row>
    <row r="2499" spans="1:8" x14ac:dyDescent="0.25">
      <c r="A2499" s="127">
        <v>44826</v>
      </c>
      <c r="B2499" s="128" t="s">
        <v>30605</v>
      </c>
      <c r="C2499" s="194" t="s">
        <v>9827</v>
      </c>
      <c r="D2499" s="195">
        <v>3891.2</v>
      </c>
      <c r="E2499" s="196">
        <v>44826</v>
      </c>
      <c r="F2499" s="195">
        <v>3891.2</v>
      </c>
      <c r="G2499" s="197">
        <f>Tabla110[[#This Row],[Importe]]-Tabla110[[#This Row],[Pagado]]</f>
        <v>0</v>
      </c>
      <c r="H2499" s="194" t="s">
        <v>10</v>
      </c>
    </row>
    <row r="2500" spans="1:8" x14ac:dyDescent="0.25">
      <c r="A2500" s="127">
        <v>44826</v>
      </c>
      <c r="B2500" s="128" t="s">
        <v>30606</v>
      </c>
      <c r="C2500" s="194" t="s">
        <v>9</v>
      </c>
      <c r="D2500" s="195">
        <v>2941.4</v>
      </c>
      <c r="E2500" s="196">
        <v>44826</v>
      </c>
      <c r="F2500" s="195">
        <v>2941.4</v>
      </c>
      <c r="G2500" s="197">
        <f>Tabla110[[#This Row],[Importe]]-Tabla110[[#This Row],[Pagado]]</f>
        <v>0</v>
      </c>
      <c r="H2500" s="194" t="s">
        <v>10</v>
      </c>
    </row>
    <row r="2501" spans="1:8" x14ac:dyDescent="0.25">
      <c r="A2501" s="127">
        <v>44826</v>
      </c>
      <c r="B2501" s="128" t="s">
        <v>30607</v>
      </c>
      <c r="C2501" s="194" t="s">
        <v>175</v>
      </c>
      <c r="D2501" s="195">
        <v>17555.5</v>
      </c>
      <c r="E2501" s="196">
        <v>44826</v>
      </c>
      <c r="F2501" s="195">
        <v>17555.5</v>
      </c>
      <c r="G2501" s="197">
        <f>Tabla110[[#This Row],[Importe]]-Tabla110[[#This Row],[Pagado]]</f>
        <v>0</v>
      </c>
      <c r="H2501" s="194" t="s">
        <v>10</v>
      </c>
    </row>
    <row r="2502" spans="1:8" x14ac:dyDescent="0.25">
      <c r="A2502" s="127">
        <v>44826</v>
      </c>
      <c r="B2502" s="128" t="s">
        <v>30608</v>
      </c>
      <c r="C2502" s="194" t="s">
        <v>426</v>
      </c>
      <c r="D2502" s="195">
        <v>2340</v>
      </c>
      <c r="E2502" s="196">
        <v>44826</v>
      </c>
      <c r="F2502" s="195">
        <v>2340</v>
      </c>
      <c r="G2502" s="197">
        <f>Tabla110[[#This Row],[Importe]]-Tabla110[[#This Row],[Pagado]]</f>
        <v>0</v>
      </c>
      <c r="H2502" s="194" t="s">
        <v>10</v>
      </c>
    </row>
    <row r="2503" spans="1:8" x14ac:dyDescent="0.25">
      <c r="A2503" s="127">
        <v>44826</v>
      </c>
      <c r="B2503" s="128" t="s">
        <v>30609</v>
      </c>
      <c r="C2503" s="194" t="s">
        <v>200</v>
      </c>
      <c r="D2503" s="195">
        <v>1322.4</v>
      </c>
      <c r="E2503" s="196">
        <v>44826</v>
      </c>
      <c r="F2503" s="195">
        <v>1322.4</v>
      </c>
      <c r="G2503" s="197">
        <f>Tabla110[[#This Row],[Importe]]-Tabla110[[#This Row],[Pagado]]</f>
        <v>0</v>
      </c>
      <c r="H2503" s="194" t="s">
        <v>10</v>
      </c>
    </row>
    <row r="2504" spans="1:8" x14ac:dyDescent="0.25">
      <c r="A2504" s="127">
        <v>44826</v>
      </c>
      <c r="B2504" s="128" t="s">
        <v>30610</v>
      </c>
      <c r="C2504" s="194" t="s">
        <v>729</v>
      </c>
      <c r="D2504" s="195">
        <v>29501.9</v>
      </c>
      <c r="E2504" s="196">
        <v>44826</v>
      </c>
      <c r="F2504" s="195">
        <v>29501.9</v>
      </c>
      <c r="G2504" s="197">
        <f>Tabla110[[#This Row],[Importe]]-Tabla110[[#This Row],[Pagado]]</f>
        <v>0</v>
      </c>
      <c r="H2504" s="194" t="s">
        <v>10</v>
      </c>
    </row>
    <row r="2505" spans="1:8" x14ac:dyDescent="0.25">
      <c r="A2505" s="127">
        <v>44826</v>
      </c>
      <c r="B2505" s="128" t="s">
        <v>30611</v>
      </c>
      <c r="C2505" s="194" t="s">
        <v>107</v>
      </c>
      <c r="D2505" s="195">
        <v>11348.9</v>
      </c>
      <c r="E2505" s="196">
        <v>44826</v>
      </c>
      <c r="F2505" s="195">
        <v>11348.9</v>
      </c>
      <c r="G2505" s="197">
        <f>Tabla110[[#This Row],[Importe]]-Tabla110[[#This Row],[Pagado]]</f>
        <v>0</v>
      </c>
      <c r="H2505" s="194" t="s">
        <v>10</v>
      </c>
    </row>
    <row r="2506" spans="1:8" x14ac:dyDescent="0.25">
      <c r="A2506" s="127">
        <v>44826</v>
      </c>
      <c r="B2506" s="128" t="s">
        <v>30612</v>
      </c>
      <c r="C2506" s="194" t="s">
        <v>19637</v>
      </c>
      <c r="D2506" s="195">
        <v>6292.6</v>
      </c>
      <c r="E2506" s="196">
        <v>44835</v>
      </c>
      <c r="F2506" s="195">
        <v>6292.6</v>
      </c>
      <c r="G2506" s="197">
        <f>Tabla110[[#This Row],[Importe]]-Tabla110[[#This Row],[Pagado]]</f>
        <v>0</v>
      </c>
      <c r="H2506" s="194" t="s">
        <v>10</v>
      </c>
    </row>
    <row r="2507" spans="1:8" x14ac:dyDescent="0.25">
      <c r="A2507" s="127">
        <v>44826</v>
      </c>
      <c r="B2507" s="128" t="s">
        <v>30613</v>
      </c>
      <c r="C2507" s="194" t="s">
        <v>64</v>
      </c>
      <c r="D2507" s="195">
        <v>4020</v>
      </c>
      <c r="E2507" s="196">
        <v>44826</v>
      </c>
      <c r="F2507" s="195">
        <v>4020</v>
      </c>
      <c r="G2507" s="197">
        <f>Tabla110[[#This Row],[Importe]]-Tabla110[[#This Row],[Pagado]]</f>
        <v>0</v>
      </c>
      <c r="H2507" s="194" t="s">
        <v>10</v>
      </c>
    </row>
    <row r="2508" spans="1:8" x14ac:dyDescent="0.25">
      <c r="A2508" s="127">
        <v>44826</v>
      </c>
      <c r="B2508" s="128" t="s">
        <v>30614</v>
      </c>
      <c r="C2508" s="194" t="s">
        <v>9577</v>
      </c>
      <c r="D2508" s="195">
        <v>1798.5</v>
      </c>
      <c r="E2508" s="196">
        <v>44826</v>
      </c>
      <c r="F2508" s="195">
        <v>1798.5</v>
      </c>
      <c r="G2508" s="197">
        <f>Tabla110[[#This Row],[Importe]]-Tabla110[[#This Row],[Pagado]]</f>
        <v>0</v>
      </c>
      <c r="H2508" s="194" t="s">
        <v>10</v>
      </c>
    </row>
    <row r="2509" spans="1:8" x14ac:dyDescent="0.25">
      <c r="A2509" s="127">
        <v>44826</v>
      </c>
      <c r="B2509" s="128" t="s">
        <v>30615</v>
      </c>
      <c r="C2509" s="194" t="s">
        <v>31</v>
      </c>
      <c r="D2509" s="195">
        <v>1482</v>
      </c>
      <c r="E2509" s="196">
        <v>44826</v>
      </c>
      <c r="F2509" s="195">
        <v>1482</v>
      </c>
      <c r="G2509" s="197">
        <f>Tabla110[[#This Row],[Importe]]-Tabla110[[#This Row],[Pagado]]</f>
        <v>0</v>
      </c>
      <c r="H2509" s="194" t="s">
        <v>10</v>
      </c>
    </row>
    <row r="2510" spans="1:8" x14ac:dyDescent="0.25">
      <c r="A2510" s="127">
        <v>44826</v>
      </c>
      <c r="B2510" s="128" t="s">
        <v>30616</v>
      </c>
      <c r="C2510" s="194" t="s">
        <v>31</v>
      </c>
      <c r="D2510" s="195">
        <v>234</v>
      </c>
      <c r="E2510" s="196">
        <v>44826</v>
      </c>
      <c r="F2510" s="195">
        <v>234</v>
      </c>
      <c r="G2510" s="197">
        <f>Tabla110[[#This Row],[Importe]]-Tabla110[[#This Row],[Pagado]]</f>
        <v>0</v>
      </c>
      <c r="H2510" s="194" t="s">
        <v>10</v>
      </c>
    </row>
    <row r="2511" spans="1:8" x14ac:dyDescent="0.25">
      <c r="A2511" s="127">
        <v>44826</v>
      </c>
      <c r="B2511" s="128" t="s">
        <v>30617</v>
      </c>
      <c r="C2511" s="194" t="s">
        <v>16</v>
      </c>
      <c r="D2511" s="195">
        <v>2785.2</v>
      </c>
      <c r="E2511" s="196">
        <v>44826</v>
      </c>
      <c r="F2511" s="195">
        <v>2785.2</v>
      </c>
      <c r="G2511" s="197">
        <f>Tabla110[[#This Row],[Importe]]-Tabla110[[#This Row],[Pagado]]</f>
        <v>0</v>
      </c>
      <c r="H2511" s="194" t="s">
        <v>10</v>
      </c>
    </row>
    <row r="2512" spans="1:8" x14ac:dyDescent="0.25">
      <c r="A2512" s="127">
        <v>44826</v>
      </c>
      <c r="B2512" s="128" t="s">
        <v>30618</v>
      </c>
      <c r="C2512" s="194" t="s">
        <v>146</v>
      </c>
      <c r="D2512" s="195">
        <v>4551</v>
      </c>
      <c r="E2512" s="196">
        <v>44826</v>
      </c>
      <c r="F2512" s="195">
        <v>4551</v>
      </c>
      <c r="G2512" s="197">
        <f>Tabla110[[#This Row],[Importe]]-Tabla110[[#This Row],[Pagado]]</f>
        <v>0</v>
      </c>
      <c r="H2512" s="194" t="s">
        <v>10</v>
      </c>
    </row>
    <row r="2513" spans="1:8" x14ac:dyDescent="0.25">
      <c r="A2513" s="127">
        <v>44826</v>
      </c>
      <c r="B2513" s="128" t="s">
        <v>30619</v>
      </c>
      <c r="C2513" s="194" t="s">
        <v>1362</v>
      </c>
      <c r="D2513" s="195">
        <v>5584.2</v>
      </c>
      <c r="E2513" s="196">
        <v>44826</v>
      </c>
      <c r="F2513" s="195">
        <v>5584.2</v>
      </c>
      <c r="G2513" s="197">
        <f>Tabla110[[#This Row],[Importe]]-Tabla110[[#This Row],[Pagado]]</f>
        <v>0</v>
      </c>
      <c r="H2513" s="194" t="s">
        <v>10</v>
      </c>
    </row>
    <row r="2514" spans="1:8" x14ac:dyDescent="0.25">
      <c r="A2514" s="127">
        <v>44826</v>
      </c>
      <c r="B2514" s="128" t="s">
        <v>30620</v>
      </c>
      <c r="C2514" s="194" t="s">
        <v>664</v>
      </c>
      <c r="D2514" s="195">
        <v>4460.8</v>
      </c>
      <c r="E2514" s="196">
        <v>44826</v>
      </c>
      <c r="F2514" s="195">
        <v>4460.8</v>
      </c>
      <c r="G2514" s="197">
        <f>Tabla110[[#This Row],[Importe]]-Tabla110[[#This Row],[Pagado]]</f>
        <v>0</v>
      </c>
      <c r="H2514" s="194" t="s">
        <v>10</v>
      </c>
    </row>
    <row r="2515" spans="1:8" x14ac:dyDescent="0.25">
      <c r="A2515" s="127">
        <v>44826</v>
      </c>
      <c r="B2515" s="128" t="s">
        <v>30621</v>
      </c>
      <c r="C2515" s="194" t="s">
        <v>31</v>
      </c>
      <c r="D2515" s="195">
        <v>600.4</v>
      </c>
      <c r="E2515" s="196">
        <v>44826</v>
      </c>
      <c r="F2515" s="195">
        <v>600.4</v>
      </c>
      <c r="G2515" s="197">
        <f>Tabla110[[#This Row],[Importe]]-Tabla110[[#This Row],[Pagado]]</f>
        <v>0</v>
      </c>
      <c r="H2515" s="194" t="s">
        <v>10</v>
      </c>
    </row>
    <row r="2516" spans="1:8" x14ac:dyDescent="0.25">
      <c r="A2516" s="127">
        <v>44826</v>
      </c>
      <c r="B2516" s="128" t="s">
        <v>30622</v>
      </c>
      <c r="C2516" s="194" t="s">
        <v>5694</v>
      </c>
      <c r="D2516" s="195">
        <v>2203.1999999999998</v>
      </c>
      <c r="E2516" s="196">
        <v>44826</v>
      </c>
      <c r="F2516" s="195">
        <v>2203.1999999999998</v>
      </c>
      <c r="G2516" s="197">
        <f>Tabla110[[#This Row],[Importe]]-Tabla110[[#This Row],[Pagado]]</f>
        <v>0</v>
      </c>
      <c r="H2516" s="194" t="s">
        <v>10</v>
      </c>
    </row>
    <row r="2517" spans="1:8" x14ac:dyDescent="0.25">
      <c r="A2517" s="127">
        <v>44826</v>
      </c>
      <c r="B2517" s="128" t="s">
        <v>30623</v>
      </c>
      <c r="C2517" s="194" t="s">
        <v>10324</v>
      </c>
      <c r="D2517" s="195">
        <v>3580.5</v>
      </c>
      <c r="E2517" s="196">
        <v>44826</v>
      </c>
      <c r="F2517" s="195">
        <v>3580.5</v>
      </c>
      <c r="G2517" s="197">
        <f>Tabla110[[#This Row],[Importe]]-Tabla110[[#This Row],[Pagado]]</f>
        <v>0</v>
      </c>
      <c r="H2517" s="194" t="s">
        <v>10</v>
      </c>
    </row>
    <row r="2518" spans="1:8" x14ac:dyDescent="0.25">
      <c r="A2518" s="127">
        <v>44826</v>
      </c>
      <c r="B2518" s="128" t="s">
        <v>30624</v>
      </c>
      <c r="C2518" s="194" t="s">
        <v>10324</v>
      </c>
      <c r="D2518" s="195">
        <v>585.20000000000005</v>
      </c>
      <c r="E2518" s="196">
        <v>44826</v>
      </c>
      <c r="F2518" s="195">
        <v>585.20000000000005</v>
      </c>
      <c r="G2518" s="197">
        <f>Tabla110[[#This Row],[Importe]]-Tabla110[[#This Row],[Pagado]]</f>
        <v>0</v>
      </c>
      <c r="H2518" s="194" t="s">
        <v>10</v>
      </c>
    </row>
    <row r="2519" spans="1:8" x14ac:dyDescent="0.25">
      <c r="A2519" s="127">
        <v>44826</v>
      </c>
      <c r="B2519" s="128" t="s">
        <v>30625</v>
      </c>
      <c r="C2519" s="194" t="s">
        <v>31</v>
      </c>
      <c r="D2519" s="195">
        <v>532</v>
      </c>
      <c r="E2519" s="196">
        <v>44826</v>
      </c>
      <c r="F2519" s="195">
        <v>532</v>
      </c>
      <c r="G2519" s="197">
        <f>Tabla110[[#This Row],[Importe]]-Tabla110[[#This Row],[Pagado]]</f>
        <v>0</v>
      </c>
      <c r="H2519" s="194" t="s">
        <v>10</v>
      </c>
    </row>
    <row r="2520" spans="1:8" x14ac:dyDescent="0.25">
      <c r="A2520" s="127">
        <v>44826</v>
      </c>
      <c r="B2520" s="128" t="s">
        <v>30626</v>
      </c>
      <c r="C2520" s="194" t="s">
        <v>214</v>
      </c>
      <c r="D2520" s="195">
        <v>2105.1999999999998</v>
      </c>
      <c r="E2520" s="196">
        <v>44826</v>
      </c>
      <c r="F2520" s="195">
        <v>2105.1999999999998</v>
      </c>
      <c r="G2520" s="197">
        <f>Tabla110[[#This Row],[Importe]]-Tabla110[[#This Row],[Pagado]]</f>
        <v>0</v>
      </c>
      <c r="H2520" s="194" t="s">
        <v>10</v>
      </c>
    </row>
    <row r="2521" spans="1:8" x14ac:dyDescent="0.25">
      <c r="A2521" s="127">
        <v>44826</v>
      </c>
      <c r="B2521" s="128" t="s">
        <v>30627</v>
      </c>
      <c r="C2521" s="194" t="s">
        <v>18722</v>
      </c>
      <c r="D2521" s="195">
        <v>0</v>
      </c>
      <c r="E2521" s="199" t="s">
        <v>189</v>
      </c>
      <c r="F2521" s="195">
        <v>0</v>
      </c>
      <c r="G2521" s="197">
        <f>Tabla110[[#This Row],[Importe]]-Tabla110[[#This Row],[Pagado]]</f>
        <v>0</v>
      </c>
      <c r="H2521" s="200" t="s">
        <v>30628</v>
      </c>
    </row>
    <row r="2522" spans="1:8" x14ac:dyDescent="0.25">
      <c r="A2522" s="127">
        <v>44826</v>
      </c>
      <c r="B2522" s="128" t="s">
        <v>30629</v>
      </c>
      <c r="C2522" s="194" t="s">
        <v>400</v>
      </c>
      <c r="D2522" s="195">
        <v>7407</v>
      </c>
      <c r="E2522" s="196">
        <v>44834</v>
      </c>
      <c r="F2522" s="195">
        <v>7407</v>
      </c>
      <c r="G2522" s="197">
        <f>Tabla110[[#This Row],[Importe]]-Tabla110[[#This Row],[Pagado]]</f>
        <v>0</v>
      </c>
      <c r="H2522" s="194" t="s">
        <v>10</v>
      </c>
    </row>
    <row r="2523" spans="1:8" x14ac:dyDescent="0.25">
      <c r="A2523" s="127">
        <v>44826</v>
      </c>
      <c r="B2523" s="128" t="s">
        <v>30630</v>
      </c>
      <c r="C2523" s="194" t="s">
        <v>402</v>
      </c>
      <c r="D2523" s="195">
        <v>19720.3</v>
      </c>
      <c r="E2523" s="196">
        <v>44835</v>
      </c>
      <c r="F2523" s="195">
        <v>19720.3</v>
      </c>
      <c r="G2523" s="197">
        <f>Tabla110[[#This Row],[Importe]]-Tabla110[[#This Row],[Pagado]]</f>
        <v>0</v>
      </c>
      <c r="H2523" s="194" t="s">
        <v>10</v>
      </c>
    </row>
    <row r="2524" spans="1:8" x14ac:dyDescent="0.25">
      <c r="A2524" s="127">
        <v>44826</v>
      </c>
      <c r="B2524" s="128" t="s">
        <v>30631</v>
      </c>
      <c r="C2524" s="194" t="s">
        <v>167</v>
      </c>
      <c r="D2524" s="195">
        <v>71804</v>
      </c>
      <c r="E2524" s="196">
        <v>44826</v>
      </c>
      <c r="F2524" s="195">
        <v>71804</v>
      </c>
      <c r="G2524" s="197">
        <f>Tabla110[[#This Row],[Importe]]-Tabla110[[#This Row],[Pagado]]</f>
        <v>0</v>
      </c>
      <c r="H2524" s="194" t="s">
        <v>10</v>
      </c>
    </row>
    <row r="2525" spans="1:8" x14ac:dyDescent="0.25">
      <c r="A2525" s="127">
        <v>44826</v>
      </c>
      <c r="B2525" s="128" t="s">
        <v>30632</v>
      </c>
      <c r="C2525" s="194" t="s">
        <v>282</v>
      </c>
      <c r="D2525" s="195">
        <v>3024.8</v>
      </c>
      <c r="E2525" s="196">
        <v>44827</v>
      </c>
      <c r="F2525" s="195">
        <v>3024.8</v>
      </c>
      <c r="G2525" s="197">
        <f>Tabla110[[#This Row],[Importe]]-Tabla110[[#This Row],[Pagado]]</f>
        <v>0</v>
      </c>
      <c r="H2525" s="194" t="s">
        <v>10</v>
      </c>
    </row>
    <row r="2526" spans="1:8" x14ac:dyDescent="0.25">
      <c r="A2526" s="127">
        <v>44826</v>
      </c>
      <c r="B2526" s="128" t="s">
        <v>30633</v>
      </c>
      <c r="C2526" s="194" t="s">
        <v>280</v>
      </c>
      <c r="D2526" s="195">
        <v>722</v>
      </c>
      <c r="E2526" s="196">
        <v>44827</v>
      </c>
      <c r="F2526" s="195">
        <v>722</v>
      </c>
      <c r="G2526" s="197">
        <f>Tabla110[[#This Row],[Importe]]-Tabla110[[#This Row],[Pagado]]</f>
        <v>0</v>
      </c>
      <c r="H2526" s="194" t="s">
        <v>10</v>
      </c>
    </row>
    <row r="2527" spans="1:8" x14ac:dyDescent="0.25">
      <c r="A2527" s="127">
        <v>44826</v>
      </c>
      <c r="B2527" s="128" t="s">
        <v>30634</v>
      </c>
      <c r="C2527" s="194" t="s">
        <v>10819</v>
      </c>
      <c r="D2527" s="195">
        <v>722</v>
      </c>
      <c r="E2527" s="196">
        <v>44827</v>
      </c>
      <c r="F2527" s="195">
        <v>722</v>
      </c>
      <c r="G2527" s="197">
        <f>Tabla110[[#This Row],[Importe]]-Tabla110[[#This Row],[Pagado]]</f>
        <v>0</v>
      </c>
      <c r="H2527" s="194" t="s">
        <v>10</v>
      </c>
    </row>
    <row r="2528" spans="1:8" x14ac:dyDescent="0.25">
      <c r="A2528" s="127">
        <v>44826</v>
      </c>
      <c r="B2528" s="128" t="s">
        <v>30635</v>
      </c>
      <c r="C2528" s="194" t="s">
        <v>282</v>
      </c>
      <c r="D2528" s="195">
        <v>836</v>
      </c>
      <c r="E2528" s="196">
        <v>44827</v>
      </c>
      <c r="F2528" s="195">
        <v>836</v>
      </c>
      <c r="G2528" s="197">
        <f>Tabla110[[#This Row],[Importe]]-Tabla110[[#This Row],[Pagado]]</f>
        <v>0</v>
      </c>
      <c r="H2528" s="194" t="s">
        <v>10</v>
      </c>
    </row>
    <row r="2529" spans="1:8" x14ac:dyDescent="0.25">
      <c r="A2529" s="127">
        <v>44826</v>
      </c>
      <c r="B2529" s="128" t="s">
        <v>30636</v>
      </c>
      <c r="C2529" s="194" t="s">
        <v>284</v>
      </c>
      <c r="D2529" s="195">
        <v>6140.8</v>
      </c>
      <c r="E2529" s="196">
        <v>44827</v>
      </c>
      <c r="F2529" s="195">
        <v>6140.8</v>
      </c>
      <c r="G2529" s="197">
        <f>Tabla110[[#This Row],[Importe]]-Tabla110[[#This Row],[Pagado]]</f>
        <v>0</v>
      </c>
      <c r="H2529" s="194" t="s">
        <v>10</v>
      </c>
    </row>
    <row r="2530" spans="1:8" x14ac:dyDescent="0.25">
      <c r="A2530" s="127">
        <v>44826</v>
      </c>
      <c r="B2530" s="128" t="s">
        <v>30637</v>
      </c>
      <c r="C2530" s="194" t="s">
        <v>31</v>
      </c>
      <c r="D2530" s="195">
        <v>352.6</v>
      </c>
      <c r="E2530" s="196">
        <v>44826</v>
      </c>
      <c r="F2530" s="195">
        <v>352.6</v>
      </c>
      <c r="G2530" s="197">
        <f>Tabla110[[#This Row],[Importe]]-Tabla110[[#This Row],[Pagado]]</f>
        <v>0</v>
      </c>
      <c r="H2530" s="194" t="s">
        <v>10</v>
      </c>
    </row>
    <row r="2531" spans="1:8" x14ac:dyDescent="0.25">
      <c r="A2531" s="127">
        <v>44826</v>
      </c>
      <c r="B2531" s="128" t="s">
        <v>30638</v>
      </c>
      <c r="C2531" s="194" t="s">
        <v>31</v>
      </c>
      <c r="D2531" s="195">
        <v>10081.4</v>
      </c>
      <c r="E2531" s="196">
        <v>44826</v>
      </c>
      <c r="F2531" s="195">
        <v>10081.4</v>
      </c>
      <c r="G2531" s="197">
        <f>Tabla110[[#This Row],[Importe]]-Tabla110[[#This Row],[Pagado]]</f>
        <v>0</v>
      </c>
      <c r="H2531" s="194" t="s">
        <v>10</v>
      </c>
    </row>
    <row r="2532" spans="1:8" x14ac:dyDescent="0.25">
      <c r="A2532" s="127">
        <v>44826</v>
      </c>
      <c r="B2532" s="128" t="s">
        <v>30639</v>
      </c>
      <c r="C2532" s="194" t="s">
        <v>56</v>
      </c>
      <c r="D2532" s="195">
        <v>2911</v>
      </c>
      <c r="E2532" s="196">
        <v>44826</v>
      </c>
      <c r="F2532" s="195">
        <v>2911</v>
      </c>
      <c r="G2532" s="197">
        <f>Tabla110[[#This Row],[Importe]]-Tabla110[[#This Row],[Pagado]]</f>
        <v>0</v>
      </c>
      <c r="H2532" s="194" t="s">
        <v>10</v>
      </c>
    </row>
    <row r="2533" spans="1:8" x14ac:dyDescent="0.25">
      <c r="A2533" s="127">
        <v>44826</v>
      </c>
      <c r="B2533" s="128" t="s">
        <v>30640</v>
      </c>
      <c r="C2533" s="194" t="s">
        <v>9993</v>
      </c>
      <c r="D2533" s="195">
        <v>47754.6</v>
      </c>
      <c r="E2533" s="196">
        <v>44826</v>
      </c>
      <c r="F2533" s="195">
        <v>47754.6</v>
      </c>
      <c r="G2533" s="197">
        <f>Tabla110[[#This Row],[Importe]]-Tabla110[[#This Row],[Pagado]]</f>
        <v>0</v>
      </c>
      <c r="H2533" s="194" t="s">
        <v>10</v>
      </c>
    </row>
    <row r="2534" spans="1:8" x14ac:dyDescent="0.25">
      <c r="A2534" s="127">
        <v>44826</v>
      </c>
      <c r="B2534" s="128" t="s">
        <v>30641</v>
      </c>
      <c r="C2534" s="194" t="s">
        <v>9993</v>
      </c>
      <c r="D2534" s="195">
        <v>13935.8</v>
      </c>
      <c r="E2534" s="196">
        <v>44826</v>
      </c>
      <c r="F2534" s="195">
        <v>13935.8</v>
      </c>
      <c r="G2534" s="197">
        <f>Tabla110[[#This Row],[Importe]]-Tabla110[[#This Row],[Pagado]]</f>
        <v>0</v>
      </c>
      <c r="H2534" s="194" t="s">
        <v>10</v>
      </c>
    </row>
    <row r="2535" spans="1:8" x14ac:dyDescent="0.25">
      <c r="A2535" s="127">
        <v>44826</v>
      </c>
      <c r="B2535" s="128" t="s">
        <v>30642</v>
      </c>
      <c r="C2535" s="194" t="s">
        <v>296</v>
      </c>
      <c r="D2535" s="195">
        <v>4324.6000000000004</v>
      </c>
      <c r="E2535" s="196">
        <v>44826</v>
      </c>
      <c r="F2535" s="195">
        <v>4324.6000000000004</v>
      </c>
      <c r="G2535" s="197">
        <f>Tabla110[[#This Row],[Importe]]-Tabla110[[#This Row],[Pagado]]</f>
        <v>0</v>
      </c>
      <c r="H2535" s="194" t="s">
        <v>10</v>
      </c>
    </row>
    <row r="2536" spans="1:8" x14ac:dyDescent="0.25">
      <c r="A2536" s="127">
        <v>44826</v>
      </c>
      <c r="B2536" s="128" t="s">
        <v>30643</v>
      </c>
      <c r="C2536" s="194" t="s">
        <v>9993</v>
      </c>
      <c r="D2536" s="195">
        <v>10525.6</v>
      </c>
      <c r="E2536" s="196">
        <v>44826</v>
      </c>
      <c r="F2536" s="195">
        <v>10525.6</v>
      </c>
      <c r="G2536" s="197">
        <f>Tabla110[[#This Row],[Importe]]-Tabla110[[#This Row],[Pagado]]</f>
        <v>0</v>
      </c>
      <c r="H2536" s="194" t="s">
        <v>10</v>
      </c>
    </row>
    <row r="2537" spans="1:8" x14ac:dyDescent="0.25">
      <c r="A2537" s="127">
        <v>44826</v>
      </c>
      <c r="B2537" s="128" t="s">
        <v>30644</v>
      </c>
      <c r="C2537" s="194" t="s">
        <v>296</v>
      </c>
      <c r="D2537" s="195">
        <v>1063.4000000000001</v>
      </c>
      <c r="E2537" s="196">
        <v>44826</v>
      </c>
      <c r="F2537" s="195">
        <v>1063.4000000000001</v>
      </c>
      <c r="G2537" s="197">
        <f>Tabla110[[#This Row],[Importe]]-Tabla110[[#This Row],[Pagado]]</f>
        <v>0</v>
      </c>
      <c r="H2537" s="194" t="s">
        <v>10</v>
      </c>
    </row>
    <row r="2538" spans="1:8" x14ac:dyDescent="0.25">
      <c r="A2538" s="127">
        <v>44826</v>
      </c>
      <c r="B2538" s="128" t="s">
        <v>30645</v>
      </c>
      <c r="C2538" s="194" t="s">
        <v>9993</v>
      </c>
      <c r="D2538" s="195">
        <v>4690.5</v>
      </c>
      <c r="E2538" s="196">
        <v>44826</v>
      </c>
      <c r="F2538" s="195">
        <v>4690.5</v>
      </c>
      <c r="G2538" s="197">
        <f>Tabla110[[#This Row],[Importe]]-Tabla110[[#This Row],[Pagado]]</f>
        <v>0</v>
      </c>
      <c r="H2538" s="194" t="s">
        <v>10</v>
      </c>
    </row>
    <row r="2539" spans="1:8" x14ac:dyDescent="0.25">
      <c r="A2539" s="127">
        <v>44826</v>
      </c>
      <c r="B2539" s="128" t="s">
        <v>30646</v>
      </c>
      <c r="C2539" s="194" t="s">
        <v>9993</v>
      </c>
      <c r="D2539" s="195">
        <v>6018</v>
      </c>
      <c r="E2539" s="196">
        <v>44826</v>
      </c>
      <c r="F2539" s="195">
        <v>6018</v>
      </c>
      <c r="G2539" s="197">
        <f>Tabla110[[#This Row],[Importe]]-Tabla110[[#This Row],[Pagado]]</f>
        <v>0</v>
      </c>
      <c r="H2539" s="194" t="s">
        <v>10</v>
      </c>
    </row>
    <row r="2540" spans="1:8" x14ac:dyDescent="0.25">
      <c r="A2540" s="127">
        <v>44826</v>
      </c>
      <c r="B2540" s="128" t="s">
        <v>30647</v>
      </c>
      <c r="C2540" s="194" t="s">
        <v>31</v>
      </c>
      <c r="D2540" s="195">
        <v>6400</v>
      </c>
      <c r="E2540" s="196">
        <v>44826</v>
      </c>
      <c r="F2540" s="195">
        <v>6400</v>
      </c>
      <c r="G2540" s="197">
        <f>Tabla110[[#This Row],[Importe]]-Tabla110[[#This Row],[Pagado]]</f>
        <v>0</v>
      </c>
      <c r="H2540" s="194" t="s">
        <v>10</v>
      </c>
    </row>
    <row r="2541" spans="1:8" x14ac:dyDescent="0.25">
      <c r="A2541" s="127">
        <v>44826</v>
      </c>
      <c r="B2541" s="128" t="s">
        <v>30648</v>
      </c>
      <c r="C2541" s="194" t="s">
        <v>31</v>
      </c>
      <c r="D2541" s="195">
        <v>402.5</v>
      </c>
      <c r="E2541" s="196">
        <v>44826</v>
      </c>
      <c r="F2541" s="195">
        <v>402.5</v>
      </c>
      <c r="G2541" s="197">
        <f>Tabla110[[#This Row],[Importe]]-Tabla110[[#This Row],[Pagado]]</f>
        <v>0</v>
      </c>
      <c r="H2541" s="194" t="s">
        <v>10</v>
      </c>
    </row>
    <row r="2542" spans="1:8" ht="31.5" x14ac:dyDescent="0.25">
      <c r="A2542" s="127">
        <v>44826</v>
      </c>
      <c r="B2542" s="128" t="s">
        <v>30649</v>
      </c>
      <c r="C2542" s="194" t="s">
        <v>654</v>
      </c>
      <c r="D2542" s="195">
        <v>10561.6</v>
      </c>
      <c r="E2542" s="198" t="s">
        <v>30650</v>
      </c>
      <c r="F2542" s="195">
        <f>10000+561.5+0.1</f>
        <v>10561.6</v>
      </c>
      <c r="G2542" s="197">
        <f>Tabla110[[#This Row],[Importe]]-Tabla110[[#This Row],[Pagado]]</f>
        <v>0</v>
      </c>
      <c r="H2542" s="194" t="s">
        <v>10</v>
      </c>
    </row>
    <row r="2543" spans="1:8" x14ac:dyDescent="0.25">
      <c r="A2543" s="127">
        <v>44827</v>
      </c>
      <c r="B2543" s="128" t="s">
        <v>30651</v>
      </c>
      <c r="C2543" s="194" t="s">
        <v>887</v>
      </c>
      <c r="D2543" s="195">
        <v>15309.5</v>
      </c>
      <c r="E2543" s="196">
        <v>44827</v>
      </c>
      <c r="F2543" s="195">
        <v>15309.5</v>
      </c>
      <c r="G2543" s="197">
        <f>Tabla110[[#This Row],[Importe]]-Tabla110[[#This Row],[Pagado]]</f>
        <v>0</v>
      </c>
      <c r="H2543" s="194" t="s">
        <v>10</v>
      </c>
    </row>
    <row r="2544" spans="1:8" x14ac:dyDescent="0.25">
      <c r="A2544" s="127">
        <v>44827</v>
      </c>
      <c r="B2544" s="128" t="s">
        <v>30652</v>
      </c>
      <c r="C2544" s="194" t="s">
        <v>75</v>
      </c>
      <c r="D2544" s="195">
        <v>7934.4</v>
      </c>
      <c r="E2544" s="196">
        <v>44827</v>
      </c>
      <c r="F2544" s="195">
        <v>7934.4</v>
      </c>
      <c r="G2544" s="197">
        <f>Tabla110[[#This Row],[Importe]]-Tabla110[[#This Row],[Pagado]]</f>
        <v>0</v>
      </c>
      <c r="H2544" s="194" t="s">
        <v>10</v>
      </c>
    </row>
    <row r="2545" spans="1:8" x14ac:dyDescent="0.25">
      <c r="A2545" s="127">
        <v>44827</v>
      </c>
      <c r="B2545" s="128" t="s">
        <v>30653</v>
      </c>
      <c r="C2545" s="194" t="s">
        <v>12</v>
      </c>
      <c r="D2545" s="195">
        <v>32743.8</v>
      </c>
      <c r="E2545" s="196">
        <v>44828</v>
      </c>
      <c r="F2545" s="195">
        <v>32743.8</v>
      </c>
      <c r="G2545" s="197">
        <f>Tabla110[[#This Row],[Importe]]-Tabla110[[#This Row],[Pagado]]</f>
        <v>0</v>
      </c>
      <c r="H2545" s="194" t="s">
        <v>10</v>
      </c>
    </row>
    <row r="2546" spans="1:8" ht="31.5" x14ac:dyDescent="0.25">
      <c r="A2546" s="127">
        <v>44827</v>
      </c>
      <c r="B2546" s="128" t="s">
        <v>30654</v>
      </c>
      <c r="C2546" s="194" t="s">
        <v>475</v>
      </c>
      <c r="D2546" s="195">
        <v>72684.600000000006</v>
      </c>
      <c r="E2546" s="198" t="s">
        <v>30655</v>
      </c>
      <c r="F2546" s="195">
        <f>68000+4684.6</f>
        <v>72684.600000000006</v>
      </c>
      <c r="G2546" s="197">
        <f>Tabla110[[#This Row],[Importe]]-Tabla110[[#This Row],[Pagado]]</f>
        <v>0</v>
      </c>
      <c r="H2546" s="194" t="s">
        <v>10</v>
      </c>
    </row>
    <row r="2547" spans="1:8" x14ac:dyDescent="0.25">
      <c r="A2547" s="127">
        <v>44827</v>
      </c>
      <c r="B2547" s="128" t="s">
        <v>30656</v>
      </c>
      <c r="C2547" s="194" t="s">
        <v>1187</v>
      </c>
      <c r="D2547" s="195">
        <v>2754</v>
      </c>
      <c r="E2547" s="196">
        <v>44827</v>
      </c>
      <c r="F2547" s="195">
        <v>2754</v>
      </c>
      <c r="G2547" s="197">
        <f>Tabla110[[#This Row],[Importe]]-Tabla110[[#This Row],[Pagado]]</f>
        <v>0</v>
      </c>
      <c r="H2547" s="194" t="s">
        <v>10</v>
      </c>
    </row>
    <row r="2548" spans="1:8" x14ac:dyDescent="0.25">
      <c r="A2548" s="127">
        <v>44827</v>
      </c>
      <c r="B2548" s="128" t="s">
        <v>30657</v>
      </c>
      <c r="C2548" s="194" t="s">
        <v>20</v>
      </c>
      <c r="D2548" s="195">
        <v>2210</v>
      </c>
      <c r="E2548" s="196">
        <v>44827</v>
      </c>
      <c r="F2548" s="195">
        <v>2210</v>
      </c>
      <c r="G2548" s="197">
        <f>Tabla110[[#This Row],[Importe]]-Tabla110[[#This Row],[Pagado]]</f>
        <v>0</v>
      </c>
      <c r="H2548" s="194" t="s">
        <v>10</v>
      </c>
    </row>
    <row r="2549" spans="1:8" x14ac:dyDescent="0.25">
      <c r="A2549" s="127">
        <v>44827</v>
      </c>
      <c r="B2549" s="128" t="s">
        <v>30658</v>
      </c>
      <c r="C2549" s="194" t="s">
        <v>89</v>
      </c>
      <c r="D2549" s="195">
        <v>9732</v>
      </c>
      <c r="E2549" s="196">
        <v>44828</v>
      </c>
      <c r="F2549" s="195">
        <v>9732</v>
      </c>
      <c r="G2549" s="197">
        <f>Tabla110[[#This Row],[Importe]]-Tabla110[[#This Row],[Pagado]]</f>
        <v>0</v>
      </c>
      <c r="H2549" s="194" t="s">
        <v>10</v>
      </c>
    </row>
    <row r="2550" spans="1:8" x14ac:dyDescent="0.25">
      <c r="A2550" s="127">
        <v>44827</v>
      </c>
      <c r="B2550" s="128" t="s">
        <v>30659</v>
      </c>
      <c r="C2550" s="194" t="s">
        <v>31</v>
      </c>
      <c r="D2550" s="195">
        <v>1368</v>
      </c>
      <c r="E2550" s="196">
        <v>44828</v>
      </c>
      <c r="F2550" s="195">
        <v>1368</v>
      </c>
      <c r="G2550" s="197">
        <f>Tabla110[[#This Row],[Importe]]-Tabla110[[#This Row],[Pagado]]</f>
        <v>0</v>
      </c>
      <c r="H2550" s="194" t="s">
        <v>10</v>
      </c>
    </row>
    <row r="2551" spans="1:8" x14ac:dyDescent="0.25">
      <c r="A2551" s="127">
        <v>44827</v>
      </c>
      <c r="B2551" s="128" t="s">
        <v>30660</v>
      </c>
      <c r="C2551" s="194" t="s">
        <v>64</v>
      </c>
      <c r="D2551" s="195">
        <v>10991.5</v>
      </c>
      <c r="E2551" s="196">
        <v>44828</v>
      </c>
      <c r="F2551" s="195">
        <v>10991.5</v>
      </c>
      <c r="G2551" s="197">
        <f>Tabla110[[#This Row],[Importe]]-Tabla110[[#This Row],[Pagado]]</f>
        <v>0</v>
      </c>
      <c r="H2551" s="194" t="s">
        <v>10</v>
      </c>
    </row>
    <row r="2552" spans="1:8" x14ac:dyDescent="0.25">
      <c r="A2552" s="127">
        <v>44827</v>
      </c>
      <c r="B2552" s="128" t="s">
        <v>30661</v>
      </c>
      <c r="C2552" s="194" t="s">
        <v>22</v>
      </c>
      <c r="D2552" s="195">
        <v>27514.1</v>
      </c>
      <c r="E2552" s="196">
        <v>44828</v>
      </c>
      <c r="F2552" s="195">
        <v>27514.1</v>
      </c>
      <c r="G2552" s="197">
        <f>Tabla110[[#This Row],[Importe]]-Tabla110[[#This Row],[Pagado]]</f>
        <v>0</v>
      </c>
      <c r="H2552" s="194" t="s">
        <v>10</v>
      </c>
    </row>
    <row r="2553" spans="1:8" x14ac:dyDescent="0.25">
      <c r="A2553" s="127">
        <v>44827</v>
      </c>
      <c r="B2553" s="128" t="s">
        <v>30662</v>
      </c>
      <c r="C2553" s="194" t="s">
        <v>30663</v>
      </c>
      <c r="D2553" s="195">
        <v>0</v>
      </c>
      <c r="E2553" s="199" t="s">
        <v>189</v>
      </c>
      <c r="F2553" s="195">
        <v>0</v>
      </c>
      <c r="G2553" s="197">
        <f>Tabla110[[#This Row],[Importe]]-Tabla110[[#This Row],[Pagado]]</f>
        <v>0</v>
      </c>
      <c r="H2553" s="194" t="s">
        <v>189</v>
      </c>
    </row>
    <row r="2554" spans="1:8" x14ac:dyDescent="0.25">
      <c r="A2554" s="127">
        <v>44827</v>
      </c>
      <c r="B2554" s="128" t="s">
        <v>30664</v>
      </c>
      <c r="C2554" s="194" t="s">
        <v>111</v>
      </c>
      <c r="D2554" s="195">
        <v>11661</v>
      </c>
      <c r="E2554" s="196">
        <v>44828</v>
      </c>
      <c r="F2554" s="195">
        <v>11661</v>
      </c>
      <c r="G2554" s="197">
        <f>Tabla110[[#This Row],[Importe]]-Tabla110[[#This Row],[Pagado]]</f>
        <v>0</v>
      </c>
      <c r="H2554" s="194" t="s">
        <v>10</v>
      </c>
    </row>
    <row r="2555" spans="1:8" x14ac:dyDescent="0.25">
      <c r="A2555" s="127">
        <v>44827</v>
      </c>
      <c r="B2555" s="128" t="s">
        <v>30665</v>
      </c>
      <c r="C2555" s="194" t="s">
        <v>345</v>
      </c>
      <c r="D2555" s="195">
        <v>352</v>
      </c>
      <c r="E2555" s="196">
        <v>44827</v>
      </c>
      <c r="F2555" s="195">
        <v>352</v>
      </c>
      <c r="G2555" s="197">
        <f>Tabla110[[#This Row],[Importe]]-Tabla110[[#This Row],[Pagado]]</f>
        <v>0</v>
      </c>
      <c r="H2555" s="194" t="s">
        <v>10</v>
      </c>
    </row>
    <row r="2556" spans="1:8" x14ac:dyDescent="0.25">
      <c r="A2556" s="127">
        <v>44827</v>
      </c>
      <c r="B2556" s="128" t="s">
        <v>30666</v>
      </c>
      <c r="C2556" s="194" t="s">
        <v>484</v>
      </c>
      <c r="D2556" s="195">
        <v>8320</v>
      </c>
      <c r="E2556" s="196">
        <v>44827</v>
      </c>
      <c r="F2556" s="195">
        <v>8320</v>
      </c>
      <c r="G2556" s="197">
        <f>Tabla110[[#This Row],[Importe]]-Tabla110[[#This Row],[Pagado]]</f>
        <v>0</v>
      </c>
      <c r="H2556" s="194" t="s">
        <v>10</v>
      </c>
    </row>
    <row r="2557" spans="1:8" x14ac:dyDescent="0.25">
      <c r="A2557" s="127">
        <v>44827</v>
      </c>
      <c r="B2557" s="128" t="s">
        <v>30667</v>
      </c>
      <c r="C2557" s="194" t="s">
        <v>18</v>
      </c>
      <c r="D2557" s="195">
        <v>947.2</v>
      </c>
      <c r="E2557" s="196">
        <v>44827</v>
      </c>
      <c r="F2557" s="195">
        <v>947.2</v>
      </c>
      <c r="G2557" s="197">
        <f>Tabla110[[#This Row],[Importe]]-Tabla110[[#This Row],[Pagado]]</f>
        <v>0</v>
      </c>
      <c r="H2557" s="194" t="s">
        <v>10</v>
      </c>
    </row>
    <row r="2558" spans="1:8" x14ac:dyDescent="0.25">
      <c r="A2558" s="127">
        <v>44827</v>
      </c>
      <c r="B2558" s="128" t="s">
        <v>30668</v>
      </c>
      <c r="C2558" s="194" t="s">
        <v>131</v>
      </c>
      <c r="D2558" s="195">
        <v>4560</v>
      </c>
      <c r="E2558" s="196">
        <v>44827</v>
      </c>
      <c r="F2558" s="195">
        <v>4560</v>
      </c>
      <c r="G2558" s="197">
        <f>Tabla110[[#This Row],[Importe]]-Tabla110[[#This Row],[Pagado]]</f>
        <v>0</v>
      </c>
      <c r="H2558" s="194" t="s">
        <v>10</v>
      </c>
    </row>
    <row r="2559" spans="1:8" x14ac:dyDescent="0.25">
      <c r="A2559" s="127">
        <v>44827</v>
      </c>
      <c r="B2559" s="128" t="s">
        <v>30669</v>
      </c>
      <c r="C2559" s="194" t="s">
        <v>97</v>
      </c>
      <c r="D2559" s="195">
        <v>6115</v>
      </c>
      <c r="E2559" s="196">
        <v>44828</v>
      </c>
      <c r="F2559" s="195">
        <v>6115</v>
      </c>
      <c r="G2559" s="197">
        <f>Tabla110[[#This Row],[Importe]]-Tabla110[[#This Row],[Pagado]]</f>
        <v>0</v>
      </c>
      <c r="H2559" s="194" t="s">
        <v>10</v>
      </c>
    </row>
    <row r="2560" spans="1:8" x14ac:dyDescent="0.25">
      <c r="A2560" s="127">
        <v>44827</v>
      </c>
      <c r="B2560" s="128" t="s">
        <v>30670</v>
      </c>
      <c r="C2560" s="194" t="s">
        <v>326</v>
      </c>
      <c r="D2560" s="195">
        <v>651.6</v>
      </c>
      <c r="E2560" s="196">
        <v>44828</v>
      </c>
      <c r="F2560" s="195">
        <v>651.6</v>
      </c>
      <c r="G2560" s="197">
        <f>Tabla110[[#This Row],[Importe]]-Tabla110[[#This Row],[Pagado]]</f>
        <v>0</v>
      </c>
      <c r="H2560" s="194" t="s">
        <v>10</v>
      </c>
    </row>
    <row r="2561" spans="1:8" x14ac:dyDescent="0.25">
      <c r="A2561" s="127">
        <v>44827</v>
      </c>
      <c r="B2561" s="128" t="s">
        <v>30671</v>
      </c>
      <c r="C2561" s="194" t="s">
        <v>348</v>
      </c>
      <c r="D2561" s="195">
        <v>6256.8</v>
      </c>
      <c r="E2561" s="196">
        <v>44827</v>
      </c>
      <c r="F2561" s="195">
        <v>6256.8</v>
      </c>
      <c r="G2561" s="197">
        <f>Tabla110[[#This Row],[Importe]]-Tabla110[[#This Row],[Pagado]]</f>
        <v>0</v>
      </c>
      <c r="H2561" s="194" t="s">
        <v>10</v>
      </c>
    </row>
    <row r="2562" spans="1:8" x14ac:dyDescent="0.25">
      <c r="A2562" s="127">
        <v>44827</v>
      </c>
      <c r="B2562" s="128" t="s">
        <v>30672</v>
      </c>
      <c r="C2562" s="194" t="s">
        <v>15482</v>
      </c>
      <c r="D2562" s="195">
        <v>0</v>
      </c>
      <c r="E2562" s="199" t="s">
        <v>189</v>
      </c>
      <c r="F2562" s="195">
        <v>0</v>
      </c>
      <c r="G2562" s="197">
        <f>Tabla110[[#This Row],[Importe]]-Tabla110[[#This Row],[Pagado]]</f>
        <v>0</v>
      </c>
      <c r="H2562" s="194" t="s">
        <v>189</v>
      </c>
    </row>
    <row r="2563" spans="1:8" x14ac:dyDescent="0.25">
      <c r="A2563" s="127">
        <v>44827</v>
      </c>
      <c r="B2563" s="128" t="s">
        <v>30673</v>
      </c>
      <c r="C2563" s="194" t="s">
        <v>105</v>
      </c>
      <c r="D2563" s="195">
        <v>8229</v>
      </c>
      <c r="E2563" s="196">
        <v>44827</v>
      </c>
      <c r="F2563" s="195">
        <v>8229</v>
      </c>
      <c r="G2563" s="197">
        <f>Tabla110[[#This Row],[Importe]]-Tabla110[[#This Row],[Pagado]]</f>
        <v>0</v>
      </c>
      <c r="H2563" s="194" t="s">
        <v>10</v>
      </c>
    </row>
    <row r="2564" spans="1:8" x14ac:dyDescent="0.25">
      <c r="A2564" s="127">
        <v>44827</v>
      </c>
      <c r="B2564" s="128" t="s">
        <v>30674</v>
      </c>
      <c r="C2564" s="194" t="s">
        <v>93</v>
      </c>
      <c r="D2564" s="195">
        <v>10967.3</v>
      </c>
      <c r="E2564" s="196">
        <v>44830</v>
      </c>
      <c r="F2564" s="195">
        <v>10967.3</v>
      </c>
      <c r="G2564" s="197">
        <f>Tabla110[[#This Row],[Importe]]-Tabla110[[#This Row],[Pagado]]</f>
        <v>0</v>
      </c>
      <c r="H2564" s="194" t="s">
        <v>10</v>
      </c>
    </row>
    <row r="2565" spans="1:8" x14ac:dyDescent="0.25">
      <c r="A2565" s="127">
        <v>44827</v>
      </c>
      <c r="B2565" s="128" t="s">
        <v>30675</v>
      </c>
      <c r="C2565" s="194" t="s">
        <v>31</v>
      </c>
      <c r="D2565" s="195">
        <v>4524</v>
      </c>
      <c r="E2565" s="196">
        <v>44827</v>
      </c>
      <c r="F2565" s="195">
        <v>4524</v>
      </c>
      <c r="G2565" s="197">
        <f>Tabla110[[#This Row],[Importe]]-Tabla110[[#This Row],[Pagado]]</f>
        <v>0</v>
      </c>
      <c r="H2565" s="194" t="s">
        <v>10</v>
      </c>
    </row>
    <row r="2566" spans="1:8" ht="31.5" x14ac:dyDescent="0.25">
      <c r="A2566" s="127">
        <v>44827</v>
      </c>
      <c r="B2566" s="128" t="s">
        <v>30676</v>
      </c>
      <c r="C2566" s="194" t="s">
        <v>10586</v>
      </c>
      <c r="D2566" s="195">
        <v>5596.5</v>
      </c>
      <c r="E2566" s="198" t="s">
        <v>30677</v>
      </c>
      <c r="F2566" s="195">
        <f>3000+2596.5</f>
        <v>5596.5</v>
      </c>
      <c r="G2566" s="197">
        <f>Tabla110[[#This Row],[Importe]]-Tabla110[[#This Row],[Pagado]]</f>
        <v>0</v>
      </c>
      <c r="H2566" s="194" t="s">
        <v>10</v>
      </c>
    </row>
    <row r="2567" spans="1:8" x14ac:dyDescent="0.25">
      <c r="A2567" s="127">
        <v>44827</v>
      </c>
      <c r="B2567" s="128" t="s">
        <v>30678</v>
      </c>
      <c r="C2567" s="194" t="s">
        <v>31</v>
      </c>
      <c r="D2567" s="195">
        <v>5951.9</v>
      </c>
      <c r="E2567" s="196">
        <v>44827</v>
      </c>
      <c r="F2567" s="195">
        <v>5951.9</v>
      </c>
      <c r="G2567" s="197">
        <f>Tabla110[[#This Row],[Importe]]-Tabla110[[#This Row],[Pagado]]</f>
        <v>0</v>
      </c>
      <c r="H2567" s="194" t="s">
        <v>10</v>
      </c>
    </row>
    <row r="2568" spans="1:8" x14ac:dyDescent="0.25">
      <c r="A2568" s="127">
        <v>44827</v>
      </c>
      <c r="B2568" s="128" t="s">
        <v>30679</v>
      </c>
      <c r="C2568" s="194" t="s">
        <v>9</v>
      </c>
      <c r="D2568" s="195">
        <v>9030.2000000000007</v>
      </c>
      <c r="E2568" s="196">
        <v>44827</v>
      </c>
      <c r="F2568" s="195">
        <v>9030.2000000000007</v>
      </c>
      <c r="G2568" s="197">
        <f>Tabla110[[#This Row],[Importe]]-Tabla110[[#This Row],[Pagado]]</f>
        <v>0</v>
      </c>
      <c r="H2568" s="194" t="s">
        <v>10</v>
      </c>
    </row>
    <row r="2569" spans="1:8" x14ac:dyDescent="0.25">
      <c r="A2569" s="127">
        <v>44827</v>
      </c>
      <c r="B2569" s="128" t="s">
        <v>30680</v>
      </c>
      <c r="C2569" s="194" t="s">
        <v>314</v>
      </c>
      <c r="D2569" s="195">
        <v>5054.8</v>
      </c>
      <c r="E2569" s="196">
        <v>44827</v>
      </c>
      <c r="F2569" s="195">
        <v>5054.8</v>
      </c>
      <c r="G2569" s="197">
        <f>Tabla110[[#This Row],[Importe]]-Tabla110[[#This Row],[Pagado]]</f>
        <v>0</v>
      </c>
      <c r="H2569" s="194" t="s">
        <v>10</v>
      </c>
    </row>
    <row r="2570" spans="1:8" x14ac:dyDescent="0.25">
      <c r="A2570" s="127">
        <v>44827</v>
      </c>
      <c r="B2570" s="128" t="s">
        <v>30681</v>
      </c>
      <c r="C2570" s="194" t="s">
        <v>87</v>
      </c>
      <c r="D2570" s="195">
        <v>4506.7</v>
      </c>
      <c r="E2570" s="196">
        <v>44827</v>
      </c>
      <c r="F2570" s="195">
        <v>4506.7</v>
      </c>
      <c r="G2570" s="197">
        <f>Tabla110[[#This Row],[Importe]]-Tabla110[[#This Row],[Pagado]]</f>
        <v>0</v>
      </c>
      <c r="H2570" s="194" t="s">
        <v>10</v>
      </c>
    </row>
    <row r="2571" spans="1:8" x14ac:dyDescent="0.25">
      <c r="A2571" s="127">
        <v>44827</v>
      </c>
      <c r="B2571" s="128" t="s">
        <v>30682</v>
      </c>
      <c r="C2571" s="194" t="s">
        <v>149</v>
      </c>
      <c r="D2571" s="195">
        <v>1020</v>
      </c>
      <c r="E2571" s="196">
        <v>44827</v>
      </c>
      <c r="F2571" s="195">
        <v>1020</v>
      </c>
      <c r="G2571" s="197">
        <f>Tabla110[[#This Row],[Importe]]-Tabla110[[#This Row],[Pagado]]</f>
        <v>0</v>
      </c>
      <c r="H2571" s="194" t="s">
        <v>10</v>
      </c>
    </row>
    <row r="2572" spans="1:8" x14ac:dyDescent="0.25">
      <c r="A2572" s="127">
        <v>44827</v>
      </c>
      <c r="B2572" s="128" t="s">
        <v>30683</v>
      </c>
      <c r="C2572" s="194" t="s">
        <v>924</v>
      </c>
      <c r="D2572" s="195">
        <v>19030.7</v>
      </c>
      <c r="E2572" s="196">
        <v>44827</v>
      </c>
      <c r="F2572" s="195">
        <v>19030.7</v>
      </c>
      <c r="G2572" s="197">
        <f>Tabla110[[#This Row],[Importe]]-Tabla110[[#This Row],[Pagado]]</f>
        <v>0</v>
      </c>
      <c r="H2572" s="194" t="s">
        <v>10</v>
      </c>
    </row>
    <row r="2573" spans="1:8" x14ac:dyDescent="0.25">
      <c r="A2573" s="127">
        <v>44827</v>
      </c>
      <c r="B2573" s="128" t="s">
        <v>30684</v>
      </c>
      <c r="C2573" s="194" t="s">
        <v>10954</v>
      </c>
      <c r="D2573" s="195">
        <v>0</v>
      </c>
      <c r="E2573" s="199" t="s">
        <v>189</v>
      </c>
      <c r="F2573" s="195">
        <v>0</v>
      </c>
      <c r="G2573" s="197">
        <f>Tabla110[[#This Row],[Importe]]-Tabla110[[#This Row],[Pagado]]</f>
        <v>0</v>
      </c>
      <c r="H2573" s="194" t="s">
        <v>189</v>
      </c>
    </row>
    <row r="2574" spans="1:8" x14ac:dyDescent="0.25">
      <c r="A2574" s="127">
        <v>44827</v>
      </c>
      <c r="B2574" s="128" t="s">
        <v>30685</v>
      </c>
      <c r="C2574" s="194" t="s">
        <v>31</v>
      </c>
      <c r="D2574" s="195">
        <v>608</v>
      </c>
      <c r="E2574" s="196">
        <v>44827</v>
      </c>
      <c r="F2574" s="195">
        <v>608</v>
      </c>
      <c r="G2574" s="197">
        <f>Tabla110[[#This Row],[Importe]]-Tabla110[[#This Row],[Pagado]]</f>
        <v>0</v>
      </c>
      <c r="H2574" s="194" t="s">
        <v>10</v>
      </c>
    </row>
    <row r="2575" spans="1:8" x14ac:dyDescent="0.25">
      <c r="A2575" s="127">
        <v>44827</v>
      </c>
      <c r="B2575" s="128" t="s">
        <v>30686</v>
      </c>
      <c r="C2575" s="194" t="s">
        <v>129</v>
      </c>
      <c r="D2575" s="195">
        <v>1593.6</v>
      </c>
      <c r="E2575" s="196">
        <v>44827</v>
      </c>
      <c r="F2575" s="195">
        <v>1593.6</v>
      </c>
      <c r="G2575" s="197">
        <f>Tabla110[[#This Row],[Importe]]-Tabla110[[#This Row],[Pagado]]</f>
        <v>0</v>
      </c>
      <c r="H2575" s="194" t="s">
        <v>10</v>
      </c>
    </row>
    <row r="2576" spans="1:8" x14ac:dyDescent="0.25">
      <c r="A2576" s="127">
        <v>44827</v>
      </c>
      <c r="B2576" s="128" t="s">
        <v>30687</v>
      </c>
      <c r="C2576" s="194" t="s">
        <v>127</v>
      </c>
      <c r="D2576" s="195">
        <v>4271.2</v>
      </c>
      <c r="E2576" s="196">
        <v>44827</v>
      </c>
      <c r="F2576" s="195">
        <v>4271.2</v>
      </c>
      <c r="G2576" s="197">
        <f>Tabla110[[#This Row],[Importe]]-Tabla110[[#This Row],[Pagado]]</f>
        <v>0</v>
      </c>
      <c r="H2576" s="194" t="s">
        <v>10</v>
      </c>
    </row>
    <row r="2577" spans="1:8" x14ac:dyDescent="0.25">
      <c r="A2577" s="127">
        <v>44827</v>
      </c>
      <c r="B2577" s="128" t="s">
        <v>30688</v>
      </c>
      <c r="C2577" s="194" t="s">
        <v>357</v>
      </c>
      <c r="D2577" s="195">
        <v>1619.5</v>
      </c>
      <c r="E2577" s="196">
        <v>44827</v>
      </c>
      <c r="F2577" s="195">
        <v>1619.5</v>
      </c>
      <c r="G2577" s="197">
        <f>Tabla110[[#This Row],[Importe]]-Tabla110[[#This Row],[Pagado]]</f>
        <v>0</v>
      </c>
      <c r="H2577" s="194" t="s">
        <v>10</v>
      </c>
    </row>
    <row r="2578" spans="1:8" x14ac:dyDescent="0.25">
      <c r="A2578" s="127">
        <v>44827</v>
      </c>
      <c r="B2578" s="128" t="s">
        <v>30689</v>
      </c>
      <c r="C2578" s="194" t="s">
        <v>140</v>
      </c>
      <c r="D2578" s="195">
        <v>2205.8000000000002</v>
      </c>
      <c r="E2578" s="196">
        <v>44827</v>
      </c>
      <c r="F2578" s="195">
        <v>2205.8000000000002</v>
      </c>
      <c r="G2578" s="197">
        <f>Tabla110[[#This Row],[Importe]]-Tabla110[[#This Row],[Pagado]]</f>
        <v>0</v>
      </c>
      <c r="H2578" s="194" t="s">
        <v>10</v>
      </c>
    </row>
    <row r="2579" spans="1:8" ht="47.25" x14ac:dyDescent="0.25">
      <c r="A2579" s="127">
        <v>44827</v>
      </c>
      <c r="B2579" s="128" t="s">
        <v>30690</v>
      </c>
      <c r="C2579" s="194" t="s">
        <v>142</v>
      </c>
      <c r="D2579" s="195">
        <v>449824.82</v>
      </c>
      <c r="E2579" s="198" t="s">
        <v>34995</v>
      </c>
      <c r="F2579" s="195">
        <f>4151.47+118953.29+326720.06</f>
        <v>449824.82</v>
      </c>
      <c r="G2579" s="197">
        <f>Tabla110[[#This Row],[Importe]]-Tabla110[[#This Row],[Pagado]]</f>
        <v>0</v>
      </c>
      <c r="H2579" s="194" t="s">
        <v>10</v>
      </c>
    </row>
    <row r="2580" spans="1:8" x14ac:dyDescent="0.25">
      <c r="A2580" s="127">
        <v>44827</v>
      </c>
      <c r="B2580" s="128" t="s">
        <v>30691</v>
      </c>
      <c r="C2580" s="194" t="s">
        <v>29</v>
      </c>
      <c r="D2580" s="195">
        <v>5464.4</v>
      </c>
      <c r="E2580" s="196">
        <v>44827</v>
      </c>
      <c r="F2580" s="195">
        <v>5464.4</v>
      </c>
      <c r="G2580" s="197">
        <f>Tabla110[[#This Row],[Importe]]-Tabla110[[#This Row],[Pagado]]</f>
        <v>0</v>
      </c>
      <c r="H2580" s="194" t="s">
        <v>10</v>
      </c>
    </row>
    <row r="2581" spans="1:8" x14ac:dyDescent="0.25">
      <c r="A2581" s="127">
        <v>44827</v>
      </c>
      <c r="B2581" s="128" t="s">
        <v>30692</v>
      </c>
      <c r="C2581" s="194" t="s">
        <v>27</v>
      </c>
      <c r="D2581" s="195">
        <v>1845.4</v>
      </c>
      <c r="E2581" s="196">
        <v>44827</v>
      </c>
      <c r="F2581" s="195">
        <v>1845.4</v>
      </c>
      <c r="G2581" s="197">
        <f>Tabla110[[#This Row],[Importe]]-Tabla110[[#This Row],[Pagado]]</f>
        <v>0</v>
      </c>
      <c r="H2581" s="194" t="s">
        <v>10</v>
      </c>
    </row>
    <row r="2582" spans="1:8" x14ac:dyDescent="0.25">
      <c r="A2582" s="127">
        <v>44827</v>
      </c>
      <c r="B2582" s="128" t="s">
        <v>30693</v>
      </c>
      <c r="C2582" s="194" t="s">
        <v>365</v>
      </c>
      <c r="D2582" s="195">
        <v>1686.4</v>
      </c>
      <c r="E2582" s="196">
        <v>44827</v>
      </c>
      <c r="F2582" s="195">
        <v>1686.4</v>
      </c>
      <c r="G2582" s="197">
        <f>Tabla110[[#This Row],[Importe]]-Tabla110[[#This Row],[Pagado]]</f>
        <v>0</v>
      </c>
      <c r="H2582" s="194" t="s">
        <v>10</v>
      </c>
    </row>
    <row r="2583" spans="1:8" x14ac:dyDescent="0.25">
      <c r="A2583" s="127">
        <v>44827</v>
      </c>
      <c r="B2583" s="128" t="s">
        <v>30694</v>
      </c>
      <c r="C2583" s="194" t="s">
        <v>49</v>
      </c>
      <c r="D2583" s="195">
        <v>3960</v>
      </c>
      <c r="E2583" s="196">
        <v>44827</v>
      </c>
      <c r="F2583" s="195">
        <v>3960</v>
      </c>
      <c r="G2583" s="197">
        <f>Tabla110[[#This Row],[Importe]]-Tabla110[[#This Row],[Pagado]]</f>
        <v>0</v>
      </c>
      <c r="H2583" s="194" t="s">
        <v>10</v>
      </c>
    </row>
    <row r="2584" spans="1:8" x14ac:dyDescent="0.25">
      <c r="A2584" s="127">
        <v>44827</v>
      </c>
      <c r="B2584" s="128" t="s">
        <v>30695</v>
      </c>
      <c r="C2584" s="194" t="s">
        <v>173</v>
      </c>
      <c r="D2584" s="195">
        <v>20368</v>
      </c>
      <c r="E2584" s="196">
        <v>44828</v>
      </c>
      <c r="F2584" s="195">
        <v>20368</v>
      </c>
      <c r="G2584" s="197">
        <f>Tabla110[[#This Row],[Importe]]-Tabla110[[#This Row],[Pagado]]</f>
        <v>0</v>
      </c>
      <c r="H2584" s="194" t="s">
        <v>10</v>
      </c>
    </row>
    <row r="2585" spans="1:8" x14ac:dyDescent="0.25">
      <c r="A2585" s="127">
        <v>44827</v>
      </c>
      <c r="B2585" s="128" t="s">
        <v>30696</v>
      </c>
      <c r="C2585" s="194" t="s">
        <v>670</v>
      </c>
      <c r="D2585" s="195">
        <v>4927.5</v>
      </c>
      <c r="E2585" s="196">
        <v>44827</v>
      </c>
      <c r="F2585" s="195">
        <v>4927.5</v>
      </c>
      <c r="G2585" s="197">
        <f>Tabla110[[#This Row],[Importe]]-Tabla110[[#This Row],[Pagado]]</f>
        <v>0</v>
      </c>
      <c r="H2585" s="194" t="s">
        <v>10</v>
      </c>
    </row>
    <row r="2586" spans="1:8" x14ac:dyDescent="0.25">
      <c r="A2586" s="127">
        <v>44827</v>
      </c>
      <c r="B2586" s="128" t="s">
        <v>30697</v>
      </c>
      <c r="C2586" s="194" t="s">
        <v>647</v>
      </c>
      <c r="D2586" s="195">
        <v>3067.2</v>
      </c>
      <c r="E2586" s="196">
        <v>44827</v>
      </c>
      <c r="F2586" s="195">
        <v>3067.2</v>
      </c>
      <c r="G2586" s="197">
        <f>Tabla110[[#This Row],[Importe]]-Tabla110[[#This Row],[Pagado]]</f>
        <v>0</v>
      </c>
      <c r="H2586" s="194" t="s">
        <v>10</v>
      </c>
    </row>
    <row r="2587" spans="1:8" x14ac:dyDescent="0.25">
      <c r="A2587" s="127">
        <v>44827</v>
      </c>
      <c r="B2587" s="128" t="s">
        <v>30698</v>
      </c>
      <c r="C2587" s="194" t="s">
        <v>35</v>
      </c>
      <c r="D2587" s="195">
        <v>4746</v>
      </c>
      <c r="E2587" s="196">
        <v>44827</v>
      </c>
      <c r="F2587" s="195">
        <v>4746</v>
      </c>
      <c r="G2587" s="197">
        <f>Tabla110[[#This Row],[Importe]]-Tabla110[[#This Row],[Pagado]]</f>
        <v>0</v>
      </c>
      <c r="H2587" s="194" t="s">
        <v>10</v>
      </c>
    </row>
    <row r="2588" spans="1:8" x14ac:dyDescent="0.25">
      <c r="A2588" s="127">
        <v>44827</v>
      </c>
      <c r="B2588" s="128" t="s">
        <v>30699</v>
      </c>
      <c r="C2588" s="194" t="s">
        <v>647</v>
      </c>
      <c r="D2588" s="195">
        <v>397</v>
      </c>
      <c r="E2588" s="196">
        <v>44827</v>
      </c>
      <c r="F2588" s="195">
        <v>397</v>
      </c>
      <c r="G2588" s="197">
        <f>Tabla110[[#This Row],[Importe]]-Tabla110[[#This Row],[Pagado]]</f>
        <v>0</v>
      </c>
      <c r="H2588" s="194" t="s">
        <v>10</v>
      </c>
    </row>
    <row r="2589" spans="1:8" x14ac:dyDescent="0.25">
      <c r="A2589" s="127">
        <v>44827</v>
      </c>
      <c r="B2589" s="128" t="s">
        <v>30700</v>
      </c>
      <c r="C2589" s="194" t="s">
        <v>45</v>
      </c>
      <c r="D2589" s="195">
        <v>14287.2</v>
      </c>
      <c r="E2589" s="196">
        <v>44827</v>
      </c>
      <c r="F2589" s="195">
        <v>14287.2</v>
      </c>
      <c r="G2589" s="197">
        <f>Tabla110[[#This Row],[Importe]]-Tabla110[[#This Row],[Pagado]]</f>
        <v>0</v>
      </c>
      <c r="H2589" s="194" t="s">
        <v>10</v>
      </c>
    </row>
    <row r="2590" spans="1:8" x14ac:dyDescent="0.25">
      <c r="A2590" s="127">
        <v>44827</v>
      </c>
      <c r="B2590" s="128" t="s">
        <v>30701</v>
      </c>
      <c r="C2590" s="194" t="s">
        <v>2114</v>
      </c>
      <c r="D2590" s="195">
        <v>2103.3000000000002</v>
      </c>
      <c r="E2590" s="196">
        <v>44827</v>
      </c>
      <c r="F2590" s="195">
        <v>2103.3000000000002</v>
      </c>
      <c r="G2590" s="197">
        <f>Tabla110[[#This Row],[Importe]]-Tabla110[[#This Row],[Pagado]]</f>
        <v>0</v>
      </c>
      <c r="H2590" s="194" t="s">
        <v>10</v>
      </c>
    </row>
    <row r="2591" spans="1:8" x14ac:dyDescent="0.25">
      <c r="A2591" s="127">
        <v>44827</v>
      </c>
      <c r="B2591" s="128" t="s">
        <v>30702</v>
      </c>
      <c r="C2591" s="194" t="s">
        <v>392</v>
      </c>
      <c r="D2591" s="195">
        <v>25892.5</v>
      </c>
      <c r="E2591" s="196">
        <v>44834</v>
      </c>
      <c r="F2591" s="195">
        <v>25892.5</v>
      </c>
      <c r="G2591" s="197">
        <f>Tabla110[[#This Row],[Importe]]-Tabla110[[#This Row],[Pagado]]</f>
        <v>0</v>
      </c>
      <c r="H2591" s="194" t="s">
        <v>10</v>
      </c>
    </row>
    <row r="2592" spans="1:8" x14ac:dyDescent="0.25">
      <c r="A2592" s="127">
        <v>44827</v>
      </c>
      <c r="B2592" s="128" t="s">
        <v>30703</v>
      </c>
      <c r="C2592" s="194" t="s">
        <v>135</v>
      </c>
      <c r="D2592" s="195">
        <v>3000.6</v>
      </c>
      <c r="E2592" s="196">
        <v>44828</v>
      </c>
      <c r="F2592" s="195">
        <v>3000.6</v>
      </c>
      <c r="G2592" s="197">
        <f>Tabla110[[#This Row],[Importe]]-Tabla110[[#This Row],[Pagado]]</f>
        <v>0</v>
      </c>
      <c r="H2592" s="194" t="s">
        <v>10</v>
      </c>
    </row>
    <row r="2593" spans="1:8" x14ac:dyDescent="0.25">
      <c r="A2593" s="127">
        <v>44827</v>
      </c>
      <c r="B2593" s="128" t="s">
        <v>30704</v>
      </c>
      <c r="C2593" s="194" t="s">
        <v>24284</v>
      </c>
      <c r="D2593" s="195">
        <v>1155.2</v>
      </c>
      <c r="E2593" s="196">
        <v>44827</v>
      </c>
      <c r="F2593" s="195">
        <v>1155.2</v>
      </c>
      <c r="G2593" s="197">
        <f>Tabla110[[#This Row],[Importe]]-Tabla110[[#This Row],[Pagado]]</f>
        <v>0</v>
      </c>
      <c r="H2593" s="194" t="s">
        <v>10</v>
      </c>
    </row>
    <row r="2594" spans="1:8" x14ac:dyDescent="0.25">
      <c r="A2594" s="127">
        <v>44827</v>
      </c>
      <c r="B2594" s="128" t="s">
        <v>30705</v>
      </c>
      <c r="C2594" s="194" t="s">
        <v>196</v>
      </c>
      <c r="D2594" s="195">
        <v>167099.1</v>
      </c>
      <c r="E2594" s="196">
        <v>44827</v>
      </c>
      <c r="F2594" s="195">
        <v>167099.1</v>
      </c>
      <c r="G2594" s="197">
        <f>Tabla110[[#This Row],[Importe]]-Tabla110[[#This Row],[Pagado]]</f>
        <v>0</v>
      </c>
      <c r="H2594" s="194" t="s">
        <v>10</v>
      </c>
    </row>
    <row r="2595" spans="1:8" x14ac:dyDescent="0.25">
      <c r="A2595" s="127">
        <v>44827</v>
      </c>
      <c r="B2595" s="128" t="s">
        <v>30706</v>
      </c>
      <c r="C2595" s="194" t="s">
        <v>815</v>
      </c>
      <c r="D2595" s="195">
        <v>799.2</v>
      </c>
      <c r="E2595" s="196">
        <v>44827</v>
      </c>
      <c r="F2595" s="195">
        <v>799.2</v>
      </c>
      <c r="G2595" s="197">
        <f>Tabla110[[#This Row],[Importe]]-Tabla110[[#This Row],[Pagado]]</f>
        <v>0</v>
      </c>
      <c r="H2595" s="194" t="s">
        <v>10</v>
      </c>
    </row>
    <row r="2596" spans="1:8" x14ac:dyDescent="0.25">
      <c r="A2596" s="127">
        <v>44827</v>
      </c>
      <c r="B2596" s="128" t="s">
        <v>30707</v>
      </c>
      <c r="C2596" s="194" t="s">
        <v>218</v>
      </c>
      <c r="D2596" s="195">
        <v>23419.9</v>
      </c>
      <c r="E2596" s="196">
        <v>44830</v>
      </c>
      <c r="F2596" s="195">
        <v>23419.9</v>
      </c>
      <c r="G2596" s="197">
        <f>Tabla110[[#This Row],[Importe]]-Tabla110[[#This Row],[Pagado]]</f>
        <v>0</v>
      </c>
      <c r="H2596" s="194" t="s">
        <v>10</v>
      </c>
    </row>
    <row r="2597" spans="1:8" x14ac:dyDescent="0.25">
      <c r="A2597" s="127">
        <v>44827</v>
      </c>
      <c r="B2597" s="128" t="s">
        <v>30708</v>
      </c>
      <c r="C2597" s="194" t="s">
        <v>216</v>
      </c>
      <c r="D2597" s="195">
        <v>1884.8</v>
      </c>
      <c r="E2597" s="196">
        <v>44827</v>
      </c>
      <c r="F2597" s="195">
        <v>1884.8</v>
      </c>
      <c r="G2597" s="197">
        <f>Tabla110[[#This Row],[Importe]]-Tabla110[[#This Row],[Pagado]]</f>
        <v>0</v>
      </c>
      <c r="H2597" s="194" t="s">
        <v>10</v>
      </c>
    </row>
    <row r="2598" spans="1:8" x14ac:dyDescent="0.25">
      <c r="A2598" s="127">
        <v>44827</v>
      </c>
      <c r="B2598" s="128" t="s">
        <v>30709</v>
      </c>
      <c r="C2598" s="194" t="s">
        <v>212</v>
      </c>
      <c r="D2598" s="195">
        <v>72041.600000000006</v>
      </c>
      <c r="E2598" s="196">
        <v>44830</v>
      </c>
      <c r="F2598" s="195">
        <v>72041.600000000006</v>
      </c>
      <c r="G2598" s="197">
        <f>Tabla110[[#This Row],[Importe]]-Tabla110[[#This Row],[Pagado]]</f>
        <v>0</v>
      </c>
      <c r="H2598" s="194" t="s">
        <v>10</v>
      </c>
    </row>
    <row r="2599" spans="1:8" x14ac:dyDescent="0.25">
      <c r="A2599" s="127">
        <v>44827</v>
      </c>
      <c r="B2599" s="128" t="s">
        <v>30710</v>
      </c>
      <c r="C2599" s="194" t="s">
        <v>24</v>
      </c>
      <c r="D2599" s="195">
        <v>4459.3999999999996</v>
      </c>
      <c r="E2599" s="196">
        <v>44827</v>
      </c>
      <c r="F2599" s="195">
        <v>4459.3999999999996</v>
      </c>
      <c r="G2599" s="197">
        <f>Tabla110[[#This Row],[Importe]]-Tabla110[[#This Row],[Pagado]]</f>
        <v>0</v>
      </c>
      <c r="H2599" s="194" t="s">
        <v>10</v>
      </c>
    </row>
    <row r="2600" spans="1:8" x14ac:dyDescent="0.25">
      <c r="A2600" s="127">
        <v>44827</v>
      </c>
      <c r="B2600" s="128" t="s">
        <v>30711</v>
      </c>
      <c r="C2600" s="194" t="s">
        <v>206</v>
      </c>
      <c r="D2600" s="195">
        <v>37033.1</v>
      </c>
      <c r="E2600" s="196">
        <v>44830</v>
      </c>
      <c r="F2600" s="195">
        <v>37033.1</v>
      </c>
      <c r="G2600" s="197">
        <f>Tabla110[[#This Row],[Importe]]-Tabla110[[#This Row],[Pagado]]</f>
        <v>0</v>
      </c>
      <c r="H2600" s="194" t="s">
        <v>10</v>
      </c>
    </row>
    <row r="2601" spans="1:8" x14ac:dyDescent="0.25">
      <c r="A2601" s="127">
        <v>44827</v>
      </c>
      <c r="B2601" s="128" t="s">
        <v>30712</v>
      </c>
      <c r="C2601" s="194" t="s">
        <v>222</v>
      </c>
      <c r="D2601" s="195">
        <v>1200</v>
      </c>
      <c r="E2601" s="196">
        <v>44827</v>
      </c>
      <c r="F2601" s="195">
        <v>1200</v>
      </c>
      <c r="G2601" s="197">
        <f>Tabla110[[#This Row],[Importe]]-Tabla110[[#This Row],[Pagado]]</f>
        <v>0</v>
      </c>
      <c r="H2601" s="194" t="s">
        <v>10</v>
      </c>
    </row>
    <row r="2602" spans="1:8" x14ac:dyDescent="0.25">
      <c r="A2602" s="127">
        <v>44827</v>
      </c>
      <c r="B2602" s="128" t="s">
        <v>30713</v>
      </c>
      <c r="C2602" s="194" t="s">
        <v>154</v>
      </c>
      <c r="D2602" s="195">
        <v>63303.9</v>
      </c>
      <c r="E2602" s="196">
        <v>44832</v>
      </c>
      <c r="F2602" s="195">
        <v>63303.9</v>
      </c>
      <c r="G2602" s="197">
        <f>Tabla110[[#This Row],[Importe]]-Tabla110[[#This Row],[Pagado]]</f>
        <v>0</v>
      </c>
      <c r="H2602" s="194" t="s">
        <v>10</v>
      </c>
    </row>
    <row r="2603" spans="1:8" x14ac:dyDescent="0.25">
      <c r="A2603" s="127">
        <v>44827</v>
      </c>
      <c r="B2603" s="128" t="s">
        <v>30714</v>
      </c>
      <c r="C2603" s="194" t="s">
        <v>53</v>
      </c>
      <c r="D2603" s="195">
        <v>1514.4</v>
      </c>
      <c r="E2603" s="196">
        <v>44827</v>
      </c>
      <c r="F2603" s="195">
        <v>1514.4</v>
      </c>
      <c r="G2603" s="197">
        <f>Tabla110[[#This Row],[Importe]]-Tabla110[[#This Row],[Pagado]]</f>
        <v>0</v>
      </c>
      <c r="H2603" s="194" t="s">
        <v>10</v>
      </c>
    </row>
    <row r="2604" spans="1:8" x14ac:dyDescent="0.25">
      <c r="A2604" s="127">
        <v>44827</v>
      </c>
      <c r="B2604" s="128" t="s">
        <v>30715</v>
      </c>
      <c r="C2604" s="194" t="s">
        <v>56</v>
      </c>
      <c r="D2604" s="195">
        <v>6150.5</v>
      </c>
      <c r="E2604" s="196">
        <v>44827</v>
      </c>
      <c r="F2604" s="195">
        <v>6150.5</v>
      </c>
      <c r="G2604" s="197">
        <f>Tabla110[[#This Row],[Importe]]-Tabla110[[#This Row],[Pagado]]</f>
        <v>0</v>
      </c>
      <c r="H2604" s="194" t="s">
        <v>10</v>
      </c>
    </row>
    <row r="2605" spans="1:8" x14ac:dyDescent="0.25">
      <c r="A2605" s="127">
        <v>44827</v>
      </c>
      <c r="B2605" s="128" t="s">
        <v>30716</v>
      </c>
      <c r="C2605" s="194" t="s">
        <v>79</v>
      </c>
      <c r="D2605" s="195">
        <v>34255.599999999999</v>
      </c>
      <c r="E2605" s="196">
        <v>44827</v>
      </c>
      <c r="F2605" s="195">
        <v>34255.599999999999</v>
      </c>
      <c r="G2605" s="197">
        <f>Tabla110[[#This Row],[Importe]]-Tabla110[[#This Row],[Pagado]]</f>
        <v>0</v>
      </c>
      <c r="H2605" s="194" t="s">
        <v>10</v>
      </c>
    </row>
    <row r="2606" spans="1:8" x14ac:dyDescent="0.25">
      <c r="A2606" s="127">
        <v>44827</v>
      </c>
      <c r="B2606" s="128" t="s">
        <v>30717</v>
      </c>
      <c r="C2606" s="194" t="s">
        <v>51</v>
      </c>
      <c r="D2606" s="195">
        <v>4774.3999999999996</v>
      </c>
      <c r="E2606" s="196">
        <v>44827</v>
      </c>
      <c r="F2606" s="195">
        <v>4774.3999999999996</v>
      </c>
      <c r="G2606" s="197">
        <f>Tabla110[[#This Row],[Importe]]-Tabla110[[#This Row],[Pagado]]</f>
        <v>0</v>
      </c>
      <c r="H2606" s="194" t="s">
        <v>10</v>
      </c>
    </row>
    <row r="2607" spans="1:8" x14ac:dyDescent="0.25">
      <c r="A2607" s="127">
        <v>44827</v>
      </c>
      <c r="B2607" s="128" t="s">
        <v>30718</v>
      </c>
      <c r="C2607" s="194" t="s">
        <v>289</v>
      </c>
      <c r="D2607" s="195">
        <v>16097.2</v>
      </c>
      <c r="E2607" s="196">
        <v>44827</v>
      </c>
      <c r="F2607" s="195">
        <v>16097.2</v>
      </c>
      <c r="G2607" s="197">
        <f>Tabla110[[#This Row],[Importe]]-Tabla110[[#This Row],[Pagado]]</f>
        <v>0</v>
      </c>
      <c r="H2607" s="194" t="s">
        <v>10</v>
      </c>
    </row>
    <row r="2608" spans="1:8" x14ac:dyDescent="0.25">
      <c r="A2608" s="127">
        <v>44827</v>
      </c>
      <c r="B2608" s="128" t="s">
        <v>30719</v>
      </c>
      <c r="C2608" s="194" t="s">
        <v>35</v>
      </c>
      <c r="D2608" s="195">
        <v>2180.1999999999998</v>
      </c>
      <c r="E2608" s="196">
        <v>44827</v>
      </c>
      <c r="F2608" s="195">
        <v>2180.1999999999998</v>
      </c>
      <c r="G2608" s="197">
        <f>Tabla110[[#This Row],[Importe]]-Tabla110[[#This Row],[Pagado]]</f>
        <v>0</v>
      </c>
      <c r="H2608" s="194" t="s">
        <v>10</v>
      </c>
    </row>
    <row r="2609" spans="1:8" ht="47.25" x14ac:dyDescent="0.25">
      <c r="A2609" s="127">
        <v>44827</v>
      </c>
      <c r="B2609" s="128" t="s">
        <v>30720</v>
      </c>
      <c r="C2609" s="194" t="s">
        <v>592</v>
      </c>
      <c r="D2609" s="195">
        <v>52910</v>
      </c>
      <c r="E2609" s="198" t="s">
        <v>31547</v>
      </c>
      <c r="F2609" s="195">
        <f>5000+42910+5000</f>
        <v>52910</v>
      </c>
      <c r="G2609" s="197">
        <f>Tabla110[[#This Row],[Importe]]-Tabla110[[#This Row],[Pagado]]</f>
        <v>0</v>
      </c>
      <c r="H2609" s="194" t="s">
        <v>10</v>
      </c>
    </row>
    <row r="2610" spans="1:8" x14ac:dyDescent="0.25">
      <c r="A2610" s="127">
        <v>44827</v>
      </c>
      <c r="B2610" s="128" t="s">
        <v>30721</v>
      </c>
      <c r="C2610" s="194" t="s">
        <v>1378</v>
      </c>
      <c r="D2610" s="195">
        <v>62293</v>
      </c>
      <c r="E2610" s="196">
        <v>44828</v>
      </c>
      <c r="F2610" s="195">
        <v>62293</v>
      </c>
      <c r="G2610" s="197">
        <f>Tabla110[[#This Row],[Importe]]-Tabla110[[#This Row],[Pagado]]</f>
        <v>0</v>
      </c>
      <c r="H2610" s="194" t="s">
        <v>10</v>
      </c>
    </row>
    <row r="2611" spans="1:8" x14ac:dyDescent="0.25">
      <c r="A2611" s="127">
        <v>44827</v>
      </c>
      <c r="B2611" s="128" t="s">
        <v>30722</v>
      </c>
      <c r="C2611" s="194" t="s">
        <v>21812</v>
      </c>
      <c r="D2611" s="195">
        <v>3899.2</v>
      </c>
      <c r="E2611" s="196">
        <v>44827</v>
      </c>
      <c r="F2611" s="195">
        <v>3899.2</v>
      </c>
      <c r="G2611" s="197">
        <f>Tabla110[[#This Row],[Importe]]-Tabla110[[#This Row],[Pagado]]</f>
        <v>0</v>
      </c>
      <c r="H2611" s="194" t="s">
        <v>10</v>
      </c>
    </row>
    <row r="2612" spans="1:8" x14ac:dyDescent="0.25">
      <c r="A2612" s="127">
        <v>44827</v>
      </c>
      <c r="B2612" s="128" t="s">
        <v>30723</v>
      </c>
      <c r="C2612" s="194" t="s">
        <v>58</v>
      </c>
      <c r="D2612" s="195">
        <v>5481.9</v>
      </c>
      <c r="E2612" s="196">
        <v>44827</v>
      </c>
      <c r="F2612" s="195">
        <v>5481.9</v>
      </c>
      <c r="G2612" s="197">
        <f>Tabla110[[#This Row],[Importe]]-Tabla110[[#This Row],[Pagado]]</f>
        <v>0</v>
      </c>
      <c r="H2612" s="194" t="s">
        <v>10</v>
      </c>
    </row>
    <row r="2613" spans="1:8" x14ac:dyDescent="0.25">
      <c r="A2613" s="127">
        <v>44827</v>
      </c>
      <c r="B2613" s="128" t="s">
        <v>30724</v>
      </c>
      <c r="C2613" s="194" t="s">
        <v>133</v>
      </c>
      <c r="D2613" s="195">
        <v>15246</v>
      </c>
      <c r="E2613" s="196">
        <v>44828</v>
      </c>
      <c r="F2613" s="195">
        <v>15246</v>
      </c>
      <c r="G2613" s="197">
        <f>Tabla110[[#This Row],[Importe]]-Tabla110[[#This Row],[Pagado]]</f>
        <v>0</v>
      </c>
      <c r="H2613" s="194" t="s">
        <v>10</v>
      </c>
    </row>
    <row r="2614" spans="1:8" x14ac:dyDescent="0.25">
      <c r="A2614" s="127">
        <v>44827</v>
      </c>
      <c r="B2614" s="128" t="s">
        <v>30725</v>
      </c>
      <c r="C2614" s="194" t="s">
        <v>244</v>
      </c>
      <c r="D2614" s="195">
        <v>2524.5</v>
      </c>
      <c r="E2614" s="196">
        <v>44827</v>
      </c>
      <c r="F2614" s="195">
        <v>2524.5</v>
      </c>
      <c r="G2614" s="197">
        <f>Tabla110[[#This Row],[Importe]]-Tabla110[[#This Row],[Pagado]]</f>
        <v>0</v>
      </c>
      <c r="H2614" s="194" t="s">
        <v>10</v>
      </c>
    </row>
    <row r="2615" spans="1:8" x14ac:dyDescent="0.25">
      <c r="A2615" s="127">
        <v>44827</v>
      </c>
      <c r="B2615" s="128" t="s">
        <v>30726</v>
      </c>
      <c r="C2615" s="194" t="s">
        <v>1003</v>
      </c>
      <c r="D2615" s="195">
        <v>6658</v>
      </c>
      <c r="E2615" s="196">
        <v>44829</v>
      </c>
      <c r="F2615" s="195">
        <v>6658</v>
      </c>
      <c r="G2615" s="197">
        <f>Tabla110[[#This Row],[Importe]]-Tabla110[[#This Row],[Pagado]]</f>
        <v>0</v>
      </c>
      <c r="H2615" s="194" t="s">
        <v>10</v>
      </c>
    </row>
    <row r="2616" spans="1:8" x14ac:dyDescent="0.25">
      <c r="A2616" s="127">
        <v>44827</v>
      </c>
      <c r="B2616" s="128" t="s">
        <v>30727</v>
      </c>
      <c r="C2616" s="194" t="s">
        <v>233</v>
      </c>
      <c r="D2616" s="195">
        <v>5915</v>
      </c>
      <c r="E2616" s="196">
        <v>44827</v>
      </c>
      <c r="F2616" s="195">
        <v>5915</v>
      </c>
      <c r="G2616" s="197">
        <f>Tabla110[[#This Row],[Importe]]-Tabla110[[#This Row],[Pagado]]</f>
        <v>0</v>
      </c>
      <c r="H2616" s="194" t="s">
        <v>10</v>
      </c>
    </row>
    <row r="2617" spans="1:8" x14ac:dyDescent="0.25">
      <c r="A2617" s="127">
        <v>44827</v>
      </c>
      <c r="B2617" s="128" t="s">
        <v>30728</v>
      </c>
      <c r="C2617" s="194" t="s">
        <v>1644</v>
      </c>
      <c r="D2617" s="195">
        <v>10213.9</v>
      </c>
      <c r="E2617" s="196">
        <v>44828</v>
      </c>
      <c r="F2617" s="195">
        <v>10213.9</v>
      </c>
      <c r="G2617" s="197">
        <f>Tabla110[[#This Row],[Importe]]-Tabla110[[#This Row],[Pagado]]</f>
        <v>0</v>
      </c>
      <c r="H2617" s="194" t="s">
        <v>10</v>
      </c>
    </row>
    <row r="2618" spans="1:8" x14ac:dyDescent="0.25">
      <c r="A2618" s="127">
        <v>44827</v>
      </c>
      <c r="B2618" s="128" t="s">
        <v>30729</v>
      </c>
      <c r="C2618" s="194" t="s">
        <v>296</v>
      </c>
      <c r="D2618" s="195">
        <v>4591.2</v>
      </c>
      <c r="E2618" s="196">
        <v>44827</v>
      </c>
      <c r="F2618" s="195">
        <v>4591.2</v>
      </c>
      <c r="G2618" s="197">
        <f>Tabla110[[#This Row],[Importe]]-Tabla110[[#This Row],[Pagado]]</f>
        <v>0</v>
      </c>
      <c r="H2618" s="194" t="s">
        <v>10</v>
      </c>
    </row>
    <row r="2619" spans="1:8" x14ac:dyDescent="0.25">
      <c r="A2619" s="127">
        <v>44827</v>
      </c>
      <c r="B2619" s="128" t="s">
        <v>30730</v>
      </c>
      <c r="C2619" s="194" t="s">
        <v>146</v>
      </c>
      <c r="D2619" s="195">
        <v>8323</v>
      </c>
      <c r="E2619" s="196">
        <v>44827</v>
      </c>
      <c r="F2619" s="195">
        <v>8323</v>
      </c>
      <c r="G2619" s="197">
        <f>Tabla110[[#This Row],[Importe]]-Tabla110[[#This Row],[Pagado]]</f>
        <v>0</v>
      </c>
      <c r="H2619" s="194" t="s">
        <v>10</v>
      </c>
    </row>
    <row r="2620" spans="1:8" x14ac:dyDescent="0.25">
      <c r="A2620" s="127">
        <v>44827</v>
      </c>
      <c r="B2620" s="128" t="s">
        <v>30731</v>
      </c>
      <c r="C2620" s="194" t="s">
        <v>67</v>
      </c>
      <c r="D2620" s="195">
        <v>13638.4</v>
      </c>
      <c r="E2620" s="196">
        <v>44827</v>
      </c>
      <c r="F2620" s="195">
        <v>13638.4</v>
      </c>
      <c r="G2620" s="197">
        <f>Tabla110[[#This Row],[Importe]]-Tabla110[[#This Row],[Pagado]]</f>
        <v>0</v>
      </c>
      <c r="H2620" s="194" t="s">
        <v>10</v>
      </c>
    </row>
    <row r="2621" spans="1:8" x14ac:dyDescent="0.25">
      <c r="A2621" s="127">
        <v>44827</v>
      </c>
      <c r="B2621" s="128" t="s">
        <v>30732</v>
      </c>
      <c r="C2621" s="194" t="s">
        <v>1362</v>
      </c>
      <c r="D2621" s="195">
        <v>8584.9</v>
      </c>
      <c r="E2621" s="196">
        <v>44827</v>
      </c>
      <c r="F2621" s="195">
        <v>8584.9</v>
      </c>
      <c r="G2621" s="197">
        <f>Tabla110[[#This Row],[Importe]]-Tabla110[[#This Row],[Pagado]]</f>
        <v>0</v>
      </c>
      <c r="H2621" s="194" t="s">
        <v>10</v>
      </c>
    </row>
    <row r="2622" spans="1:8" x14ac:dyDescent="0.25">
      <c r="A2622" s="127">
        <v>44827</v>
      </c>
      <c r="B2622" s="128" t="s">
        <v>30733</v>
      </c>
      <c r="C2622" s="194" t="s">
        <v>698</v>
      </c>
      <c r="D2622" s="195">
        <v>7683.6</v>
      </c>
      <c r="E2622" s="196">
        <v>44827</v>
      </c>
      <c r="F2622" s="195">
        <v>7683.6</v>
      </c>
      <c r="G2622" s="197">
        <f>Tabla110[[#This Row],[Importe]]-Tabla110[[#This Row],[Pagado]]</f>
        <v>0</v>
      </c>
      <c r="H2622" s="194" t="s">
        <v>10</v>
      </c>
    </row>
    <row r="2623" spans="1:8" x14ac:dyDescent="0.25">
      <c r="A2623" s="127">
        <v>44827</v>
      </c>
      <c r="B2623" s="128" t="s">
        <v>30734</v>
      </c>
      <c r="C2623" s="194" t="s">
        <v>175</v>
      </c>
      <c r="D2623" s="195">
        <v>6342</v>
      </c>
      <c r="E2623" s="196">
        <v>44827</v>
      </c>
      <c r="F2623" s="195">
        <v>6342</v>
      </c>
      <c r="G2623" s="197">
        <f>Tabla110[[#This Row],[Importe]]-Tabla110[[#This Row],[Pagado]]</f>
        <v>0</v>
      </c>
      <c r="H2623" s="194" t="s">
        <v>10</v>
      </c>
    </row>
    <row r="2624" spans="1:8" x14ac:dyDescent="0.25">
      <c r="A2624" s="127">
        <v>44827</v>
      </c>
      <c r="B2624" s="128" t="s">
        <v>30735</v>
      </c>
      <c r="C2624" s="194" t="s">
        <v>181</v>
      </c>
      <c r="D2624" s="195">
        <v>10600</v>
      </c>
      <c r="E2624" s="196">
        <v>44827</v>
      </c>
      <c r="F2624" s="195">
        <v>10600</v>
      </c>
      <c r="G2624" s="197">
        <f>Tabla110[[#This Row],[Importe]]-Tabla110[[#This Row],[Pagado]]</f>
        <v>0</v>
      </c>
      <c r="H2624" s="194" t="s">
        <v>10</v>
      </c>
    </row>
    <row r="2625" spans="1:8" x14ac:dyDescent="0.25">
      <c r="A2625" s="127">
        <v>44827</v>
      </c>
      <c r="B2625" s="128" t="s">
        <v>30736</v>
      </c>
      <c r="C2625" s="194" t="s">
        <v>107</v>
      </c>
      <c r="D2625" s="195">
        <v>17851.8</v>
      </c>
      <c r="E2625" s="196">
        <v>44827</v>
      </c>
      <c r="F2625" s="195">
        <v>17851.8</v>
      </c>
      <c r="G2625" s="197">
        <f>Tabla110[[#This Row],[Importe]]-Tabla110[[#This Row],[Pagado]]</f>
        <v>0</v>
      </c>
      <c r="H2625" s="194" t="s">
        <v>10</v>
      </c>
    </row>
    <row r="2626" spans="1:8" x14ac:dyDescent="0.25">
      <c r="A2626" s="127">
        <v>44827</v>
      </c>
      <c r="B2626" s="128" t="s">
        <v>30737</v>
      </c>
      <c r="C2626" s="194" t="s">
        <v>849</v>
      </c>
      <c r="D2626" s="195">
        <v>5186.7</v>
      </c>
      <c r="E2626" s="196">
        <v>44827</v>
      </c>
      <c r="F2626" s="195">
        <v>5186.7</v>
      </c>
      <c r="G2626" s="197">
        <f>Tabla110[[#This Row],[Importe]]-Tabla110[[#This Row],[Pagado]]</f>
        <v>0</v>
      </c>
      <c r="H2626" s="194" t="s">
        <v>10</v>
      </c>
    </row>
    <row r="2627" spans="1:8" x14ac:dyDescent="0.25">
      <c r="A2627" s="127">
        <v>44827</v>
      </c>
      <c r="B2627" s="128" t="s">
        <v>30738</v>
      </c>
      <c r="C2627" s="194" t="s">
        <v>200</v>
      </c>
      <c r="D2627" s="195">
        <v>646</v>
      </c>
      <c r="E2627" s="196">
        <v>44827</v>
      </c>
      <c r="F2627" s="195">
        <v>646</v>
      </c>
      <c r="G2627" s="197">
        <f>Tabla110[[#This Row],[Importe]]-Tabla110[[#This Row],[Pagado]]</f>
        <v>0</v>
      </c>
      <c r="H2627" s="194" t="s">
        <v>10</v>
      </c>
    </row>
    <row r="2628" spans="1:8" x14ac:dyDescent="0.25">
      <c r="A2628" s="127">
        <v>44827</v>
      </c>
      <c r="B2628" s="128" t="s">
        <v>30739</v>
      </c>
      <c r="C2628" s="194" t="s">
        <v>181</v>
      </c>
      <c r="D2628" s="195">
        <v>1354.2</v>
      </c>
      <c r="E2628" s="196">
        <v>44827</v>
      </c>
      <c r="F2628" s="195">
        <v>1354.2</v>
      </c>
      <c r="G2628" s="197">
        <f>Tabla110[[#This Row],[Importe]]-Tabla110[[#This Row],[Pagado]]</f>
        <v>0</v>
      </c>
      <c r="H2628" s="194" t="s">
        <v>10</v>
      </c>
    </row>
    <row r="2629" spans="1:8" x14ac:dyDescent="0.25">
      <c r="A2629" s="127">
        <v>44827</v>
      </c>
      <c r="B2629" s="128" t="s">
        <v>30740</v>
      </c>
      <c r="C2629" s="194" t="s">
        <v>28087</v>
      </c>
      <c r="D2629" s="195">
        <v>109156.26</v>
      </c>
      <c r="E2629" s="196">
        <v>44827</v>
      </c>
      <c r="F2629" s="195">
        <v>109156.26</v>
      </c>
      <c r="G2629" s="197">
        <f>Tabla110[[#This Row],[Importe]]-Tabla110[[#This Row],[Pagado]]</f>
        <v>0</v>
      </c>
      <c r="H2629" s="194" t="s">
        <v>10</v>
      </c>
    </row>
    <row r="2630" spans="1:8" x14ac:dyDescent="0.25">
      <c r="A2630" s="127">
        <v>44827</v>
      </c>
      <c r="B2630" s="128" t="s">
        <v>30741</v>
      </c>
      <c r="C2630" s="194" t="s">
        <v>6112</v>
      </c>
      <c r="D2630" s="195">
        <v>2035</v>
      </c>
      <c r="E2630" s="196">
        <v>44827</v>
      </c>
      <c r="F2630" s="195">
        <v>2035</v>
      </c>
      <c r="G2630" s="197">
        <f>Tabla110[[#This Row],[Importe]]-Tabla110[[#This Row],[Pagado]]</f>
        <v>0</v>
      </c>
      <c r="H2630" s="194" t="s">
        <v>10</v>
      </c>
    </row>
    <row r="2631" spans="1:8" x14ac:dyDescent="0.25">
      <c r="A2631" s="127">
        <v>44827</v>
      </c>
      <c r="B2631" s="128" t="s">
        <v>30742</v>
      </c>
      <c r="C2631" s="194" t="s">
        <v>9827</v>
      </c>
      <c r="D2631" s="195">
        <v>4170.1000000000004</v>
      </c>
      <c r="E2631" s="196">
        <v>44827</v>
      </c>
      <c r="F2631" s="195">
        <v>4170.1000000000004</v>
      </c>
      <c r="G2631" s="197">
        <f>Tabla110[[#This Row],[Importe]]-Tabla110[[#This Row],[Pagado]]</f>
        <v>0</v>
      </c>
      <c r="H2631" s="194" t="s">
        <v>10</v>
      </c>
    </row>
    <row r="2632" spans="1:8" x14ac:dyDescent="0.25">
      <c r="A2632" s="127">
        <v>44827</v>
      </c>
      <c r="B2632" s="128" t="s">
        <v>30743</v>
      </c>
      <c r="C2632" s="194" t="s">
        <v>31</v>
      </c>
      <c r="D2632" s="195">
        <v>17068</v>
      </c>
      <c r="E2632" s="196">
        <v>44827</v>
      </c>
      <c r="F2632" s="195">
        <v>17068</v>
      </c>
      <c r="G2632" s="197">
        <f>Tabla110[[#This Row],[Importe]]-Tabla110[[#This Row],[Pagado]]</f>
        <v>0</v>
      </c>
      <c r="H2632" s="194" t="s">
        <v>10</v>
      </c>
    </row>
    <row r="2633" spans="1:8" x14ac:dyDescent="0.25">
      <c r="A2633" s="127">
        <v>44827</v>
      </c>
      <c r="B2633" s="128" t="s">
        <v>30744</v>
      </c>
      <c r="C2633" s="194" t="s">
        <v>1275</v>
      </c>
      <c r="D2633" s="195">
        <v>28698.5</v>
      </c>
      <c r="E2633" s="196">
        <v>44827</v>
      </c>
      <c r="F2633" s="195">
        <v>28698.5</v>
      </c>
      <c r="G2633" s="197">
        <f>Tabla110[[#This Row],[Importe]]-Tabla110[[#This Row],[Pagado]]</f>
        <v>0</v>
      </c>
      <c r="H2633" s="194" t="s">
        <v>10</v>
      </c>
    </row>
    <row r="2634" spans="1:8" x14ac:dyDescent="0.25">
      <c r="A2634" s="127">
        <v>44827</v>
      </c>
      <c r="B2634" s="128" t="s">
        <v>30745</v>
      </c>
      <c r="C2634" s="194" t="s">
        <v>10678</v>
      </c>
      <c r="D2634" s="195">
        <v>5661.7</v>
      </c>
      <c r="E2634" s="196">
        <v>44827</v>
      </c>
      <c r="F2634" s="195">
        <v>5661.7</v>
      </c>
      <c r="G2634" s="197">
        <f>Tabla110[[#This Row],[Importe]]-Tabla110[[#This Row],[Pagado]]</f>
        <v>0</v>
      </c>
      <c r="H2634" s="194" t="s">
        <v>10</v>
      </c>
    </row>
    <row r="2635" spans="1:8" x14ac:dyDescent="0.25">
      <c r="A2635" s="127">
        <v>44827</v>
      </c>
      <c r="B2635" s="128" t="s">
        <v>30746</v>
      </c>
      <c r="C2635" s="194" t="s">
        <v>53</v>
      </c>
      <c r="D2635" s="195">
        <v>655.20000000000005</v>
      </c>
      <c r="E2635" s="196">
        <v>44827</v>
      </c>
      <c r="F2635" s="195">
        <v>655.20000000000005</v>
      </c>
      <c r="G2635" s="197">
        <f>Tabla110[[#This Row],[Importe]]-Tabla110[[#This Row],[Pagado]]</f>
        <v>0</v>
      </c>
      <c r="H2635" s="194" t="s">
        <v>10</v>
      </c>
    </row>
    <row r="2636" spans="1:8" x14ac:dyDescent="0.25">
      <c r="A2636" s="127">
        <v>44827</v>
      </c>
      <c r="B2636" s="128" t="s">
        <v>30747</v>
      </c>
      <c r="C2636" s="194" t="s">
        <v>284</v>
      </c>
      <c r="D2636" s="195">
        <v>7896.4</v>
      </c>
      <c r="E2636" s="196">
        <v>44828</v>
      </c>
      <c r="F2636" s="195">
        <v>7896.4</v>
      </c>
      <c r="G2636" s="197">
        <f>Tabla110[[#This Row],[Importe]]-Tabla110[[#This Row],[Pagado]]</f>
        <v>0</v>
      </c>
      <c r="H2636" s="194" t="s">
        <v>10</v>
      </c>
    </row>
    <row r="2637" spans="1:8" x14ac:dyDescent="0.25">
      <c r="A2637" s="127">
        <v>44827</v>
      </c>
      <c r="B2637" s="128" t="s">
        <v>30748</v>
      </c>
      <c r="C2637" s="194" t="s">
        <v>282</v>
      </c>
      <c r="D2637" s="195">
        <v>767.6</v>
      </c>
      <c r="E2637" s="196">
        <v>44828</v>
      </c>
      <c r="F2637" s="195">
        <v>767.6</v>
      </c>
      <c r="G2637" s="197">
        <f>Tabla110[[#This Row],[Importe]]-Tabla110[[#This Row],[Pagado]]</f>
        <v>0</v>
      </c>
      <c r="H2637" s="194" t="s">
        <v>10</v>
      </c>
    </row>
    <row r="2638" spans="1:8" x14ac:dyDescent="0.25">
      <c r="A2638" s="127">
        <v>44827</v>
      </c>
      <c r="B2638" s="128" t="s">
        <v>30749</v>
      </c>
      <c r="C2638" s="194" t="s">
        <v>10190</v>
      </c>
      <c r="D2638" s="195">
        <v>24464.400000000001</v>
      </c>
      <c r="E2638" s="196">
        <v>44828</v>
      </c>
      <c r="F2638" s="195">
        <v>24464.400000000001</v>
      </c>
      <c r="G2638" s="197">
        <f>Tabla110[[#This Row],[Importe]]-Tabla110[[#This Row],[Pagado]]</f>
        <v>0</v>
      </c>
      <c r="H2638" s="194" t="s">
        <v>10</v>
      </c>
    </row>
    <row r="2639" spans="1:8" x14ac:dyDescent="0.25">
      <c r="A2639" s="127">
        <v>44827</v>
      </c>
      <c r="B2639" s="128" t="s">
        <v>30750</v>
      </c>
      <c r="C2639" s="194" t="s">
        <v>10819</v>
      </c>
      <c r="D2639" s="195">
        <v>1512.4</v>
      </c>
      <c r="E2639" s="196">
        <v>44828</v>
      </c>
      <c r="F2639" s="195">
        <v>1512.4</v>
      </c>
      <c r="G2639" s="197">
        <f>Tabla110[[#This Row],[Importe]]-Tabla110[[#This Row],[Pagado]]</f>
        <v>0</v>
      </c>
      <c r="H2639" s="194" t="s">
        <v>10</v>
      </c>
    </row>
    <row r="2640" spans="1:8" x14ac:dyDescent="0.25">
      <c r="A2640" s="127">
        <v>44827</v>
      </c>
      <c r="B2640" s="128" t="s">
        <v>30751</v>
      </c>
      <c r="C2640" s="194" t="s">
        <v>280</v>
      </c>
      <c r="D2640" s="195">
        <v>1444</v>
      </c>
      <c r="E2640" s="196">
        <v>44828</v>
      </c>
      <c r="F2640" s="195">
        <v>1444</v>
      </c>
      <c r="G2640" s="197">
        <f>Tabla110[[#This Row],[Importe]]-Tabla110[[#This Row],[Pagado]]</f>
        <v>0</v>
      </c>
      <c r="H2640" s="194" t="s">
        <v>10</v>
      </c>
    </row>
    <row r="2641" spans="1:8" x14ac:dyDescent="0.25">
      <c r="A2641" s="127">
        <v>44827</v>
      </c>
      <c r="B2641" s="128" t="s">
        <v>30752</v>
      </c>
      <c r="C2641" s="194" t="s">
        <v>431</v>
      </c>
      <c r="D2641" s="195">
        <v>3412.4</v>
      </c>
      <c r="E2641" s="196">
        <v>44828</v>
      </c>
      <c r="F2641" s="195">
        <v>3412.4</v>
      </c>
      <c r="G2641" s="197">
        <f>Tabla110[[#This Row],[Importe]]-Tabla110[[#This Row],[Pagado]]</f>
        <v>0</v>
      </c>
      <c r="H2641" s="194" t="s">
        <v>10</v>
      </c>
    </row>
    <row r="2642" spans="1:8" x14ac:dyDescent="0.25">
      <c r="A2642" s="127">
        <v>44827</v>
      </c>
      <c r="B2642" s="128" t="s">
        <v>30753</v>
      </c>
      <c r="C2642" s="194" t="s">
        <v>407</v>
      </c>
      <c r="D2642" s="195">
        <v>41137.199999999997</v>
      </c>
      <c r="E2642" s="196">
        <v>44844</v>
      </c>
      <c r="F2642" s="195">
        <v>41137.199999999997</v>
      </c>
      <c r="G2642" s="197">
        <f>Tabla110[[#This Row],[Importe]]-Tabla110[[#This Row],[Pagado]]</f>
        <v>0</v>
      </c>
      <c r="H2642" s="194" t="s">
        <v>10</v>
      </c>
    </row>
    <row r="2643" spans="1:8" x14ac:dyDescent="0.25">
      <c r="A2643" s="127">
        <v>44827</v>
      </c>
      <c r="B2643" s="128" t="s">
        <v>30754</v>
      </c>
      <c r="C2643" s="194" t="s">
        <v>857</v>
      </c>
      <c r="D2643" s="195">
        <v>2265</v>
      </c>
      <c r="E2643" s="196">
        <v>44827</v>
      </c>
      <c r="F2643" s="195">
        <v>2265</v>
      </c>
      <c r="G2643" s="197">
        <f>Tabla110[[#This Row],[Importe]]-Tabla110[[#This Row],[Pagado]]</f>
        <v>0</v>
      </c>
      <c r="H2643" s="194" t="s">
        <v>10</v>
      </c>
    </row>
    <row r="2644" spans="1:8" x14ac:dyDescent="0.25">
      <c r="A2644" s="127">
        <v>44827</v>
      </c>
      <c r="B2644" s="128" t="s">
        <v>30755</v>
      </c>
      <c r="C2644" s="194" t="s">
        <v>5345</v>
      </c>
      <c r="D2644" s="195">
        <v>3951.8</v>
      </c>
      <c r="E2644" s="196">
        <v>44828</v>
      </c>
      <c r="F2644" s="195">
        <v>3951.8</v>
      </c>
      <c r="G2644" s="197">
        <f>Tabla110[[#This Row],[Importe]]-Tabla110[[#This Row],[Pagado]]</f>
        <v>0</v>
      </c>
      <c r="H2644" s="194" t="s">
        <v>10</v>
      </c>
    </row>
    <row r="2645" spans="1:8" x14ac:dyDescent="0.25">
      <c r="A2645" s="127">
        <v>44827</v>
      </c>
      <c r="B2645" s="128" t="s">
        <v>30756</v>
      </c>
      <c r="C2645" s="194" t="s">
        <v>9</v>
      </c>
      <c r="D2645" s="195">
        <v>2608</v>
      </c>
      <c r="E2645" s="196">
        <v>44827</v>
      </c>
      <c r="F2645" s="195">
        <v>2608</v>
      </c>
      <c r="G2645" s="197">
        <f>Tabla110[[#This Row],[Importe]]-Tabla110[[#This Row],[Pagado]]</f>
        <v>0</v>
      </c>
      <c r="H2645" s="194" t="s">
        <v>10</v>
      </c>
    </row>
    <row r="2646" spans="1:8" x14ac:dyDescent="0.25">
      <c r="A2646" s="127">
        <v>44827</v>
      </c>
      <c r="B2646" s="128" t="s">
        <v>30757</v>
      </c>
      <c r="C2646" s="194" t="s">
        <v>31</v>
      </c>
      <c r="D2646" s="195">
        <v>600</v>
      </c>
      <c r="E2646" s="196">
        <v>44827</v>
      </c>
      <c r="F2646" s="195">
        <v>600</v>
      </c>
      <c r="G2646" s="197">
        <f>Tabla110[[#This Row],[Importe]]-Tabla110[[#This Row],[Pagado]]</f>
        <v>0</v>
      </c>
      <c r="H2646" s="194" t="s">
        <v>10</v>
      </c>
    </row>
    <row r="2647" spans="1:8" x14ac:dyDescent="0.25">
      <c r="A2647" s="127">
        <v>44827</v>
      </c>
      <c r="B2647" s="128" t="s">
        <v>30758</v>
      </c>
      <c r="C2647" s="194" t="s">
        <v>69</v>
      </c>
      <c r="D2647" s="195">
        <v>2249.6</v>
      </c>
      <c r="E2647" s="196">
        <v>44827</v>
      </c>
      <c r="F2647" s="195">
        <v>2249.6</v>
      </c>
      <c r="G2647" s="197">
        <f>Tabla110[[#This Row],[Importe]]-Tabla110[[#This Row],[Pagado]]</f>
        <v>0</v>
      </c>
      <c r="H2647" s="194" t="s">
        <v>10</v>
      </c>
    </row>
    <row r="2648" spans="1:8" x14ac:dyDescent="0.25">
      <c r="A2648" s="127">
        <v>44827</v>
      </c>
      <c r="B2648" s="128" t="s">
        <v>30759</v>
      </c>
      <c r="C2648" s="194" t="s">
        <v>2139</v>
      </c>
      <c r="D2648" s="195">
        <v>4248.3999999999996</v>
      </c>
      <c r="E2648" s="196">
        <v>44827</v>
      </c>
      <c r="F2648" s="195">
        <v>4248.3999999999996</v>
      </c>
      <c r="G2648" s="197">
        <f>Tabla110[[#This Row],[Importe]]-Tabla110[[#This Row],[Pagado]]</f>
        <v>0</v>
      </c>
      <c r="H2648" s="194" t="s">
        <v>10</v>
      </c>
    </row>
    <row r="2649" spans="1:8" x14ac:dyDescent="0.25">
      <c r="A2649" s="127">
        <v>44827</v>
      </c>
      <c r="B2649" s="128" t="s">
        <v>30760</v>
      </c>
      <c r="C2649" s="194" t="s">
        <v>5694</v>
      </c>
      <c r="D2649" s="195">
        <v>3027.6</v>
      </c>
      <c r="E2649" s="196">
        <v>44827</v>
      </c>
      <c r="F2649" s="195">
        <v>3027.6</v>
      </c>
      <c r="G2649" s="197">
        <f>Tabla110[[#This Row],[Importe]]-Tabla110[[#This Row],[Pagado]]</f>
        <v>0</v>
      </c>
      <c r="H2649" s="194" t="s">
        <v>10</v>
      </c>
    </row>
    <row r="2650" spans="1:8" x14ac:dyDescent="0.25">
      <c r="A2650" s="127">
        <v>44827</v>
      </c>
      <c r="B2650" s="128" t="s">
        <v>30761</v>
      </c>
      <c r="C2650" s="194" t="s">
        <v>31</v>
      </c>
      <c r="D2650" s="195">
        <v>630.79999999999995</v>
      </c>
      <c r="E2650" s="196">
        <v>44827</v>
      </c>
      <c r="F2650" s="195">
        <v>630.79999999999995</v>
      </c>
      <c r="G2650" s="197">
        <f>Tabla110[[#This Row],[Importe]]-Tabla110[[#This Row],[Pagado]]</f>
        <v>0</v>
      </c>
      <c r="H2650" s="194" t="s">
        <v>10</v>
      </c>
    </row>
    <row r="2651" spans="1:8" x14ac:dyDescent="0.25">
      <c r="A2651" s="127">
        <v>44827</v>
      </c>
      <c r="B2651" s="128" t="s">
        <v>30762</v>
      </c>
      <c r="C2651" s="194" t="s">
        <v>224</v>
      </c>
      <c r="D2651" s="195">
        <v>1635.4</v>
      </c>
      <c r="E2651" s="196">
        <v>44827</v>
      </c>
      <c r="F2651" s="195">
        <v>1635.4</v>
      </c>
      <c r="G2651" s="197">
        <f>Tabla110[[#This Row],[Importe]]-Tabla110[[#This Row],[Pagado]]</f>
        <v>0</v>
      </c>
      <c r="H2651" s="194" t="s">
        <v>10</v>
      </c>
    </row>
    <row r="2652" spans="1:8" x14ac:dyDescent="0.25">
      <c r="A2652" s="127">
        <v>44827</v>
      </c>
      <c r="B2652" s="128" t="s">
        <v>30763</v>
      </c>
      <c r="C2652" s="194" t="s">
        <v>2156</v>
      </c>
      <c r="D2652" s="195">
        <v>11000</v>
      </c>
      <c r="E2652" s="196">
        <v>44827</v>
      </c>
      <c r="F2652" s="195">
        <v>11000</v>
      </c>
      <c r="G2652" s="197">
        <f>Tabla110[[#This Row],[Importe]]-Tabla110[[#This Row],[Pagado]]</f>
        <v>0</v>
      </c>
      <c r="H2652" s="194" t="s">
        <v>10</v>
      </c>
    </row>
    <row r="2653" spans="1:8" x14ac:dyDescent="0.25">
      <c r="A2653" s="127">
        <v>44827</v>
      </c>
      <c r="B2653" s="128" t="s">
        <v>30764</v>
      </c>
      <c r="C2653" s="194" t="s">
        <v>5217</v>
      </c>
      <c r="D2653" s="195">
        <v>1895.4</v>
      </c>
      <c r="E2653" s="196">
        <v>44827</v>
      </c>
      <c r="F2653" s="195">
        <v>1895.4</v>
      </c>
      <c r="G2653" s="197">
        <f>Tabla110[[#This Row],[Importe]]-Tabla110[[#This Row],[Pagado]]</f>
        <v>0</v>
      </c>
      <c r="H2653" s="194" t="s">
        <v>10</v>
      </c>
    </row>
    <row r="2654" spans="1:8" x14ac:dyDescent="0.25">
      <c r="A2654" s="127">
        <v>44827</v>
      </c>
      <c r="B2654" s="128" t="s">
        <v>30765</v>
      </c>
      <c r="C2654" s="194" t="s">
        <v>7313</v>
      </c>
      <c r="D2654" s="195">
        <v>5185.8</v>
      </c>
      <c r="E2654" s="196">
        <v>44827</v>
      </c>
      <c r="F2654" s="195">
        <v>5185.8</v>
      </c>
      <c r="G2654" s="197">
        <f>Tabla110[[#This Row],[Importe]]-Tabla110[[#This Row],[Pagado]]</f>
        <v>0</v>
      </c>
      <c r="H2654" s="194" t="s">
        <v>10</v>
      </c>
    </row>
    <row r="2655" spans="1:8" x14ac:dyDescent="0.25">
      <c r="A2655" s="127">
        <v>44827</v>
      </c>
      <c r="B2655" s="128" t="s">
        <v>30766</v>
      </c>
      <c r="C2655" s="194" t="s">
        <v>196</v>
      </c>
      <c r="D2655" s="195">
        <v>10374.799999999999</v>
      </c>
      <c r="E2655" s="196">
        <v>44834</v>
      </c>
      <c r="F2655" s="195">
        <v>10374.799999999999</v>
      </c>
      <c r="G2655" s="197">
        <f>Tabla110[[#This Row],[Importe]]-Tabla110[[#This Row],[Pagado]]</f>
        <v>0</v>
      </c>
      <c r="H2655" s="194" t="s">
        <v>10</v>
      </c>
    </row>
    <row r="2656" spans="1:8" x14ac:dyDescent="0.25">
      <c r="A2656" s="127">
        <v>44827</v>
      </c>
      <c r="B2656" s="128" t="s">
        <v>30767</v>
      </c>
      <c r="C2656" s="194" t="s">
        <v>407</v>
      </c>
      <c r="D2656" s="195">
        <v>10684.8</v>
      </c>
      <c r="E2656" s="196">
        <v>44837</v>
      </c>
      <c r="F2656" s="195">
        <v>10684.8</v>
      </c>
      <c r="G2656" s="197">
        <f>Tabla110[[#This Row],[Importe]]-Tabla110[[#This Row],[Pagado]]</f>
        <v>0</v>
      </c>
      <c r="H2656" s="194" t="s">
        <v>10</v>
      </c>
    </row>
    <row r="2657" spans="1:8" x14ac:dyDescent="0.25">
      <c r="A2657" s="127">
        <v>44827</v>
      </c>
      <c r="B2657" s="128" t="s">
        <v>30768</v>
      </c>
      <c r="C2657" s="194" t="s">
        <v>31</v>
      </c>
      <c r="D2657" s="195">
        <v>200</v>
      </c>
      <c r="E2657" s="196">
        <v>44828</v>
      </c>
      <c r="F2657" s="195">
        <v>200</v>
      </c>
      <c r="G2657" s="197">
        <f>Tabla110[[#This Row],[Importe]]-Tabla110[[#This Row],[Pagado]]</f>
        <v>0</v>
      </c>
      <c r="H2657" s="194" t="s">
        <v>10</v>
      </c>
    </row>
    <row r="2658" spans="1:8" x14ac:dyDescent="0.25">
      <c r="A2658" s="127">
        <v>44827</v>
      </c>
      <c r="B2658" s="128" t="s">
        <v>30769</v>
      </c>
      <c r="C2658" s="194" t="s">
        <v>31</v>
      </c>
      <c r="D2658" s="195">
        <v>50</v>
      </c>
      <c r="E2658" s="196">
        <v>44828</v>
      </c>
      <c r="F2658" s="195">
        <v>50</v>
      </c>
      <c r="G2658" s="197">
        <f>Tabla110[[#This Row],[Importe]]-Tabla110[[#This Row],[Pagado]]</f>
        <v>0</v>
      </c>
      <c r="H2658" s="194" t="s">
        <v>10</v>
      </c>
    </row>
    <row r="2659" spans="1:8" x14ac:dyDescent="0.25">
      <c r="A2659" s="127">
        <v>44828</v>
      </c>
      <c r="B2659" s="128" t="s">
        <v>30770</v>
      </c>
      <c r="C2659" s="194" t="s">
        <v>887</v>
      </c>
      <c r="D2659" s="195">
        <v>31323.599999999999</v>
      </c>
      <c r="E2659" s="196">
        <v>44828</v>
      </c>
      <c r="F2659" s="195">
        <v>31323.599999999999</v>
      </c>
      <c r="G2659" s="197">
        <f>Tabla110[[#This Row],[Importe]]-Tabla110[[#This Row],[Pagado]]</f>
        <v>0</v>
      </c>
      <c r="H2659" s="194" t="s">
        <v>10</v>
      </c>
    </row>
    <row r="2660" spans="1:8" x14ac:dyDescent="0.25">
      <c r="A2660" s="127">
        <v>44828</v>
      </c>
      <c r="B2660" s="128" t="s">
        <v>30771</v>
      </c>
      <c r="C2660" s="194" t="s">
        <v>12</v>
      </c>
      <c r="D2660" s="195">
        <v>26395.1</v>
      </c>
      <c r="E2660" s="196">
        <v>44830</v>
      </c>
      <c r="F2660" s="195">
        <v>26395.1</v>
      </c>
      <c r="G2660" s="197">
        <f>Tabla110[[#This Row],[Importe]]-Tabla110[[#This Row],[Pagado]]</f>
        <v>0</v>
      </c>
      <c r="H2660" s="194" t="s">
        <v>10</v>
      </c>
    </row>
    <row r="2661" spans="1:8" x14ac:dyDescent="0.25">
      <c r="A2661" s="127">
        <v>44828</v>
      </c>
      <c r="B2661" s="128" t="s">
        <v>30772</v>
      </c>
      <c r="C2661" s="194" t="s">
        <v>475</v>
      </c>
      <c r="D2661" s="195">
        <v>51824.5</v>
      </c>
      <c r="E2661" s="196">
        <v>44829</v>
      </c>
      <c r="F2661" s="195">
        <v>51824.5</v>
      </c>
      <c r="G2661" s="197">
        <f>Tabla110[[#This Row],[Importe]]-Tabla110[[#This Row],[Pagado]]</f>
        <v>0</v>
      </c>
      <c r="H2661" s="194" t="s">
        <v>10</v>
      </c>
    </row>
    <row r="2662" spans="1:8" x14ac:dyDescent="0.25">
      <c r="A2662" s="127">
        <v>44828</v>
      </c>
      <c r="B2662" s="128" t="s">
        <v>30773</v>
      </c>
      <c r="C2662" s="194" t="s">
        <v>24768</v>
      </c>
      <c r="D2662" s="195">
        <v>5168</v>
      </c>
      <c r="E2662" s="196">
        <v>44828</v>
      </c>
      <c r="F2662" s="195">
        <v>5168</v>
      </c>
      <c r="G2662" s="197">
        <f>Tabla110[[#This Row],[Importe]]-Tabla110[[#This Row],[Pagado]]</f>
        <v>0</v>
      </c>
      <c r="H2662" s="194" t="s">
        <v>10</v>
      </c>
    </row>
    <row r="2663" spans="1:8" x14ac:dyDescent="0.25">
      <c r="A2663" s="127">
        <v>44828</v>
      </c>
      <c r="B2663" s="128" t="s">
        <v>30774</v>
      </c>
      <c r="C2663" s="194" t="s">
        <v>79</v>
      </c>
      <c r="D2663" s="195">
        <v>16796</v>
      </c>
      <c r="E2663" s="196">
        <v>44828</v>
      </c>
      <c r="F2663" s="195">
        <v>16796</v>
      </c>
      <c r="G2663" s="197">
        <f>Tabla110[[#This Row],[Importe]]-Tabla110[[#This Row],[Pagado]]</f>
        <v>0</v>
      </c>
      <c r="H2663" s="194" t="s">
        <v>10</v>
      </c>
    </row>
    <row r="2664" spans="1:8" x14ac:dyDescent="0.25">
      <c r="A2664" s="127">
        <v>44828</v>
      </c>
      <c r="B2664" s="128" t="s">
        <v>30775</v>
      </c>
      <c r="C2664" s="194" t="s">
        <v>9</v>
      </c>
      <c r="D2664" s="195">
        <v>9215.7999999999993</v>
      </c>
      <c r="E2664" s="196">
        <v>44828</v>
      </c>
      <c r="F2664" s="195">
        <v>9215.7999999999993</v>
      </c>
      <c r="G2664" s="197">
        <f>Tabla110[[#This Row],[Importe]]-Tabla110[[#This Row],[Pagado]]</f>
        <v>0</v>
      </c>
      <c r="H2664" s="194" t="s">
        <v>10</v>
      </c>
    </row>
    <row r="2665" spans="1:8" x14ac:dyDescent="0.25">
      <c r="A2665" s="127">
        <v>44828</v>
      </c>
      <c r="B2665" s="128" t="s">
        <v>30776</v>
      </c>
      <c r="C2665" s="194" t="s">
        <v>473</v>
      </c>
      <c r="D2665" s="195">
        <v>5433</v>
      </c>
      <c r="E2665" s="196">
        <v>44828</v>
      </c>
      <c r="F2665" s="195">
        <v>5433</v>
      </c>
      <c r="G2665" s="197">
        <f>Tabla110[[#This Row],[Importe]]-Tabla110[[#This Row],[Pagado]]</f>
        <v>0</v>
      </c>
      <c r="H2665" s="194" t="s">
        <v>10</v>
      </c>
    </row>
    <row r="2666" spans="1:8" x14ac:dyDescent="0.25">
      <c r="A2666" s="127">
        <v>44828</v>
      </c>
      <c r="B2666" s="128" t="s">
        <v>30777</v>
      </c>
      <c r="C2666" s="194" t="s">
        <v>75</v>
      </c>
      <c r="D2666" s="195">
        <v>11080.8</v>
      </c>
      <c r="E2666" s="196">
        <v>44828</v>
      </c>
      <c r="F2666" s="195">
        <v>11080.8</v>
      </c>
      <c r="G2666" s="197">
        <f>Tabla110[[#This Row],[Importe]]-Tabla110[[#This Row],[Pagado]]</f>
        <v>0</v>
      </c>
      <c r="H2666" s="194" t="s">
        <v>10</v>
      </c>
    </row>
    <row r="2667" spans="1:8" x14ac:dyDescent="0.25">
      <c r="A2667" s="127">
        <v>44828</v>
      </c>
      <c r="B2667" s="128" t="s">
        <v>30778</v>
      </c>
      <c r="C2667" s="194" t="s">
        <v>9415</v>
      </c>
      <c r="D2667" s="195">
        <v>36088</v>
      </c>
      <c r="E2667" s="196">
        <v>44835</v>
      </c>
      <c r="F2667" s="195">
        <v>36088</v>
      </c>
      <c r="G2667" s="197">
        <f>Tabla110[[#This Row],[Importe]]-Tabla110[[#This Row],[Pagado]]</f>
        <v>0</v>
      </c>
      <c r="H2667" s="194" t="s">
        <v>10</v>
      </c>
    </row>
    <row r="2668" spans="1:8" x14ac:dyDescent="0.25">
      <c r="A2668" s="127">
        <v>44828</v>
      </c>
      <c r="B2668" s="128" t="s">
        <v>30779</v>
      </c>
      <c r="C2668" s="194" t="s">
        <v>18</v>
      </c>
      <c r="D2668" s="195">
        <v>2012.4</v>
      </c>
      <c r="E2668" s="196">
        <v>44828</v>
      </c>
      <c r="F2668" s="195">
        <v>2012.4</v>
      </c>
      <c r="G2668" s="197">
        <f>Tabla110[[#This Row],[Importe]]-Tabla110[[#This Row],[Pagado]]</f>
        <v>0</v>
      </c>
      <c r="H2668" s="194" t="s">
        <v>10</v>
      </c>
    </row>
    <row r="2669" spans="1:8" x14ac:dyDescent="0.25">
      <c r="A2669" s="127">
        <v>44828</v>
      </c>
      <c r="B2669" s="128" t="s">
        <v>30780</v>
      </c>
      <c r="C2669" s="194" t="s">
        <v>31</v>
      </c>
      <c r="D2669" s="195">
        <v>2963.2</v>
      </c>
      <c r="E2669" s="196">
        <v>44828</v>
      </c>
      <c r="F2669" s="195">
        <v>2963.2</v>
      </c>
      <c r="G2669" s="197">
        <f>Tabla110[[#This Row],[Importe]]-Tabla110[[#This Row],[Pagado]]</f>
        <v>0</v>
      </c>
      <c r="H2669" s="194" t="s">
        <v>10</v>
      </c>
    </row>
    <row r="2670" spans="1:8" x14ac:dyDescent="0.25">
      <c r="A2670" s="127">
        <v>44828</v>
      </c>
      <c r="B2670" s="128" t="s">
        <v>30781</v>
      </c>
      <c r="C2670" s="194" t="s">
        <v>5043</v>
      </c>
      <c r="D2670" s="195">
        <v>11544.1</v>
      </c>
      <c r="E2670" s="196">
        <v>44830</v>
      </c>
      <c r="F2670" s="195">
        <v>11544.1</v>
      </c>
      <c r="G2670" s="197">
        <f>Tabla110[[#This Row],[Importe]]-Tabla110[[#This Row],[Pagado]]</f>
        <v>0</v>
      </c>
      <c r="H2670" s="194" t="s">
        <v>10</v>
      </c>
    </row>
    <row r="2671" spans="1:8" x14ac:dyDescent="0.25">
      <c r="A2671" s="127">
        <v>44828</v>
      </c>
      <c r="B2671" s="128" t="s">
        <v>30782</v>
      </c>
      <c r="C2671" s="194" t="s">
        <v>111</v>
      </c>
      <c r="D2671" s="195">
        <v>5590</v>
      </c>
      <c r="E2671" s="196">
        <v>44830</v>
      </c>
      <c r="F2671" s="195">
        <v>5590</v>
      </c>
      <c r="G2671" s="197">
        <f>Tabla110[[#This Row],[Importe]]-Tabla110[[#This Row],[Pagado]]</f>
        <v>0</v>
      </c>
      <c r="H2671" s="194" t="s">
        <v>10</v>
      </c>
    </row>
    <row r="2672" spans="1:8" x14ac:dyDescent="0.25">
      <c r="A2672" s="127">
        <v>44828</v>
      </c>
      <c r="B2672" s="128" t="s">
        <v>30783</v>
      </c>
      <c r="C2672" s="194" t="s">
        <v>97</v>
      </c>
      <c r="D2672" s="195">
        <v>14197.5</v>
      </c>
      <c r="E2672" s="196">
        <v>44830</v>
      </c>
      <c r="F2672" s="195">
        <v>14197.5</v>
      </c>
      <c r="G2672" s="197">
        <f>Tabla110[[#This Row],[Importe]]-Tabla110[[#This Row],[Pagado]]</f>
        <v>0</v>
      </c>
      <c r="H2672" s="194" t="s">
        <v>10</v>
      </c>
    </row>
    <row r="2673" spans="1:8" x14ac:dyDescent="0.25">
      <c r="A2673" s="127">
        <v>44828</v>
      </c>
      <c r="B2673" s="128" t="s">
        <v>30784</v>
      </c>
      <c r="C2673" s="194" t="s">
        <v>17556</v>
      </c>
      <c r="D2673" s="195">
        <v>6921</v>
      </c>
      <c r="E2673" s="196">
        <v>44828</v>
      </c>
      <c r="F2673" s="195">
        <v>6921</v>
      </c>
      <c r="G2673" s="197">
        <f>Tabla110[[#This Row],[Importe]]-Tabla110[[#This Row],[Pagado]]</f>
        <v>0</v>
      </c>
      <c r="H2673" s="194" t="s">
        <v>10</v>
      </c>
    </row>
    <row r="2674" spans="1:8" ht="31.5" x14ac:dyDescent="0.25">
      <c r="A2674" s="127">
        <v>44828</v>
      </c>
      <c r="B2674" s="128" t="s">
        <v>30785</v>
      </c>
      <c r="C2674" s="194" t="s">
        <v>30029</v>
      </c>
      <c r="D2674" s="195">
        <v>3798</v>
      </c>
      <c r="E2674" s="198" t="s">
        <v>30786</v>
      </c>
      <c r="F2674" s="195">
        <f>2900+898</f>
        <v>3798</v>
      </c>
      <c r="G2674" s="197">
        <f>Tabla110[[#This Row],[Importe]]-Tabla110[[#This Row],[Pagado]]</f>
        <v>0</v>
      </c>
      <c r="H2674" s="194" t="s">
        <v>10</v>
      </c>
    </row>
    <row r="2675" spans="1:8" x14ac:dyDescent="0.25">
      <c r="A2675" s="127">
        <v>44828</v>
      </c>
      <c r="B2675" s="128" t="s">
        <v>30787</v>
      </c>
      <c r="C2675" s="194" t="s">
        <v>64</v>
      </c>
      <c r="D2675" s="195">
        <v>5395</v>
      </c>
      <c r="E2675" s="198">
        <v>44831</v>
      </c>
      <c r="F2675" s="195">
        <v>5395</v>
      </c>
      <c r="G2675" s="197">
        <f>Tabla110[[#This Row],[Importe]]-Tabla110[[#This Row],[Pagado]]</f>
        <v>0</v>
      </c>
      <c r="H2675" s="194" t="s">
        <v>10</v>
      </c>
    </row>
    <row r="2676" spans="1:8" x14ac:dyDescent="0.25">
      <c r="A2676" s="127">
        <v>44828</v>
      </c>
      <c r="B2676" s="128" t="s">
        <v>30788</v>
      </c>
      <c r="C2676" s="194" t="s">
        <v>60</v>
      </c>
      <c r="D2676" s="195">
        <v>4964.7</v>
      </c>
      <c r="E2676" s="196">
        <v>44830</v>
      </c>
      <c r="F2676" s="195">
        <v>4964.7</v>
      </c>
      <c r="G2676" s="197">
        <f>Tabla110[[#This Row],[Importe]]-Tabla110[[#This Row],[Pagado]]</f>
        <v>0</v>
      </c>
      <c r="H2676" s="194" t="s">
        <v>10</v>
      </c>
    </row>
    <row r="2677" spans="1:8" ht="47.25" x14ac:dyDescent="0.25">
      <c r="A2677" s="127">
        <v>44828</v>
      </c>
      <c r="B2677" s="128" t="s">
        <v>30789</v>
      </c>
      <c r="C2677" s="194" t="s">
        <v>93</v>
      </c>
      <c r="D2677" s="195">
        <v>28068.1</v>
      </c>
      <c r="E2677" s="198" t="s">
        <v>30790</v>
      </c>
      <c r="F2677" s="195">
        <f>13000+9000+6068.1</f>
        <v>28068.1</v>
      </c>
      <c r="G2677" s="197">
        <f>Tabla110[[#This Row],[Importe]]-Tabla110[[#This Row],[Pagado]]</f>
        <v>0</v>
      </c>
      <c r="H2677" s="194" t="s">
        <v>10</v>
      </c>
    </row>
    <row r="2678" spans="1:8" x14ac:dyDescent="0.25">
      <c r="A2678" s="127">
        <v>44828</v>
      </c>
      <c r="B2678" s="128" t="s">
        <v>30791</v>
      </c>
      <c r="C2678" s="194" t="s">
        <v>114</v>
      </c>
      <c r="D2678" s="195">
        <v>22301.5</v>
      </c>
      <c r="E2678" s="196">
        <v>44830</v>
      </c>
      <c r="F2678" s="195">
        <v>22301.5</v>
      </c>
      <c r="G2678" s="197">
        <f>Tabla110[[#This Row],[Importe]]-Tabla110[[#This Row],[Pagado]]</f>
        <v>0</v>
      </c>
      <c r="H2678" s="194" t="s">
        <v>10</v>
      </c>
    </row>
    <row r="2679" spans="1:8" x14ac:dyDescent="0.25">
      <c r="A2679" s="127">
        <v>44828</v>
      </c>
      <c r="B2679" s="128" t="s">
        <v>30792</v>
      </c>
      <c r="C2679" s="194" t="s">
        <v>326</v>
      </c>
      <c r="D2679" s="195">
        <v>15305.3</v>
      </c>
      <c r="E2679" s="196">
        <v>44830</v>
      </c>
      <c r="F2679" s="195">
        <v>15305.3</v>
      </c>
      <c r="G2679" s="197">
        <f>Tabla110[[#This Row],[Importe]]-Tabla110[[#This Row],[Pagado]]</f>
        <v>0</v>
      </c>
      <c r="H2679" s="194" t="s">
        <v>10</v>
      </c>
    </row>
    <row r="2680" spans="1:8" x14ac:dyDescent="0.25">
      <c r="A2680" s="127">
        <v>44828</v>
      </c>
      <c r="B2680" s="128" t="s">
        <v>30793</v>
      </c>
      <c r="C2680" s="194" t="s">
        <v>105</v>
      </c>
      <c r="D2680" s="195">
        <v>19221.5</v>
      </c>
      <c r="E2680" s="196">
        <v>44830</v>
      </c>
      <c r="F2680" s="195">
        <v>19221.5</v>
      </c>
      <c r="G2680" s="197">
        <f>Tabla110[[#This Row],[Importe]]-Tabla110[[#This Row],[Pagado]]</f>
        <v>0</v>
      </c>
      <c r="H2680" s="194" t="s">
        <v>10</v>
      </c>
    </row>
    <row r="2681" spans="1:8" x14ac:dyDescent="0.25">
      <c r="A2681" s="127">
        <v>44828</v>
      </c>
      <c r="B2681" s="128" t="s">
        <v>30794</v>
      </c>
      <c r="C2681" s="194" t="s">
        <v>22</v>
      </c>
      <c r="D2681" s="195">
        <v>29480.6</v>
      </c>
      <c r="E2681" s="196">
        <v>44829</v>
      </c>
      <c r="F2681" s="195">
        <v>29480.6</v>
      </c>
      <c r="G2681" s="197">
        <f>Tabla110[[#This Row],[Importe]]-Tabla110[[#This Row],[Pagado]]</f>
        <v>0</v>
      </c>
      <c r="H2681" s="194" t="s">
        <v>10</v>
      </c>
    </row>
    <row r="2682" spans="1:8" x14ac:dyDescent="0.25">
      <c r="A2682" s="127">
        <v>44828</v>
      </c>
      <c r="B2682" s="128" t="s">
        <v>30795</v>
      </c>
      <c r="C2682" s="194" t="s">
        <v>89</v>
      </c>
      <c r="D2682" s="195">
        <v>14682</v>
      </c>
      <c r="E2682" s="196">
        <v>44830</v>
      </c>
      <c r="F2682" s="195">
        <v>14682</v>
      </c>
      <c r="G2682" s="197">
        <f>Tabla110[[#This Row],[Importe]]-Tabla110[[#This Row],[Pagado]]</f>
        <v>0</v>
      </c>
      <c r="H2682" s="194" t="s">
        <v>10</v>
      </c>
    </row>
    <row r="2683" spans="1:8" x14ac:dyDescent="0.25">
      <c r="A2683" s="127">
        <v>44828</v>
      </c>
      <c r="B2683" s="128" t="s">
        <v>30796</v>
      </c>
      <c r="C2683" s="194" t="s">
        <v>1558</v>
      </c>
      <c r="D2683" s="195">
        <v>2408</v>
      </c>
      <c r="E2683" s="196">
        <v>44828</v>
      </c>
      <c r="F2683" s="195">
        <v>2408</v>
      </c>
      <c r="G2683" s="197">
        <f>Tabla110[[#This Row],[Importe]]-Tabla110[[#This Row],[Pagado]]</f>
        <v>0</v>
      </c>
      <c r="H2683" s="194" t="s">
        <v>10</v>
      </c>
    </row>
    <row r="2684" spans="1:8" x14ac:dyDescent="0.25">
      <c r="A2684" s="127">
        <v>44828</v>
      </c>
      <c r="B2684" s="128" t="s">
        <v>30797</v>
      </c>
      <c r="C2684" s="194" t="s">
        <v>2151</v>
      </c>
      <c r="D2684" s="195">
        <v>11334.7</v>
      </c>
      <c r="E2684" s="196">
        <v>44828</v>
      </c>
      <c r="F2684" s="195">
        <v>11334.7</v>
      </c>
      <c r="G2684" s="197">
        <f>Tabla110[[#This Row],[Importe]]-Tabla110[[#This Row],[Pagado]]</f>
        <v>0</v>
      </c>
      <c r="H2684" s="194" t="s">
        <v>10</v>
      </c>
    </row>
    <row r="2685" spans="1:8" x14ac:dyDescent="0.25">
      <c r="A2685" s="127">
        <v>44828</v>
      </c>
      <c r="B2685" s="128" t="s">
        <v>30798</v>
      </c>
      <c r="C2685" s="194" t="s">
        <v>31</v>
      </c>
      <c r="D2685" s="195">
        <v>4537.3999999999996</v>
      </c>
      <c r="E2685" s="196">
        <v>44828</v>
      </c>
      <c r="F2685" s="195">
        <v>4537.3999999999996</v>
      </c>
      <c r="G2685" s="197">
        <f>Tabla110[[#This Row],[Importe]]-Tabla110[[#This Row],[Pagado]]</f>
        <v>0</v>
      </c>
      <c r="H2685" s="194" t="s">
        <v>10</v>
      </c>
    </row>
    <row r="2686" spans="1:8" x14ac:dyDescent="0.25">
      <c r="A2686" s="127">
        <v>44828</v>
      </c>
      <c r="B2686" s="128" t="s">
        <v>30799</v>
      </c>
      <c r="C2686" s="194" t="s">
        <v>345</v>
      </c>
      <c r="D2686" s="195">
        <v>600.6</v>
      </c>
      <c r="E2686" s="196">
        <v>44828</v>
      </c>
      <c r="F2686" s="195">
        <v>600.6</v>
      </c>
      <c r="G2686" s="197">
        <f>Tabla110[[#This Row],[Importe]]-Tabla110[[#This Row],[Pagado]]</f>
        <v>0</v>
      </c>
      <c r="H2686" s="194" t="s">
        <v>10</v>
      </c>
    </row>
    <row r="2687" spans="1:8" x14ac:dyDescent="0.25">
      <c r="A2687" s="127">
        <v>44828</v>
      </c>
      <c r="B2687" s="128" t="s">
        <v>30800</v>
      </c>
      <c r="C2687" s="194" t="s">
        <v>348</v>
      </c>
      <c r="D2687" s="195">
        <v>11052</v>
      </c>
      <c r="E2687" s="196">
        <v>44828</v>
      </c>
      <c r="F2687" s="195">
        <v>11052</v>
      </c>
      <c r="G2687" s="197">
        <f>Tabla110[[#This Row],[Importe]]-Tabla110[[#This Row],[Pagado]]</f>
        <v>0</v>
      </c>
      <c r="H2687" s="194" t="s">
        <v>10</v>
      </c>
    </row>
    <row r="2688" spans="1:8" x14ac:dyDescent="0.25">
      <c r="A2688" s="127">
        <v>44828</v>
      </c>
      <c r="B2688" s="128" t="s">
        <v>30801</v>
      </c>
      <c r="C2688" s="194" t="s">
        <v>481</v>
      </c>
      <c r="D2688" s="195">
        <v>748</v>
      </c>
      <c r="E2688" s="196">
        <v>44828</v>
      </c>
      <c r="F2688" s="195">
        <v>748</v>
      </c>
      <c r="G2688" s="197">
        <f>Tabla110[[#This Row],[Importe]]-Tabla110[[#This Row],[Pagado]]</f>
        <v>0</v>
      </c>
      <c r="H2688" s="194" t="s">
        <v>10</v>
      </c>
    </row>
    <row r="2689" spans="1:8" x14ac:dyDescent="0.25">
      <c r="A2689" s="127">
        <v>44828</v>
      </c>
      <c r="B2689" s="128" t="s">
        <v>30802</v>
      </c>
      <c r="C2689" s="194" t="s">
        <v>31</v>
      </c>
      <c r="D2689" s="195">
        <v>1434</v>
      </c>
      <c r="E2689" s="196">
        <v>44828</v>
      </c>
      <c r="F2689" s="195">
        <v>1434</v>
      </c>
      <c r="G2689" s="197">
        <f>Tabla110[[#This Row],[Importe]]-Tabla110[[#This Row],[Pagado]]</f>
        <v>0</v>
      </c>
      <c r="H2689" s="194" t="s">
        <v>10</v>
      </c>
    </row>
    <row r="2690" spans="1:8" x14ac:dyDescent="0.25">
      <c r="A2690" s="127">
        <v>44828</v>
      </c>
      <c r="B2690" s="128" t="s">
        <v>30803</v>
      </c>
      <c r="C2690" s="194" t="s">
        <v>29</v>
      </c>
      <c r="D2690" s="195">
        <v>8238.4</v>
      </c>
      <c r="E2690" s="196">
        <v>44828</v>
      </c>
      <c r="F2690" s="195">
        <v>8238.4</v>
      </c>
      <c r="G2690" s="197">
        <f>Tabla110[[#This Row],[Importe]]-Tabla110[[#This Row],[Pagado]]</f>
        <v>0</v>
      </c>
      <c r="H2690" s="194" t="s">
        <v>10</v>
      </c>
    </row>
    <row r="2691" spans="1:8" x14ac:dyDescent="0.25">
      <c r="A2691" s="127">
        <v>44828</v>
      </c>
      <c r="B2691" s="128" t="s">
        <v>30804</v>
      </c>
      <c r="C2691" s="194" t="s">
        <v>348</v>
      </c>
      <c r="D2691" s="195">
        <v>676.8</v>
      </c>
      <c r="E2691" s="196">
        <v>44828</v>
      </c>
      <c r="F2691" s="195">
        <v>676.8</v>
      </c>
      <c r="G2691" s="197">
        <f>Tabla110[[#This Row],[Importe]]-Tabla110[[#This Row],[Pagado]]</f>
        <v>0</v>
      </c>
      <c r="H2691" s="194" t="s">
        <v>10</v>
      </c>
    </row>
    <row r="2692" spans="1:8" x14ac:dyDescent="0.25">
      <c r="A2692" s="127">
        <v>44828</v>
      </c>
      <c r="B2692" s="128" t="s">
        <v>30805</v>
      </c>
      <c r="C2692" s="194" t="s">
        <v>87</v>
      </c>
      <c r="D2692" s="195">
        <v>4949.2</v>
      </c>
      <c r="E2692" s="196">
        <v>44828</v>
      </c>
      <c r="F2692" s="195">
        <v>4949.2</v>
      </c>
      <c r="G2692" s="197">
        <f>Tabla110[[#This Row],[Importe]]-Tabla110[[#This Row],[Pagado]]</f>
        <v>0</v>
      </c>
      <c r="H2692" s="194" t="s">
        <v>10</v>
      </c>
    </row>
    <row r="2693" spans="1:8" x14ac:dyDescent="0.25">
      <c r="A2693" s="127">
        <v>44828</v>
      </c>
      <c r="B2693" s="128" t="s">
        <v>30806</v>
      </c>
      <c r="C2693" s="194" t="s">
        <v>314</v>
      </c>
      <c r="D2693" s="195">
        <v>4408</v>
      </c>
      <c r="E2693" s="196">
        <v>44828</v>
      </c>
      <c r="F2693" s="195">
        <v>4408</v>
      </c>
      <c r="G2693" s="197">
        <f>Tabla110[[#This Row],[Importe]]-Tabla110[[#This Row],[Pagado]]</f>
        <v>0</v>
      </c>
      <c r="H2693" s="194" t="s">
        <v>10</v>
      </c>
    </row>
    <row r="2694" spans="1:8" x14ac:dyDescent="0.25">
      <c r="A2694" s="127">
        <v>44828</v>
      </c>
      <c r="B2694" s="128" t="s">
        <v>30807</v>
      </c>
      <c r="C2694" s="194" t="s">
        <v>151</v>
      </c>
      <c r="D2694" s="195">
        <v>15204</v>
      </c>
      <c r="E2694" s="196">
        <v>44828</v>
      </c>
      <c r="F2694" s="195">
        <v>15204</v>
      </c>
      <c r="G2694" s="197">
        <f>Tabla110[[#This Row],[Importe]]-Tabla110[[#This Row],[Pagado]]</f>
        <v>0</v>
      </c>
      <c r="H2694" s="194" t="s">
        <v>10</v>
      </c>
    </row>
    <row r="2695" spans="1:8" x14ac:dyDescent="0.25">
      <c r="A2695" s="127">
        <v>44828</v>
      </c>
      <c r="B2695" s="128" t="s">
        <v>30808</v>
      </c>
      <c r="C2695" s="194" t="s">
        <v>161</v>
      </c>
      <c r="D2695" s="195">
        <v>2595.3000000000002</v>
      </c>
      <c r="E2695" s="196">
        <v>44828</v>
      </c>
      <c r="F2695" s="195">
        <v>2595.3000000000002</v>
      </c>
      <c r="G2695" s="197">
        <f>Tabla110[[#This Row],[Importe]]-Tabla110[[#This Row],[Pagado]]</f>
        <v>0</v>
      </c>
      <c r="H2695" s="194" t="s">
        <v>10</v>
      </c>
    </row>
    <row r="2696" spans="1:8" x14ac:dyDescent="0.25">
      <c r="A2696" s="127">
        <v>44828</v>
      </c>
      <c r="B2696" s="128" t="s">
        <v>30809</v>
      </c>
      <c r="C2696" s="194" t="s">
        <v>214</v>
      </c>
      <c r="D2696" s="195">
        <v>8876.4</v>
      </c>
      <c r="E2696" s="196">
        <v>44828</v>
      </c>
      <c r="F2696" s="195">
        <v>8876.4</v>
      </c>
      <c r="G2696" s="197">
        <f>Tabla110[[#This Row],[Importe]]-Tabla110[[#This Row],[Pagado]]</f>
        <v>0</v>
      </c>
      <c r="H2696" s="194" t="s">
        <v>10</v>
      </c>
    </row>
    <row r="2697" spans="1:8" x14ac:dyDescent="0.25">
      <c r="A2697" s="127">
        <v>44828</v>
      </c>
      <c r="B2697" s="128" t="s">
        <v>30810</v>
      </c>
      <c r="C2697" s="194" t="s">
        <v>804</v>
      </c>
      <c r="D2697" s="195">
        <v>21138.6</v>
      </c>
      <c r="E2697" s="196">
        <v>44828</v>
      </c>
      <c r="F2697" s="195">
        <v>21138.6</v>
      </c>
      <c r="G2697" s="197">
        <f>Tabla110[[#This Row],[Importe]]-Tabla110[[#This Row],[Pagado]]</f>
        <v>0</v>
      </c>
      <c r="H2697" s="194" t="s">
        <v>10</v>
      </c>
    </row>
    <row r="2698" spans="1:8" x14ac:dyDescent="0.25">
      <c r="A2698" s="127">
        <v>44828</v>
      </c>
      <c r="B2698" s="128" t="s">
        <v>30811</v>
      </c>
      <c r="C2698" s="194" t="s">
        <v>56</v>
      </c>
      <c r="D2698" s="195">
        <v>12487.7</v>
      </c>
      <c r="E2698" s="196">
        <v>44828</v>
      </c>
      <c r="F2698" s="195">
        <v>12487.7</v>
      </c>
      <c r="G2698" s="197">
        <f>Tabla110[[#This Row],[Importe]]-Tabla110[[#This Row],[Pagado]]</f>
        <v>0</v>
      </c>
      <c r="H2698" s="194" t="s">
        <v>10</v>
      </c>
    </row>
    <row r="2699" spans="1:8" x14ac:dyDescent="0.25">
      <c r="A2699" s="127">
        <v>44828</v>
      </c>
      <c r="B2699" s="128" t="s">
        <v>30812</v>
      </c>
      <c r="C2699" s="194" t="s">
        <v>28087</v>
      </c>
      <c r="D2699" s="195">
        <v>57800.88</v>
      </c>
      <c r="E2699" s="196">
        <v>44828</v>
      </c>
      <c r="F2699" s="195">
        <v>57800.88</v>
      </c>
      <c r="G2699" s="197">
        <f>Tabla110[[#This Row],[Importe]]-Tabla110[[#This Row],[Pagado]]</f>
        <v>0</v>
      </c>
      <c r="H2699" s="194" t="s">
        <v>10</v>
      </c>
    </row>
    <row r="2700" spans="1:8" x14ac:dyDescent="0.25">
      <c r="A2700" s="127">
        <v>44828</v>
      </c>
      <c r="B2700" s="128" t="s">
        <v>30813</v>
      </c>
      <c r="C2700" s="194" t="s">
        <v>151</v>
      </c>
      <c r="D2700" s="195">
        <v>920.7</v>
      </c>
      <c r="E2700" s="196">
        <v>44828</v>
      </c>
      <c r="F2700" s="195">
        <v>920.7</v>
      </c>
      <c r="G2700" s="197">
        <f>Tabla110[[#This Row],[Importe]]-Tabla110[[#This Row],[Pagado]]</f>
        <v>0</v>
      </c>
      <c r="H2700" s="194" t="s">
        <v>10</v>
      </c>
    </row>
    <row r="2701" spans="1:8" x14ac:dyDescent="0.25">
      <c r="A2701" s="127">
        <v>44828</v>
      </c>
      <c r="B2701" s="128" t="s">
        <v>30814</v>
      </c>
      <c r="C2701" s="194" t="s">
        <v>146</v>
      </c>
      <c r="D2701" s="195">
        <v>9101.4</v>
      </c>
      <c r="E2701" s="196">
        <v>44828</v>
      </c>
      <c r="F2701" s="195">
        <v>9101.4</v>
      </c>
      <c r="G2701" s="197">
        <f>Tabla110[[#This Row],[Importe]]-Tabla110[[#This Row],[Pagado]]</f>
        <v>0</v>
      </c>
      <c r="H2701" s="194" t="s">
        <v>10</v>
      </c>
    </row>
    <row r="2702" spans="1:8" x14ac:dyDescent="0.25">
      <c r="A2702" s="127">
        <v>44828</v>
      </c>
      <c r="B2702" s="128" t="s">
        <v>30815</v>
      </c>
      <c r="C2702" s="194" t="s">
        <v>2780</v>
      </c>
      <c r="D2702" s="195">
        <v>25234.5</v>
      </c>
      <c r="E2702" s="196">
        <v>44828</v>
      </c>
      <c r="F2702" s="195">
        <v>25234.5</v>
      </c>
      <c r="G2702" s="197">
        <f>Tabla110[[#This Row],[Importe]]-Tabla110[[#This Row],[Pagado]]</f>
        <v>0</v>
      </c>
      <c r="H2702" s="194" t="s">
        <v>10</v>
      </c>
    </row>
    <row r="2703" spans="1:8" x14ac:dyDescent="0.25">
      <c r="A2703" s="127">
        <v>44828</v>
      </c>
      <c r="B2703" s="128" t="s">
        <v>30816</v>
      </c>
      <c r="C2703" s="194" t="s">
        <v>4136</v>
      </c>
      <c r="D2703" s="195">
        <v>3678.6</v>
      </c>
      <c r="E2703" s="196">
        <v>44828</v>
      </c>
      <c r="F2703" s="195">
        <v>3678.6</v>
      </c>
      <c r="G2703" s="197">
        <f>Tabla110[[#This Row],[Importe]]-Tabla110[[#This Row],[Pagado]]</f>
        <v>0</v>
      </c>
      <c r="H2703" s="194" t="s">
        <v>10</v>
      </c>
    </row>
    <row r="2704" spans="1:8" x14ac:dyDescent="0.25">
      <c r="A2704" s="127">
        <v>44828</v>
      </c>
      <c r="B2704" s="128" t="s">
        <v>30817</v>
      </c>
      <c r="C2704" s="194" t="s">
        <v>16</v>
      </c>
      <c r="D2704" s="195">
        <v>6448.1</v>
      </c>
      <c r="E2704" s="196">
        <v>44828</v>
      </c>
      <c r="F2704" s="195">
        <v>6448.1</v>
      </c>
      <c r="G2704" s="197">
        <f>Tabla110[[#This Row],[Importe]]-Tabla110[[#This Row],[Pagado]]</f>
        <v>0</v>
      </c>
      <c r="H2704" s="194" t="s">
        <v>10</v>
      </c>
    </row>
    <row r="2705" spans="1:8" x14ac:dyDescent="0.25">
      <c r="A2705" s="127">
        <v>44828</v>
      </c>
      <c r="B2705" s="128" t="s">
        <v>30818</v>
      </c>
      <c r="C2705" s="194" t="s">
        <v>127</v>
      </c>
      <c r="D2705" s="195">
        <v>1693.3</v>
      </c>
      <c r="E2705" s="196">
        <v>44828</v>
      </c>
      <c r="F2705" s="195">
        <v>1693.3</v>
      </c>
      <c r="G2705" s="197">
        <f>Tabla110[[#This Row],[Importe]]-Tabla110[[#This Row],[Pagado]]</f>
        <v>0</v>
      </c>
      <c r="H2705" s="194" t="s">
        <v>10</v>
      </c>
    </row>
    <row r="2706" spans="1:8" x14ac:dyDescent="0.25">
      <c r="A2706" s="127">
        <v>44828</v>
      </c>
      <c r="B2706" s="128" t="s">
        <v>30819</v>
      </c>
      <c r="C2706" s="194" t="s">
        <v>30820</v>
      </c>
      <c r="D2706" s="195">
        <v>0</v>
      </c>
      <c r="E2706" s="199" t="s">
        <v>189</v>
      </c>
      <c r="F2706" s="195">
        <v>0</v>
      </c>
      <c r="G2706" s="197">
        <f>Tabla110[[#This Row],[Importe]]-Tabla110[[#This Row],[Pagado]]</f>
        <v>0</v>
      </c>
      <c r="H2706" s="200" t="s">
        <v>30821</v>
      </c>
    </row>
    <row r="2707" spans="1:8" x14ac:dyDescent="0.25">
      <c r="A2707" s="127">
        <v>44828</v>
      </c>
      <c r="B2707" s="128" t="s">
        <v>30822</v>
      </c>
      <c r="C2707" s="194" t="s">
        <v>339</v>
      </c>
      <c r="D2707" s="195">
        <v>670.8</v>
      </c>
      <c r="E2707" s="196">
        <v>44828</v>
      </c>
      <c r="F2707" s="195">
        <v>670.8</v>
      </c>
      <c r="G2707" s="197">
        <f>Tabla110[[#This Row],[Importe]]-Tabla110[[#This Row],[Pagado]]</f>
        <v>0</v>
      </c>
      <c r="H2707" s="194" t="s">
        <v>10</v>
      </c>
    </row>
    <row r="2708" spans="1:8" x14ac:dyDescent="0.25">
      <c r="A2708" s="127">
        <v>44828</v>
      </c>
      <c r="B2708" s="128" t="s">
        <v>30823</v>
      </c>
      <c r="C2708" s="194" t="s">
        <v>140</v>
      </c>
      <c r="D2708" s="195">
        <v>3245.2</v>
      </c>
      <c r="E2708" s="196">
        <v>44828</v>
      </c>
      <c r="F2708" s="195">
        <v>3245.2</v>
      </c>
      <c r="G2708" s="197">
        <f>Tabla110[[#This Row],[Importe]]-Tabla110[[#This Row],[Pagado]]</f>
        <v>0</v>
      </c>
      <c r="H2708" s="194" t="s">
        <v>10</v>
      </c>
    </row>
    <row r="2709" spans="1:8" x14ac:dyDescent="0.25">
      <c r="A2709" s="127">
        <v>44828</v>
      </c>
      <c r="B2709" s="128" t="s">
        <v>30824</v>
      </c>
      <c r="C2709" s="194" t="s">
        <v>107</v>
      </c>
      <c r="D2709" s="195">
        <v>33877</v>
      </c>
      <c r="E2709" s="196">
        <v>44828</v>
      </c>
      <c r="F2709" s="195">
        <v>33877</v>
      </c>
      <c r="G2709" s="197">
        <f>Tabla110[[#This Row],[Importe]]-Tabla110[[#This Row],[Pagado]]</f>
        <v>0</v>
      </c>
      <c r="H2709" s="194" t="s">
        <v>10</v>
      </c>
    </row>
    <row r="2710" spans="1:8" x14ac:dyDescent="0.25">
      <c r="A2710" s="127">
        <v>44828</v>
      </c>
      <c r="B2710" s="128" t="s">
        <v>30825</v>
      </c>
      <c r="C2710" s="194" t="s">
        <v>135</v>
      </c>
      <c r="D2710" s="195">
        <v>1447.9</v>
      </c>
      <c r="E2710" s="196">
        <v>44828</v>
      </c>
      <c r="F2710" s="195">
        <v>1447.9</v>
      </c>
      <c r="G2710" s="197">
        <f>Tabla110[[#This Row],[Importe]]-Tabla110[[#This Row],[Pagado]]</f>
        <v>0</v>
      </c>
      <c r="H2710" s="194" t="s">
        <v>10</v>
      </c>
    </row>
    <row r="2711" spans="1:8" x14ac:dyDescent="0.25">
      <c r="A2711" s="127">
        <v>44828</v>
      </c>
      <c r="B2711" s="128" t="s">
        <v>30826</v>
      </c>
      <c r="C2711" s="194" t="s">
        <v>196</v>
      </c>
      <c r="D2711" s="195">
        <v>99260.94</v>
      </c>
      <c r="E2711" s="196">
        <v>44834</v>
      </c>
      <c r="F2711" s="195">
        <v>99260.94</v>
      </c>
      <c r="G2711" s="197">
        <f>Tabla110[[#This Row],[Importe]]-Tabla110[[#This Row],[Pagado]]</f>
        <v>0</v>
      </c>
      <c r="H2711" s="194" t="s">
        <v>10</v>
      </c>
    </row>
    <row r="2712" spans="1:8" x14ac:dyDescent="0.25">
      <c r="A2712" s="127">
        <v>44828</v>
      </c>
      <c r="B2712" s="128" t="s">
        <v>30827</v>
      </c>
      <c r="C2712" s="194" t="s">
        <v>29341</v>
      </c>
      <c r="D2712" s="195">
        <v>3800</v>
      </c>
      <c r="E2712" s="196">
        <v>44828</v>
      </c>
      <c r="F2712" s="195">
        <v>3800</v>
      </c>
      <c r="G2712" s="197">
        <f>Tabla110[[#This Row],[Importe]]-Tabla110[[#This Row],[Pagado]]</f>
        <v>0</v>
      </c>
      <c r="H2712" s="194" t="s">
        <v>10</v>
      </c>
    </row>
    <row r="2713" spans="1:8" x14ac:dyDescent="0.25">
      <c r="A2713" s="127">
        <v>44828</v>
      </c>
      <c r="B2713" s="128" t="s">
        <v>30828</v>
      </c>
      <c r="C2713" s="194" t="s">
        <v>226</v>
      </c>
      <c r="D2713" s="195">
        <v>15924</v>
      </c>
      <c r="E2713" s="196">
        <v>44828</v>
      </c>
      <c r="F2713" s="195">
        <v>15924</v>
      </c>
      <c r="G2713" s="197">
        <f>Tabla110[[#This Row],[Importe]]-Tabla110[[#This Row],[Pagado]]</f>
        <v>0</v>
      </c>
      <c r="H2713" s="194" t="s">
        <v>10</v>
      </c>
    </row>
    <row r="2714" spans="1:8" x14ac:dyDescent="0.25">
      <c r="A2714" s="127">
        <v>44828</v>
      </c>
      <c r="B2714" s="128" t="s">
        <v>30829</v>
      </c>
      <c r="C2714" s="194" t="s">
        <v>149</v>
      </c>
      <c r="D2714" s="195">
        <v>3040.6</v>
      </c>
      <c r="E2714" s="196">
        <v>44828</v>
      </c>
      <c r="F2714" s="195">
        <v>3040.6</v>
      </c>
      <c r="G2714" s="197">
        <f>Tabla110[[#This Row],[Importe]]-Tabla110[[#This Row],[Pagado]]</f>
        <v>0</v>
      </c>
      <c r="H2714" s="194" t="s">
        <v>10</v>
      </c>
    </row>
    <row r="2715" spans="1:8" x14ac:dyDescent="0.25">
      <c r="A2715" s="127">
        <v>44828</v>
      </c>
      <c r="B2715" s="128" t="s">
        <v>30830</v>
      </c>
      <c r="C2715" s="194" t="s">
        <v>12</v>
      </c>
      <c r="D2715" s="195">
        <v>8628.9</v>
      </c>
      <c r="E2715" s="196">
        <v>44830</v>
      </c>
      <c r="F2715" s="195">
        <v>8628.9</v>
      </c>
      <c r="G2715" s="197">
        <f>Tabla110[[#This Row],[Importe]]-Tabla110[[#This Row],[Pagado]]</f>
        <v>0</v>
      </c>
      <c r="H2715" s="194" t="s">
        <v>10</v>
      </c>
    </row>
    <row r="2716" spans="1:8" x14ac:dyDescent="0.25">
      <c r="A2716" s="127">
        <v>44828</v>
      </c>
      <c r="B2716" s="128" t="s">
        <v>30831</v>
      </c>
      <c r="C2716" s="194" t="s">
        <v>31</v>
      </c>
      <c r="D2716" s="195">
        <v>3476.8</v>
      </c>
      <c r="E2716" s="196">
        <v>44828</v>
      </c>
      <c r="F2716" s="195">
        <v>3476.8</v>
      </c>
      <c r="G2716" s="197">
        <f>Tabla110[[#This Row],[Importe]]-Tabla110[[#This Row],[Pagado]]</f>
        <v>0</v>
      </c>
      <c r="H2716" s="194" t="s">
        <v>10</v>
      </c>
    </row>
    <row r="2717" spans="1:8" x14ac:dyDescent="0.25">
      <c r="A2717" s="127">
        <v>44828</v>
      </c>
      <c r="B2717" s="128" t="s">
        <v>30832</v>
      </c>
      <c r="C2717" s="194" t="s">
        <v>149</v>
      </c>
      <c r="D2717" s="195">
        <v>1000</v>
      </c>
      <c r="E2717" s="196">
        <v>44828</v>
      </c>
      <c r="F2717" s="195">
        <v>1000</v>
      </c>
      <c r="G2717" s="197">
        <f>Tabla110[[#This Row],[Importe]]-Tabla110[[#This Row],[Pagado]]</f>
        <v>0</v>
      </c>
      <c r="H2717" s="194" t="s">
        <v>10</v>
      </c>
    </row>
    <row r="2718" spans="1:8" x14ac:dyDescent="0.25">
      <c r="A2718" s="127">
        <v>44828</v>
      </c>
      <c r="B2718" s="128" t="s">
        <v>30833</v>
      </c>
      <c r="C2718" s="194" t="s">
        <v>45</v>
      </c>
      <c r="D2718" s="195">
        <v>10466.700000000001</v>
      </c>
      <c r="E2718" s="196">
        <v>44828</v>
      </c>
      <c r="F2718" s="195">
        <v>10466.700000000001</v>
      </c>
      <c r="G2718" s="197">
        <f>Tabla110[[#This Row],[Importe]]-Tabla110[[#This Row],[Pagado]]</f>
        <v>0</v>
      </c>
      <c r="H2718" s="194" t="s">
        <v>10</v>
      </c>
    </row>
    <row r="2719" spans="1:8" x14ac:dyDescent="0.25">
      <c r="A2719" s="127">
        <v>44828</v>
      </c>
      <c r="B2719" s="128" t="s">
        <v>30834</v>
      </c>
      <c r="C2719" s="194" t="s">
        <v>31</v>
      </c>
      <c r="D2719" s="195">
        <v>2295.1999999999998</v>
      </c>
      <c r="E2719" s="196">
        <v>44828</v>
      </c>
      <c r="F2719" s="195">
        <v>2295.1999999999998</v>
      </c>
      <c r="G2719" s="197">
        <f>Tabla110[[#This Row],[Importe]]-Tabla110[[#This Row],[Pagado]]</f>
        <v>0</v>
      </c>
      <c r="H2719" s="194" t="s">
        <v>10</v>
      </c>
    </row>
    <row r="2720" spans="1:8" x14ac:dyDescent="0.25">
      <c r="A2720" s="127">
        <v>44828</v>
      </c>
      <c r="B2720" s="128" t="s">
        <v>30835</v>
      </c>
      <c r="C2720" s="194" t="s">
        <v>49</v>
      </c>
      <c r="D2720" s="195">
        <v>5049</v>
      </c>
      <c r="E2720" s="196">
        <v>44828</v>
      </c>
      <c r="F2720" s="195">
        <v>5049</v>
      </c>
      <c r="G2720" s="197">
        <f>Tabla110[[#This Row],[Importe]]-Tabla110[[#This Row],[Pagado]]</f>
        <v>0</v>
      </c>
      <c r="H2720" s="194" t="s">
        <v>10</v>
      </c>
    </row>
    <row r="2721" spans="1:8" x14ac:dyDescent="0.25">
      <c r="A2721" s="127">
        <v>44828</v>
      </c>
      <c r="B2721" s="128" t="s">
        <v>30836</v>
      </c>
      <c r="C2721" s="194" t="s">
        <v>230</v>
      </c>
      <c r="D2721" s="195">
        <v>11000.2</v>
      </c>
      <c r="E2721" s="196">
        <v>44828</v>
      </c>
      <c r="F2721" s="195">
        <v>11000.2</v>
      </c>
      <c r="G2721" s="197">
        <f>Tabla110[[#This Row],[Importe]]-Tabla110[[#This Row],[Pagado]]</f>
        <v>0</v>
      </c>
      <c r="H2721" s="194" t="s">
        <v>10</v>
      </c>
    </row>
    <row r="2722" spans="1:8" x14ac:dyDescent="0.25">
      <c r="A2722" s="127">
        <v>44828</v>
      </c>
      <c r="B2722" s="128" t="s">
        <v>30837</v>
      </c>
      <c r="C2722" s="194" t="s">
        <v>9587</v>
      </c>
      <c r="D2722" s="195">
        <v>1130.8</v>
      </c>
      <c r="E2722" s="196">
        <v>44828</v>
      </c>
      <c r="F2722" s="195">
        <v>1130.8</v>
      </c>
      <c r="G2722" s="197">
        <f>Tabla110[[#This Row],[Importe]]-Tabla110[[#This Row],[Pagado]]</f>
        <v>0</v>
      </c>
      <c r="H2722" s="194" t="s">
        <v>10</v>
      </c>
    </row>
    <row r="2723" spans="1:8" x14ac:dyDescent="0.25">
      <c r="A2723" s="127">
        <v>44828</v>
      </c>
      <c r="B2723" s="128" t="s">
        <v>30838</v>
      </c>
      <c r="C2723" s="194" t="s">
        <v>216</v>
      </c>
      <c r="D2723" s="195">
        <v>2483.1999999999998</v>
      </c>
      <c r="E2723" s="196">
        <v>44828</v>
      </c>
      <c r="F2723" s="195">
        <v>2483.1999999999998</v>
      </c>
      <c r="G2723" s="197">
        <f>Tabla110[[#This Row],[Importe]]-Tabla110[[#This Row],[Pagado]]</f>
        <v>0</v>
      </c>
      <c r="H2723" s="194" t="s">
        <v>10</v>
      </c>
    </row>
    <row r="2724" spans="1:8" x14ac:dyDescent="0.25">
      <c r="A2724" s="127">
        <v>44828</v>
      </c>
      <c r="B2724" s="128" t="s">
        <v>30839</v>
      </c>
      <c r="C2724" s="194" t="s">
        <v>966</v>
      </c>
      <c r="D2724" s="195">
        <v>1950</v>
      </c>
      <c r="E2724" s="196">
        <v>44828</v>
      </c>
      <c r="F2724" s="195">
        <v>1950</v>
      </c>
      <c r="G2724" s="197">
        <f>Tabla110[[#This Row],[Importe]]-Tabla110[[#This Row],[Pagado]]</f>
        <v>0</v>
      </c>
      <c r="H2724" s="194" t="s">
        <v>10</v>
      </c>
    </row>
    <row r="2725" spans="1:8" x14ac:dyDescent="0.25">
      <c r="A2725" s="127">
        <v>44828</v>
      </c>
      <c r="B2725" s="128" t="s">
        <v>30840</v>
      </c>
      <c r="C2725" s="194" t="s">
        <v>520</v>
      </c>
      <c r="D2725" s="195">
        <v>8145.5</v>
      </c>
      <c r="E2725" s="196">
        <v>44828</v>
      </c>
      <c r="F2725" s="195">
        <v>8145.5</v>
      </c>
      <c r="G2725" s="197">
        <f>Tabla110[[#This Row],[Importe]]-Tabla110[[#This Row],[Pagado]]</f>
        <v>0</v>
      </c>
      <c r="H2725" s="194" t="s">
        <v>10</v>
      </c>
    </row>
    <row r="2726" spans="1:8" x14ac:dyDescent="0.25">
      <c r="A2726" s="127">
        <v>44828</v>
      </c>
      <c r="B2726" s="128" t="s">
        <v>30841</v>
      </c>
      <c r="C2726" s="194" t="s">
        <v>518</v>
      </c>
      <c r="D2726" s="195">
        <v>1583.7</v>
      </c>
      <c r="E2726" s="196">
        <v>44828</v>
      </c>
      <c r="F2726" s="195">
        <v>1583.7</v>
      </c>
      <c r="G2726" s="197">
        <f>Tabla110[[#This Row],[Importe]]-Tabla110[[#This Row],[Pagado]]</f>
        <v>0</v>
      </c>
      <c r="H2726" s="194" t="s">
        <v>10</v>
      </c>
    </row>
    <row r="2727" spans="1:8" x14ac:dyDescent="0.25">
      <c r="A2727" s="127">
        <v>44828</v>
      </c>
      <c r="B2727" s="128" t="s">
        <v>30842</v>
      </c>
      <c r="C2727" s="194" t="s">
        <v>159</v>
      </c>
      <c r="D2727" s="195">
        <v>3116</v>
      </c>
      <c r="E2727" s="196">
        <v>44828</v>
      </c>
      <c r="F2727" s="195">
        <v>3116</v>
      </c>
      <c r="G2727" s="197">
        <f>Tabla110[[#This Row],[Importe]]-Tabla110[[#This Row],[Pagado]]</f>
        <v>0</v>
      </c>
      <c r="H2727" s="194" t="s">
        <v>10</v>
      </c>
    </row>
    <row r="2728" spans="1:8" x14ac:dyDescent="0.25">
      <c r="A2728" s="127">
        <v>44828</v>
      </c>
      <c r="B2728" s="128" t="s">
        <v>30843</v>
      </c>
      <c r="C2728" s="194" t="s">
        <v>157</v>
      </c>
      <c r="D2728" s="195">
        <v>7373.2</v>
      </c>
      <c r="E2728" s="196">
        <v>44828</v>
      </c>
      <c r="F2728" s="195">
        <v>7373.2</v>
      </c>
      <c r="G2728" s="197">
        <f>Tabla110[[#This Row],[Importe]]-Tabla110[[#This Row],[Pagado]]</f>
        <v>0</v>
      </c>
      <c r="H2728" s="194" t="s">
        <v>10</v>
      </c>
    </row>
    <row r="2729" spans="1:8" x14ac:dyDescent="0.25">
      <c r="A2729" s="127">
        <v>44828</v>
      </c>
      <c r="B2729" s="128" t="s">
        <v>30844</v>
      </c>
      <c r="C2729" s="194" t="s">
        <v>934</v>
      </c>
      <c r="D2729" s="195">
        <v>4358.3999999999996</v>
      </c>
      <c r="E2729" s="196">
        <v>44828</v>
      </c>
      <c r="F2729" s="195">
        <v>4358.3999999999996</v>
      </c>
      <c r="G2729" s="197">
        <f>Tabla110[[#This Row],[Importe]]-Tabla110[[#This Row],[Pagado]]</f>
        <v>0</v>
      </c>
      <c r="H2729" s="194" t="s">
        <v>10</v>
      </c>
    </row>
    <row r="2730" spans="1:8" x14ac:dyDescent="0.25">
      <c r="A2730" s="127">
        <v>44828</v>
      </c>
      <c r="B2730" s="128" t="s">
        <v>30845</v>
      </c>
      <c r="C2730" s="194" t="s">
        <v>31</v>
      </c>
      <c r="D2730" s="195">
        <v>2646</v>
      </c>
      <c r="E2730" s="196">
        <v>44828</v>
      </c>
      <c r="F2730" s="195">
        <v>2646</v>
      </c>
      <c r="G2730" s="197">
        <f>Tabla110[[#This Row],[Importe]]-Tabla110[[#This Row],[Pagado]]</f>
        <v>0</v>
      </c>
      <c r="H2730" s="194" t="s">
        <v>10</v>
      </c>
    </row>
    <row r="2731" spans="1:8" x14ac:dyDescent="0.25">
      <c r="A2731" s="127">
        <v>44828</v>
      </c>
      <c r="B2731" s="128" t="s">
        <v>30846</v>
      </c>
      <c r="C2731" s="194" t="s">
        <v>31</v>
      </c>
      <c r="D2731" s="195">
        <v>320</v>
      </c>
      <c r="E2731" s="196">
        <v>44828</v>
      </c>
      <c r="F2731" s="195">
        <v>320</v>
      </c>
      <c r="G2731" s="197">
        <f>Tabla110[[#This Row],[Importe]]-Tabla110[[#This Row],[Pagado]]</f>
        <v>0</v>
      </c>
      <c r="H2731" s="194" t="s">
        <v>10</v>
      </c>
    </row>
    <row r="2732" spans="1:8" x14ac:dyDescent="0.25">
      <c r="A2732" s="127">
        <v>44828</v>
      </c>
      <c r="B2732" s="128" t="s">
        <v>30847</v>
      </c>
      <c r="C2732" s="194" t="s">
        <v>31</v>
      </c>
      <c r="D2732" s="195">
        <v>881.5</v>
      </c>
      <c r="E2732" s="196">
        <v>44828</v>
      </c>
      <c r="F2732" s="195">
        <v>881.5</v>
      </c>
      <c r="G2732" s="197">
        <f>Tabla110[[#This Row],[Importe]]-Tabla110[[#This Row],[Pagado]]</f>
        <v>0</v>
      </c>
      <c r="H2732" s="194" t="s">
        <v>10</v>
      </c>
    </row>
    <row r="2733" spans="1:8" x14ac:dyDescent="0.25">
      <c r="A2733" s="127">
        <v>44828</v>
      </c>
      <c r="B2733" s="128" t="s">
        <v>30848</v>
      </c>
      <c r="C2733" s="194" t="s">
        <v>419</v>
      </c>
      <c r="D2733" s="195">
        <v>7108</v>
      </c>
      <c r="E2733" s="196">
        <v>44828</v>
      </c>
      <c r="F2733" s="195">
        <v>7108</v>
      </c>
      <c r="G2733" s="197">
        <f>Tabla110[[#This Row],[Importe]]-Tabla110[[#This Row],[Pagado]]</f>
        <v>0</v>
      </c>
      <c r="H2733" s="194" t="s">
        <v>10</v>
      </c>
    </row>
    <row r="2734" spans="1:8" x14ac:dyDescent="0.25">
      <c r="A2734" s="127">
        <v>44828</v>
      </c>
      <c r="B2734" s="128" t="s">
        <v>30849</v>
      </c>
      <c r="C2734" s="194" t="s">
        <v>142</v>
      </c>
      <c r="D2734" s="195">
        <v>75805.399999999994</v>
      </c>
      <c r="E2734" s="196">
        <v>44855</v>
      </c>
      <c r="F2734" s="195">
        <v>75805.399999999994</v>
      </c>
      <c r="G2734" s="197">
        <f>Tabla110[[#This Row],[Importe]]-Tabla110[[#This Row],[Pagado]]</f>
        <v>0</v>
      </c>
      <c r="H2734" s="194" t="s">
        <v>10</v>
      </c>
    </row>
    <row r="2735" spans="1:8" x14ac:dyDescent="0.25">
      <c r="A2735" s="127">
        <v>44828</v>
      </c>
      <c r="B2735" s="128" t="s">
        <v>30850</v>
      </c>
      <c r="C2735" s="194" t="s">
        <v>555</v>
      </c>
      <c r="D2735" s="195">
        <v>23400</v>
      </c>
      <c r="E2735" s="196">
        <v>44828</v>
      </c>
      <c r="F2735" s="195">
        <v>23400</v>
      </c>
      <c r="G2735" s="197">
        <f>Tabla110[[#This Row],[Importe]]-Tabla110[[#This Row],[Pagado]]</f>
        <v>0</v>
      </c>
      <c r="H2735" s="194" t="s">
        <v>10</v>
      </c>
    </row>
    <row r="2736" spans="1:8" x14ac:dyDescent="0.25">
      <c r="A2736" s="127">
        <v>44828</v>
      </c>
      <c r="B2736" s="128" t="s">
        <v>30851</v>
      </c>
      <c r="C2736" s="194" t="s">
        <v>142</v>
      </c>
      <c r="D2736" s="195">
        <v>10260</v>
      </c>
      <c r="E2736" s="196">
        <v>44855</v>
      </c>
      <c r="F2736" s="195">
        <v>10260</v>
      </c>
      <c r="G2736" s="197">
        <f>Tabla110[[#This Row],[Importe]]-Tabla110[[#This Row],[Pagado]]</f>
        <v>0</v>
      </c>
      <c r="H2736" s="194" t="s">
        <v>10</v>
      </c>
    </row>
    <row r="2737" spans="1:8" x14ac:dyDescent="0.25">
      <c r="A2737" s="127">
        <v>44828</v>
      </c>
      <c r="B2737" s="128" t="s">
        <v>30852</v>
      </c>
      <c r="C2737" s="194" t="s">
        <v>426</v>
      </c>
      <c r="D2737" s="195">
        <v>10766.8</v>
      </c>
      <c r="E2737" s="196">
        <v>44829</v>
      </c>
      <c r="F2737" s="195">
        <v>10766.8</v>
      </c>
      <c r="G2737" s="197">
        <f>Tabla110[[#This Row],[Importe]]-Tabla110[[#This Row],[Pagado]]</f>
        <v>0</v>
      </c>
      <c r="H2737" s="194" t="s">
        <v>10</v>
      </c>
    </row>
    <row r="2738" spans="1:8" x14ac:dyDescent="0.25">
      <c r="A2738" s="127">
        <v>44828</v>
      </c>
      <c r="B2738" s="128" t="s">
        <v>30853</v>
      </c>
      <c r="C2738" s="194" t="s">
        <v>452</v>
      </c>
      <c r="D2738" s="195">
        <v>4141</v>
      </c>
      <c r="E2738" s="196">
        <v>44828</v>
      </c>
      <c r="F2738" s="195">
        <v>4141</v>
      </c>
      <c r="G2738" s="197">
        <f>Tabla110[[#This Row],[Importe]]-Tabla110[[#This Row],[Pagado]]</f>
        <v>0</v>
      </c>
      <c r="H2738" s="194" t="s">
        <v>10</v>
      </c>
    </row>
    <row r="2739" spans="1:8" x14ac:dyDescent="0.25">
      <c r="A2739" s="127">
        <v>44828</v>
      </c>
      <c r="B2739" s="128" t="s">
        <v>30854</v>
      </c>
      <c r="C2739" s="194" t="s">
        <v>58</v>
      </c>
      <c r="D2739" s="195">
        <v>2844</v>
      </c>
      <c r="E2739" s="196">
        <v>44828</v>
      </c>
      <c r="F2739" s="195">
        <v>2844</v>
      </c>
      <c r="G2739" s="197">
        <f>Tabla110[[#This Row],[Importe]]-Tabla110[[#This Row],[Pagado]]</f>
        <v>0</v>
      </c>
      <c r="H2739" s="194" t="s">
        <v>10</v>
      </c>
    </row>
    <row r="2740" spans="1:8" x14ac:dyDescent="0.25">
      <c r="A2740" s="127">
        <v>44828</v>
      </c>
      <c r="B2740" s="128" t="s">
        <v>30855</v>
      </c>
      <c r="C2740" s="194" t="s">
        <v>698</v>
      </c>
      <c r="D2740" s="195">
        <v>3003</v>
      </c>
      <c r="E2740" s="196">
        <v>44828</v>
      </c>
      <c r="F2740" s="195">
        <v>3003</v>
      </c>
      <c r="G2740" s="197">
        <f>Tabla110[[#This Row],[Importe]]-Tabla110[[#This Row],[Pagado]]</f>
        <v>0</v>
      </c>
      <c r="H2740" s="194" t="s">
        <v>10</v>
      </c>
    </row>
    <row r="2741" spans="1:8" x14ac:dyDescent="0.25">
      <c r="A2741" s="127">
        <v>44828</v>
      </c>
      <c r="B2741" s="128" t="s">
        <v>30856</v>
      </c>
      <c r="C2741" s="194" t="s">
        <v>359</v>
      </c>
      <c r="D2741" s="195">
        <v>3734.9</v>
      </c>
      <c r="E2741" s="196">
        <v>44829</v>
      </c>
      <c r="F2741" s="195">
        <v>3734.9</v>
      </c>
      <c r="G2741" s="197">
        <f>Tabla110[[#This Row],[Importe]]-Tabla110[[#This Row],[Pagado]]</f>
        <v>0</v>
      </c>
      <c r="H2741" s="194" t="s">
        <v>10</v>
      </c>
    </row>
    <row r="2742" spans="1:8" x14ac:dyDescent="0.25">
      <c r="A2742" s="127">
        <v>44828</v>
      </c>
      <c r="B2742" s="128" t="s">
        <v>30857</v>
      </c>
      <c r="C2742" s="194" t="s">
        <v>53</v>
      </c>
      <c r="D2742" s="195">
        <v>2948.4</v>
      </c>
      <c r="E2742" s="196">
        <v>44828</v>
      </c>
      <c r="F2742" s="195">
        <v>2948.4</v>
      </c>
      <c r="G2742" s="197">
        <f>Tabla110[[#This Row],[Importe]]-Tabla110[[#This Row],[Pagado]]</f>
        <v>0</v>
      </c>
      <c r="H2742" s="194" t="s">
        <v>10</v>
      </c>
    </row>
    <row r="2743" spans="1:8" x14ac:dyDescent="0.25">
      <c r="A2743" s="127">
        <v>44828</v>
      </c>
      <c r="B2743" s="128" t="s">
        <v>30858</v>
      </c>
      <c r="C2743" s="194" t="s">
        <v>200</v>
      </c>
      <c r="D2743" s="195">
        <v>1626.4</v>
      </c>
      <c r="E2743" s="196">
        <v>44829</v>
      </c>
      <c r="F2743" s="195">
        <v>1626.4</v>
      </c>
      <c r="G2743" s="197">
        <f>Tabla110[[#This Row],[Importe]]-Tabla110[[#This Row],[Pagado]]</f>
        <v>0</v>
      </c>
      <c r="H2743" s="194" t="s">
        <v>10</v>
      </c>
    </row>
    <row r="2744" spans="1:8" x14ac:dyDescent="0.25">
      <c r="A2744" s="127">
        <v>44828</v>
      </c>
      <c r="B2744" s="128" t="s">
        <v>30859</v>
      </c>
      <c r="C2744" s="194" t="s">
        <v>9827</v>
      </c>
      <c r="D2744" s="195">
        <v>4552.3999999999996</v>
      </c>
      <c r="E2744" s="196">
        <v>44828</v>
      </c>
      <c r="F2744" s="195">
        <v>4552.3999999999996</v>
      </c>
      <c r="G2744" s="197">
        <f>Tabla110[[#This Row],[Importe]]-Tabla110[[#This Row],[Pagado]]</f>
        <v>0</v>
      </c>
      <c r="H2744" s="194" t="s">
        <v>10</v>
      </c>
    </row>
    <row r="2745" spans="1:8" x14ac:dyDescent="0.25">
      <c r="A2745" s="127">
        <v>44828</v>
      </c>
      <c r="B2745" s="128" t="s">
        <v>30860</v>
      </c>
      <c r="C2745" s="194" t="s">
        <v>67</v>
      </c>
      <c r="D2745" s="195">
        <v>2180.5</v>
      </c>
      <c r="E2745" s="196">
        <v>44828</v>
      </c>
      <c r="F2745" s="195">
        <v>2180.5</v>
      </c>
      <c r="G2745" s="197">
        <f>Tabla110[[#This Row],[Importe]]-Tabla110[[#This Row],[Pagado]]</f>
        <v>0</v>
      </c>
      <c r="H2745" s="194" t="s">
        <v>10</v>
      </c>
    </row>
    <row r="2746" spans="1:8" x14ac:dyDescent="0.25">
      <c r="A2746" s="127">
        <v>44828</v>
      </c>
      <c r="B2746" s="128" t="s">
        <v>30861</v>
      </c>
      <c r="C2746" s="194" t="s">
        <v>181</v>
      </c>
      <c r="D2746" s="195">
        <v>13375.2</v>
      </c>
      <c r="E2746" s="196">
        <v>44829</v>
      </c>
      <c r="F2746" s="195">
        <v>13375.2</v>
      </c>
      <c r="G2746" s="197">
        <f>Tabla110[[#This Row],[Importe]]-Tabla110[[#This Row],[Pagado]]</f>
        <v>0</v>
      </c>
      <c r="H2746" s="194" t="s">
        <v>10</v>
      </c>
    </row>
    <row r="2747" spans="1:8" x14ac:dyDescent="0.25">
      <c r="A2747" s="127">
        <v>44828</v>
      </c>
      <c r="B2747" s="128" t="s">
        <v>30862</v>
      </c>
      <c r="C2747" s="194" t="s">
        <v>670</v>
      </c>
      <c r="D2747" s="195">
        <v>4725</v>
      </c>
      <c r="E2747" s="196">
        <v>44828</v>
      </c>
      <c r="F2747" s="195">
        <v>4725</v>
      </c>
      <c r="G2747" s="197">
        <f>Tabla110[[#This Row],[Importe]]-Tabla110[[#This Row],[Pagado]]</f>
        <v>0</v>
      </c>
      <c r="H2747" s="194" t="s">
        <v>10</v>
      </c>
    </row>
    <row r="2748" spans="1:8" x14ac:dyDescent="0.25">
      <c r="A2748" s="127">
        <v>44828</v>
      </c>
      <c r="B2748" s="128" t="s">
        <v>30863</v>
      </c>
      <c r="C2748" s="194" t="s">
        <v>16</v>
      </c>
      <c r="D2748" s="195">
        <v>1397.4</v>
      </c>
      <c r="E2748" s="196">
        <v>44828</v>
      </c>
      <c r="F2748" s="195">
        <v>1397.4</v>
      </c>
      <c r="G2748" s="197">
        <f>Tabla110[[#This Row],[Importe]]-Tabla110[[#This Row],[Pagado]]</f>
        <v>0</v>
      </c>
      <c r="H2748" s="194" t="s">
        <v>10</v>
      </c>
    </row>
    <row r="2749" spans="1:8" x14ac:dyDescent="0.25">
      <c r="A2749" s="127">
        <v>44828</v>
      </c>
      <c r="B2749" s="128" t="s">
        <v>30864</v>
      </c>
      <c r="C2749" s="194" t="s">
        <v>994</v>
      </c>
      <c r="D2749" s="195">
        <v>1089</v>
      </c>
      <c r="E2749" s="196">
        <v>44828</v>
      </c>
      <c r="F2749" s="195">
        <v>1089</v>
      </c>
      <c r="G2749" s="197">
        <f>Tabla110[[#This Row],[Importe]]-Tabla110[[#This Row],[Pagado]]</f>
        <v>0</v>
      </c>
      <c r="H2749" s="194" t="s">
        <v>10</v>
      </c>
    </row>
    <row r="2750" spans="1:8" x14ac:dyDescent="0.25">
      <c r="A2750" s="127">
        <v>44828</v>
      </c>
      <c r="B2750" s="128" t="s">
        <v>30865</v>
      </c>
      <c r="C2750" s="194" t="s">
        <v>244</v>
      </c>
      <c r="D2750" s="195">
        <v>1458.6</v>
      </c>
      <c r="E2750" s="196">
        <v>44828</v>
      </c>
      <c r="F2750" s="195">
        <v>1458.6</v>
      </c>
      <c r="G2750" s="197">
        <f>Tabla110[[#This Row],[Importe]]-Tabla110[[#This Row],[Pagado]]</f>
        <v>0</v>
      </c>
      <c r="H2750" s="194" t="s">
        <v>10</v>
      </c>
    </row>
    <row r="2751" spans="1:8" x14ac:dyDescent="0.25">
      <c r="A2751" s="127">
        <v>44828</v>
      </c>
      <c r="B2751" s="128" t="s">
        <v>30866</v>
      </c>
      <c r="C2751" s="194" t="s">
        <v>284</v>
      </c>
      <c r="D2751" s="195">
        <v>21052</v>
      </c>
      <c r="E2751" s="196">
        <v>44829</v>
      </c>
      <c r="F2751" s="195">
        <v>21052</v>
      </c>
      <c r="G2751" s="197">
        <f>Tabla110[[#This Row],[Importe]]-Tabla110[[#This Row],[Pagado]]</f>
        <v>0</v>
      </c>
      <c r="H2751" s="194" t="s">
        <v>10</v>
      </c>
    </row>
    <row r="2752" spans="1:8" x14ac:dyDescent="0.25">
      <c r="A2752" s="127">
        <v>44828</v>
      </c>
      <c r="B2752" s="128" t="s">
        <v>30867</v>
      </c>
      <c r="C2752" s="194" t="s">
        <v>5345</v>
      </c>
      <c r="D2752" s="195">
        <v>6216.8</v>
      </c>
      <c r="E2752" s="196">
        <v>44829</v>
      </c>
      <c r="F2752" s="195">
        <v>6216.8</v>
      </c>
      <c r="G2752" s="197">
        <f>Tabla110[[#This Row],[Importe]]-Tabla110[[#This Row],[Pagado]]</f>
        <v>0</v>
      </c>
      <c r="H2752" s="194" t="s">
        <v>10</v>
      </c>
    </row>
    <row r="2753" spans="1:8" x14ac:dyDescent="0.25">
      <c r="A2753" s="127">
        <v>44828</v>
      </c>
      <c r="B2753" s="128" t="s">
        <v>30868</v>
      </c>
      <c r="C2753" s="194" t="s">
        <v>10819</v>
      </c>
      <c r="D2753" s="195">
        <v>3382</v>
      </c>
      <c r="E2753" s="196">
        <v>44829</v>
      </c>
      <c r="F2753" s="195">
        <v>3382</v>
      </c>
      <c r="G2753" s="197">
        <f>Tabla110[[#This Row],[Importe]]-Tabla110[[#This Row],[Pagado]]</f>
        <v>0</v>
      </c>
      <c r="H2753" s="194" t="s">
        <v>10</v>
      </c>
    </row>
    <row r="2754" spans="1:8" x14ac:dyDescent="0.25">
      <c r="A2754" s="127">
        <v>44828</v>
      </c>
      <c r="B2754" s="128" t="s">
        <v>30869</v>
      </c>
      <c r="C2754" s="194" t="s">
        <v>31</v>
      </c>
      <c r="D2754" s="195">
        <v>1520</v>
      </c>
      <c r="E2754" s="196">
        <v>44828</v>
      </c>
      <c r="F2754" s="195">
        <v>1520</v>
      </c>
      <c r="G2754" s="197">
        <f>Tabla110[[#This Row],[Importe]]-Tabla110[[#This Row],[Pagado]]</f>
        <v>0</v>
      </c>
      <c r="H2754" s="194" t="s">
        <v>10</v>
      </c>
    </row>
    <row r="2755" spans="1:8" x14ac:dyDescent="0.25">
      <c r="A2755" s="127">
        <v>44828</v>
      </c>
      <c r="B2755" s="128" t="s">
        <v>30870</v>
      </c>
      <c r="C2755" s="194" t="s">
        <v>282</v>
      </c>
      <c r="D2755" s="195">
        <v>4240.8</v>
      </c>
      <c r="E2755" s="196">
        <v>44829</v>
      </c>
      <c r="F2755" s="195">
        <v>4240.8</v>
      </c>
      <c r="G2755" s="197">
        <f>Tabla110[[#This Row],[Importe]]-Tabla110[[#This Row],[Pagado]]</f>
        <v>0</v>
      </c>
      <c r="H2755" s="194" t="s">
        <v>10</v>
      </c>
    </row>
    <row r="2756" spans="1:8" x14ac:dyDescent="0.25">
      <c r="A2756" s="127">
        <v>44828</v>
      </c>
      <c r="B2756" s="128" t="s">
        <v>30871</v>
      </c>
      <c r="C2756" s="194" t="s">
        <v>280</v>
      </c>
      <c r="D2756" s="195">
        <v>1839.2</v>
      </c>
      <c r="E2756" s="196">
        <v>44829</v>
      </c>
      <c r="F2756" s="195">
        <v>1839.2</v>
      </c>
      <c r="G2756" s="197">
        <f>Tabla110[[#This Row],[Importe]]-Tabla110[[#This Row],[Pagado]]</f>
        <v>0</v>
      </c>
      <c r="H2756" s="194" t="s">
        <v>10</v>
      </c>
    </row>
    <row r="2757" spans="1:8" x14ac:dyDescent="0.25">
      <c r="A2757" s="127">
        <v>44828</v>
      </c>
      <c r="B2757" s="128" t="s">
        <v>30872</v>
      </c>
      <c r="C2757" s="194" t="s">
        <v>24</v>
      </c>
      <c r="D2757" s="195">
        <v>3440.4</v>
      </c>
      <c r="E2757" s="196">
        <v>44828</v>
      </c>
      <c r="F2757" s="195">
        <v>3440.4</v>
      </c>
      <c r="G2757" s="197">
        <f>Tabla110[[#This Row],[Importe]]-Tabla110[[#This Row],[Pagado]]</f>
        <v>0</v>
      </c>
      <c r="H2757" s="194" t="s">
        <v>10</v>
      </c>
    </row>
    <row r="2758" spans="1:8" x14ac:dyDescent="0.25">
      <c r="A2758" s="127">
        <v>44828</v>
      </c>
      <c r="B2758" s="128" t="s">
        <v>30873</v>
      </c>
      <c r="C2758" s="194" t="s">
        <v>214</v>
      </c>
      <c r="D2758" s="195">
        <v>2188.8000000000002</v>
      </c>
      <c r="E2758" s="196">
        <v>44828</v>
      </c>
      <c r="F2758" s="195">
        <v>2188.8000000000002</v>
      </c>
      <c r="G2758" s="197">
        <f>Tabla110[[#This Row],[Importe]]-Tabla110[[#This Row],[Pagado]]</f>
        <v>0</v>
      </c>
      <c r="H2758" s="194" t="s">
        <v>10</v>
      </c>
    </row>
    <row r="2759" spans="1:8" x14ac:dyDescent="0.25">
      <c r="A2759" s="127">
        <v>44828</v>
      </c>
      <c r="B2759" s="128" t="s">
        <v>30874</v>
      </c>
      <c r="C2759" s="194" t="s">
        <v>56</v>
      </c>
      <c r="D2759" s="195">
        <v>4499.2</v>
      </c>
      <c r="E2759" s="196">
        <v>44828</v>
      </c>
      <c r="F2759" s="195">
        <v>4499.2</v>
      </c>
      <c r="G2759" s="197">
        <f>Tabla110[[#This Row],[Importe]]-Tabla110[[#This Row],[Pagado]]</f>
        <v>0</v>
      </c>
      <c r="H2759" s="194" t="s">
        <v>10</v>
      </c>
    </row>
    <row r="2760" spans="1:8" x14ac:dyDescent="0.25">
      <c r="A2760" s="127">
        <v>44828</v>
      </c>
      <c r="B2760" s="128" t="s">
        <v>30875</v>
      </c>
      <c r="C2760" s="194" t="s">
        <v>31</v>
      </c>
      <c r="D2760" s="195">
        <v>1324.3</v>
      </c>
      <c r="E2760" s="196">
        <v>44828</v>
      </c>
      <c r="F2760" s="195">
        <v>1324.3</v>
      </c>
      <c r="G2760" s="197">
        <f>Tabla110[[#This Row],[Importe]]-Tabla110[[#This Row],[Pagado]]</f>
        <v>0</v>
      </c>
      <c r="H2760" s="194" t="s">
        <v>10</v>
      </c>
    </row>
    <row r="2761" spans="1:8" x14ac:dyDescent="0.25">
      <c r="A2761" s="127">
        <v>44828</v>
      </c>
      <c r="B2761" s="128" t="s">
        <v>30876</v>
      </c>
      <c r="C2761" s="194" t="s">
        <v>35</v>
      </c>
      <c r="D2761" s="195">
        <v>2916</v>
      </c>
      <c r="E2761" s="196">
        <v>44828</v>
      </c>
      <c r="F2761" s="195">
        <v>2916</v>
      </c>
      <c r="G2761" s="197">
        <f>Tabla110[[#This Row],[Importe]]-Tabla110[[#This Row],[Pagado]]</f>
        <v>0</v>
      </c>
      <c r="H2761" s="194" t="s">
        <v>10</v>
      </c>
    </row>
    <row r="2762" spans="1:8" x14ac:dyDescent="0.25">
      <c r="A2762" s="127">
        <v>44828</v>
      </c>
      <c r="B2762" s="128" t="s">
        <v>30877</v>
      </c>
      <c r="C2762" s="194" t="s">
        <v>1421</v>
      </c>
      <c r="D2762" s="195">
        <v>31178.400000000001</v>
      </c>
      <c r="E2762" s="196">
        <v>44828</v>
      </c>
      <c r="F2762" s="195">
        <v>31178.400000000001</v>
      </c>
      <c r="G2762" s="197">
        <f>Tabla110[[#This Row],[Importe]]-Tabla110[[#This Row],[Pagado]]</f>
        <v>0</v>
      </c>
      <c r="H2762" s="194" t="s">
        <v>10</v>
      </c>
    </row>
    <row r="2763" spans="1:8" x14ac:dyDescent="0.25">
      <c r="A2763" s="127">
        <v>44828</v>
      </c>
      <c r="B2763" s="128" t="s">
        <v>30878</v>
      </c>
      <c r="C2763" s="194" t="s">
        <v>51</v>
      </c>
      <c r="D2763" s="195">
        <v>5104</v>
      </c>
      <c r="E2763" s="196">
        <v>44828</v>
      </c>
      <c r="F2763" s="195">
        <v>5104</v>
      </c>
      <c r="G2763" s="197">
        <f>Tabla110[[#This Row],[Importe]]-Tabla110[[#This Row],[Pagado]]</f>
        <v>0</v>
      </c>
      <c r="H2763" s="194" t="s">
        <v>10</v>
      </c>
    </row>
    <row r="2764" spans="1:8" x14ac:dyDescent="0.25">
      <c r="A2764" s="127">
        <v>44828</v>
      </c>
      <c r="B2764" s="128" t="s">
        <v>30879</v>
      </c>
      <c r="C2764" s="194" t="s">
        <v>28087</v>
      </c>
      <c r="D2764" s="195">
        <v>51940.11</v>
      </c>
      <c r="E2764" s="196">
        <v>44828</v>
      </c>
      <c r="F2764" s="195">
        <v>51940.11</v>
      </c>
      <c r="G2764" s="197">
        <f>Tabla110[[#This Row],[Importe]]-Tabla110[[#This Row],[Pagado]]</f>
        <v>0</v>
      </c>
      <c r="H2764" s="194" t="s">
        <v>10</v>
      </c>
    </row>
    <row r="2765" spans="1:8" x14ac:dyDescent="0.25">
      <c r="A2765" s="127">
        <v>44828</v>
      </c>
      <c r="B2765" s="128" t="s">
        <v>30880</v>
      </c>
      <c r="C2765" s="194" t="s">
        <v>857</v>
      </c>
      <c r="D2765" s="195">
        <v>2766.2</v>
      </c>
      <c r="E2765" s="196">
        <v>44828</v>
      </c>
      <c r="F2765" s="195">
        <v>2766.2</v>
      </c>
      <c r="G2765" s="197">
        <f>Tabla110[[#This Row],[Importe]]-Tabla110[[#This Row],[Pagado]]</f>
        <v>0</v>
      </c>
      <c r="H2765" s="194" t="s">
        <v>10</v>
      </c>
    </row>
    <row r="2766" spans="1:8" x14ac:dyDescent="0.25">
      <c r="A2766" s="127">
        <v>44828</v>
      </c>
      <c r="B2766" s="128" t="s">
        <v>30881</v>
      </c>
      <c r="C2766" s="194" t="s">
        <v>10190</v>
      </c>
      <c r="D2766" s="195">
        <v>29910.6</v>
      </c>
      <c r="E2766" s="196">
        <v>44828</v>
      </c>
      <c r="F2766" s="195">
        <v>29910.6</v>
      </c>
      <c r="G2766" s="197">
        <f>Tabla110[[#This Row],[Importe]]-Tabla110[[#This Row],[Pagado]]</f>
        <v>0</v>
      </c>
      <c r="H2766" s="194" t="s">
        <v>10</v>
      </c>
    </row>
    <row r="2767" spans="1:8" x14ac:dyDescent="0.25">
      <c r="A2767" s="127">
        <v>44828</v>
      </c>
      <c r="B2767" s="128" t="s">
        <v>30882</v>
      </c>
      <c r="C2767" s="194" t="s">
        <v>612</v>
      </c>
      <c r="D2767" s="195">
        <v>300</v>
      </c>
      <c r="E2767" s="196">
        <v>44828</v>
      </c>
      <c r="F2767" s="195">
        <v>300</v>
      </c>
      <c r="G2767" s="197">
        <f>Tabla110[[#This Row],[Importe]]-Tabla110[[#This Row],[Pagado]]</f>
        <v>0</v>
      </c>
      <c r="H2767" s="194" t="s">
        <v>10</v>
      </c>
    </row>
    <row r="2768" spans="1:8" x14ac:dyDescent="0.25">
      <c r="A2768" s="127">
        <v>44828</v>
      </c>
      <c r="B2768" s="128" t="s">
        <v>30883</v>
      </c>
      <c r="C2768" s="194" t="s">
        <v>1362</v>
      </c>
      <c r="D2768" s="195">
        <v>12792</v>
      </c>
      <c r="E2768" s="196">
        <v>44830</v>
      </c>
      <c r="F2768" s="195">
        <v>12792</v>
      </c>
      <c r="G2768" s="197">
        <f>Tabla110[[#This Row],[Importe]]-Tabla110[[#This Row],[Pagado]]</f>
        <v>0</v>
      </c>
      <c r="H2768" s="194" t="s">
        <v>10</v>
      </c>
    </row>
    <row r="2769" spans="1:8" x14ac:dyDescent="0.25">
      <c r="A2769" s="127">
        <v>44828</v>
      </c>
      <c r="B2769" s="128" t="s">
        <v>30884</v>
      </c>
      <c r="C2769" s="194" t="s">
        <v>407</v>
      </c>
      <c r="D2769" s="195">
        <v>8879.2000000000007</v>
      </c>
      <c r="E2769" s="196">
        <v>44837</v>
      </c>
      <c r="F2769" s="195">
        <v>8879.2000000000007</v>
      </c>
      <c r="G2769" s="197">
        <f>Tabla110[[#This Row],[Importe]]-Tabla110[[#This Row],[Pagado]]</f>
        <v>0</v>
      </c>
      <c r="H2769" s="194" t="s">
        <v>10</v>
      </c>
    </row>
    <row r="2770" spans="1:8" x14ac:dyDescent="0.25">
      <c r="A2770" s="127">
        <v>44828</v>
      </c>
      <c r="B2770" s="128" t="s">
        <v>30885</v>
      </c>
      <c r="C2770" s="194" t="s">
        <v>414</v>
      </c>
      <c r="D2770" s="195">
        <v>22052.799999999999</v>
      </c>
      <c r="E2770" s="196">
        <v>44839</v>
      </c>
      <c r="F2770" s="195">
        <v>22052.799999999999</v>
      </c>
      <c r="G2770" s="197">
        <f>Tabla110[[#This Row],[Importe]]-Tabla110[[#This Row],[Pagado]]</f>
        <v>0</v>
      </c>
      <c r="H2770" s="194" t="s">
        <v>10</v>
      </c>
    </row>
    <row r="2771" spans="1:8" x14ac:dyDescent="0.25">
      <c r="A2771" s="127">
        <v>44828</v>
      </c>
      <c r="B2771" s="128" t="s">
        <v>30886</v>
      </c>
      <c r="C2771" s="194" t="s">
        <v>654</v>
      </c>
      <c r="D2771" s="195">
        <v>9905.6</v>
      </c>
      <c r="E2771" s="196">
        <v>44828</v>
      </c>
      <c r="F2771" s="195">
        <v>9905.6</v>
      </c>
      <c r="G2771" s="197">
        <f>Tabla110[[#This Row],[Importe]]-Tabla110[[#This Row],[Pagado]]</f>
        <v>0</v>
      </c>
      <c r="H2771" s="194" t="s">
        <v>10</v>
      </c>
    </row>
    <row r="2772" spans="1:8" x14ac:dyDescent="0.25">
      <c r="A2772" s="127">
        <v>44828</v>
      </c>
      <c r="B2772" s="128" t="s">
        <v>30887</v>
      </c>
      <c r="C2772" s="194" t="s">
        <v>31</v>
      </c>
      <c r="D2772" s="195">
        <v>4446</v>
      </c>
      <c r="E2772" s="196">
        <v>44828</v>
      </c>
      <c r="F2772" s="195">
        <v>4446</v>
      </c>
      <c r="G2772" s="197">
        <f>Tabla110[[#This Row],[Importe]]-Tabla110[[#This Row],[Pagado]]</f>
        <v>0</v>
      </c>
      <c r="H2772" s="194" t="s">
        <v>10</v>
      </c>
    </row>
    <row r="2773" spans="1:8" x14ac:dyDescent="0.25">
      <c r="A2773" s="127">
        <v>44828</v>
      </c>
      <c r="B2773" s="128" t="s">
        <v>30888</v>
      </c>
      <c r="C2773" s="194" t="s">
        <v>296</v>
      </c>
      <c r="D2773" s="195">
        <v>4453.6000000000004</v>
      </c>
      <c r="E2773" s="196">
        <v>44828</v>
      </c>
      <c r="F2773" s="195">
        <v>4453.6000000000004</v>
      </c>
      <c r="G2773" s="197">
        <f>Tabla110[[#This Row],[Importe]]-Tabla110[[#This Row],[Pagado]]</f>
        <v>0</v>
      </c>
      <c r="H2773" s="194" t="s">
        <v>10</v>
      </c>
    </row>
    <row r="2774" spans="1:8" x14ac:dyDescent="0.25">
      <c r="A2774" s="127">
        <v>44828</v>
      </c>
      <c r="B2774" s="128" t="s">
        <v>30889</v>
      </c>
      <c r="C2774" s="194" t="s">
        <v>31</v>
      </c>
      <c r="D2774" s="195">
        <v>784</v>
      </c>
      <c r="E2774" s="196">
        <v>44828</v>
      </c>
      <c r="F2774" s="195">
        <v>784</v>
      </c>
      <c r="G2774" s="197">
        <f>Tabla110[[#This Row],[Importe]]-Tabla110[[#This Row],[Pagado]]</f>
        <v>0</v>
      </c>
      <c r="H2774" s="194" t="s">
        <v>10</v>
      </c>
    </row>
    <row r="2775" spans="1:8" x14ac:dyDescent="0.25">
      <c r="A2775" s="127">
        <v>44828</v>
      </c>
      <c r="B2775" s="128" t="s">
        <v>30890</v>
      </c>
      <c r="C2775" s="194" t="s">
        <v>31</v>
      </c>
      <c r="D2775" s="195">
        <v>4169.7</v>
      </c>
      <c r="E2775" s="196">
        <v>44828</v>
      </c>
      <c r="F2775" s="195">
        <v>4169.7</v>
      </c>
      <c r="G2775" s="197">
        <f>Tabla110[[#This Row],[Importe]]-Tabla110[[#This Row],[Pagado]]</f>
        <v>0</v>
      </c>
      <c r="H2775" s="194" t="s">
        <v>10</v>
      </c>
    </row>
    <row r="2776" spans="1:8" x14ac:dyDescent="0.25">
      <c r="A2776" s="127">
        <v>44828</v>
      </c>
      <c r="B2776" s="128" t="s">
        <v>30891</v>
      </c>
      <c r="C2776" s="194" t="s">
        <v>31</v>
      </c>
      <c r="D2776" s="195">
        <v>3465</v>
      </c>
      <c r="E2776" s="196">
        <v>44828</v>
      </c>
      <c r="F2776" s="195">
        <v>3465</v>
      </c>
      <c r="G2776" s="197">
        <f>Tabla110[[#This Row],[Importe]]-Tabla110[[#This Row],[Pagado]]</f>
        <v>0</v>
      </c>
      <c r="H2776" s="194" t="s">
        <v>10</v>
      </c>
    </row>
    <row r="2777" spans="1:8" x14ac:dyDescent="0.25">
      <c r="A2777" s="127">
        <v>44828</v>
      </c>
      <c r="B2777" s="128" t="s">
        <v>30892</v>
      </c>
      <c r="C2777" s="194" t="s">
        <v>296</v>
      </c>
      <c r="D2777" s="195">
        <v>1201.2</v>
      </c>
      <c r="E2777" s="196">
        <v>44828</v>
      </c>
      <c r="F2777" s="195">
        <v>1201.2</v>
      </c>
      <c r="G2777" s="197">
        <f>Tabla110[[#This Row],[Importe]]-Tabla110[[#This Row],[Pagado]]</f>
        <v>0</v>
      </c>
      <c r="H2777" s="194" t="s">
        <v>10</v>
      </c>
    </row>
    <row r="2778" spans="1:8" x14ac:dyDescent="0.25">
      <c r="A2778" s="127">
        <v>44828</v>
      </c>
      <c r="B2778" s="128" t="s">
        <v>30893</v>
      </c>
      <c r="C2778" s="194" t="s">
        <v>1350</v>
      </c>
      <c r="D2778" s="195">
        <v>1427.5</v>
      </c>
      <c r="E2778" s="196">
        <v>44829</v>
      </c>
      <c r="F2778" s="195">
        <v>1427.5</v>
      </c>
      <c r="G2778" s="197">
        <f>Tabla110[[#This Row],[Importe]]-Tabla110[[#This Row],[Pagado]]</f>
        <v>0</v>
      </c>
      <c r="H2778" s="194" t="s">
        <v>10</v>
      </c>
    </row>
    <row r="2779" spans="1:8" x14ac:dyDescent="0.25">
      <c r="A2779" s="127">
        <v>44828</v>
      </c>
      <c r="B2779" s="128" t="s">
        <v>30894</v>
      </c>
      <c r="C2779" s="194" t="s">
        <v>31</v>
      </c>
      <c r="D2779" s="195">
        <v>325</v>
      </c>
      <c r="E2779" s="196">
        <v>44828</v>
      </c>
      <c r="F2779" s="195">
        <v>325</v>
      </c>
      <c r="G2779" s="197">
        <f>Tabla110[[#This Row],[Importe]]-Tabla110[[#This Row],[Pagado]]</f>
        <v>0</v>
      </c>
      <c r="H2779" s="194" t="s">
        <v>10</v>
      </c>
    </row>
    <row r="2780" spans="1:8" x14ac:dyDescent="0.25">
      <c r="A2780" s="127">
        <v>44828</v>
      </c>
      <c r="B2780" s="128" t="s">
        <v>30895</v>
      </c>
      <c r="C2780" s="194" t="s">
        <v>463</v>
      </c>
      <c r="D2780" s="195">
        <v>550</v>
      </c>
      <c r="E2780" s="196">
        <v>44830</v>
      </c>
      <c r="F2780" s="195">
        <v>550</v>
      </c>
      <c r="G2780" s="197">
        <f>Tabla110[[#This Row],[Importe]]-Tabla110[[#This Row],[Pagado]]</f>
        <v>0</v>
      </c>
      <c r="H2780" s="194" t="s">
        <v>10</v>
      </c>
    </row>
    <row r="2781" spans="1:8" x14ac:dyDescent="0.25">
      <c r="A2781" s="127">
        <v>44828</v>
      </c>
      <c r="B2781" s="128" t="s">
        <v>30896</v>
      </c>
      <c r="C2781" s="194" t="s">
        <v>461</v>
      </c>
      <c r="D2781" s="195">
        <v>394</v>
      </c>
      <c r="E2781" s="196">
        <v>44828</v>
      </c>
      <c r="F2781" s="195">
        <v>394</v>
      </c>
      <c r="G2781" s="197">
        <f>Tabla110[[#This Row],[Importe]]-Tabla110[[#This Row],[Pagado]]</f>
        <v>0</v>
      </c>
      <c r="H2781" s="194" t="s">
        <v>10</v>
      </c>
    </row>
    <row r="2782" spans="1:8" x14ac:dyDescent="0.25">
      <c r="A2782" s="127">
        <v>44828</v>
      </c>
      <c r="B2782" s="128" t="s">
        <v>30897</v>
      </c>
      <c r="C2782" s="194" t="s">
        <v>459</v>
      </c>
      <c r="D2782" s="195">
        <v>213</v>
      </c>
      <c r="E2782" s="196">
        <v>44828</v>
      </c>
      <c r="F2782" s="195">
        <v>213</v>
      </c>
      <c r="G2782" s="197">
        <f>Tabla110[[#This Row],[Importe]]-Tabla110[[#This Row],[Pagado]]</f>
        <v>0</v>
      </c>
      <c r="H2782" s="194" t="s">
        <v>10</v>
      </c>
    </row>
    <row r="2783" spans="1:8" x14ac:dyDescent="0.25">
      <c r="A2783" s="127">
        <v>44828</v>
      </c>
      <c r="B2783" s="128" t="s">
        <v>30898</v>
      </c>
      <c r="C2783" s="194" t="s">
        <v>457</v>
      </c>
      <c r="D2783" s="195">
        <v>248</v>
      </c>
      <c r="E2783" s="196">
        <v>44828</v>
      </c>
      <c r="F2783" s="195">
        <v>248</v>
      </c>
      <c r="G2783" s="197">
        <f>Tabla110[[#This Row],[Importe]]-Tabla110[[#This Row],[Pagado]]</f>
        <v>0</v>
      </c>
      <c r="H2783" s="194" t="s">
        <v>10</v>
      </c>
    </row>
    <row r="2784" spans="1:8" x14ac:dyDescent="0.25">
      <c r="A2784" s="127">
        <v>44828</v>
      </c>
      <c r="B2784" s="128" t="s">
        <v>30899</v>
      </c>
      <c r="C2784" s="194" t="s">
        <v>69</v>
      </c>
      <c r="D2784" s="195">
        <v>1459.2</v>
      </c>
      <c r="E2784" s="196">
        <v>44828</v>
      </c>
      <c r="F2784" s="195">
        <v>1459.2</v>
      </c>
      <c r="G2784" s="197">
        <f>Tabla110[[#This Row],[Importe]]-Tabla110[[#This Row],[Pagado]]</f>
        <v>0</v>
      </c>
      <c r="H2784" s="194" t="s">
        <v>10</v>
      </c>
    </row>
    <row r="2785" spans="1:8" x14ac:dyDescent="0.25">
      <c r="A2785" s="127">
        <v>44828</v>
      </c>
      <c r="B2785" s="128" t="s">
        <v>30900</v>
      </c>
      <c r="C2785" s="194" t="s">
        <v>53</v>
      </c>
      <c r="D2785" s="195">
        <v>1848.6</v>
      </c>
      <c r="E2785" s="196">
        <v>44828</v>
      </c>
      <c r="F2785" s="195">
        <v>1848.6</v>
      </c>
      <c r="G2785" s="197">
        <f>Tabla110[[#This Row],[Importe]]-Tabla110[[#This Row],[Pagado]]</f>
        <v>0</v>
      </c>
      <c r="H2785" s="194" t="s">
        <v>10</v>
      </c>
    </row>
    <row r="2786" spans="1:8" x14ac:dyDescent="0.25">
      <c r="A2786" s="127">
        <v>44829</v>
      </c>
      <c r="B2786" s="128" t="s">
        <v>30901</v>
      </c>
      <c r="C2786" s="194" t="s">
        <v>481</v>
      </c>
      <c r="D2786" s="195">
        <v>1406.8</v>
      </c>
      <c r="E2786" s="196">
        <v>44829</v>
      </c>
      <c r="F2786" s="195">
        <v>1406.8</v>
      </c>
      <c r="G2786" s="197">
        <f>Tabla110[[#This Row],[Importe]]-Tabla110[[#This Row],[Pagado]]</f>
        <v>0</v>
      </c>
      <c r="H2786" s="194" t="s">
        <v>10</v>
      </c>
    </row>
    <row r="2787" spans="1:8" x14ac:dyDescent="0.25">
      <c r="A2787" s="127">
        <v>44829</v>
      </c>
      <c r="B2787" s="128" t="s">
        <v>30902</v>
      </c>
      <c r="C2787" s="194" t="s">
        <v>9</v>
      </c>
      <c r="D2787" s="195">
        <v>9822.4</v>
      </c>
      <c r="E2787" s="196">
        <v>44829</v>
      </c>
      <c r="F2787" s="195">
        <v>9822.4</v>
      </c>
      <c r="G2787" s="197">
        <f>Tabla110[[#This Row],[Importe]]-Tabla110[[#This Row],[Pagado]]</f>
        <v>0</v>
      </c>
      <c r="H2787" s="194" t="s">
        <v>10</v>
      </c>
    </row>
    <row r="2788" spans="1:8" x14ac:dyDescent="0.25">
      <c r="A2788" s="127">
        <v>44829</v>
      </c>
      <c r="B2788" s="128" t="s">
        <v>30903</v>
      </c>
      <c r="C2788" s="194" t="s">
        <v>12</v>
      </c>
      <c r="D2788" s="195">
        <v>25880.7</v>
      </c>
      <c r="E2788" s="196">
        <v>44830</v>
      </c>
      <c r="F2788" s="195">
        <v>25880.7</v>
      </c>
      <c r="G2788" s="197">
        <f>Tabla110[[#This Row],[Importe]]-Tabla110[[#This Row],[Pagado]]</f>
        <v>0</v>
      </c>
      <c r="H2788" s="194" t="s">
        <v>10</v>
      </c>
    </row>
    <row r="2789" spans="1:8" x14ac:dyDescent="0.25">
      <c r="A2789" s="127">
        <v>44829</v>
      </c>
      <c r="B2789" s="128" t="s">
        <v>30904</v>
      </c>
      <c r="C2789" s="194" t="s">
        <v>475</v>
      </c>
      <c r="D2789" s="195">
        <v>59127.4</v>
      </c>
      <c r="E2789" s="196">
        <v>44830</v>
      </c>
      <c r="F2789" s="195">
        <v>59127.4</v>
      </c>
      <c r="G2789" s="197">
        <f>Tabla110[[#This Row],[Importe]]-Tabla110[[#This Row],[Pagado]]</f>
        <v>0</v>
      </c>
      <c r="H2789" s="194" t="s">
        <v>10</v>
      </c>
    </row>
    <row r="2790" spans="1:8" x14ac:dyDescent="0.25">
      <c r="A2790" s="127">
        <v>44829</v>
      </c>
      <c r="B2790" s="128" t="s">
        <v>30905</v>
      </c>
      <c r="C2790" s="194" t="s">
        <v>12</v>
      </c>
      <c r="D2790" s="195">
        <v>380</v>
      </c>
      <c r="E2790" s="196">
        <v>44830</v>
      </c>
      <c r="F2790" s="195">
        <v>380</v>
      </c>
      <c r="G2790" s="197">
        <f>Tabla110[[#This Row],[Importe]]-Tabla110[[#This Row],[Pagado]]</f>
        <v>0</v>
      </c>
      <c r="H2790" s="194" t="s">
        <v>10</v>
      </c>
    </row>
    <row r="2791" spans="1:8" x14ac:dyDescent="0.25">
      <c r="A2791" s="127">
        <v>44829</v>
      </c>
      <c r="B2791" s="128" t="s">
        <v>30906</v>
      </c>
      <c r="C2791" s="194" t="s">
        <v>1187</v>
      </c>
      <c r="D2791" s="195">
        <v>2955</v>
      </c>
      <c r="E2791" s="196">
        <v>44829</v>
      </c>
      <c r="F2791" s="195">
        <v>2955</v>
      </c>
      <c r="G2791" s="197">
        <f>Tabla110[[#This Row],[Importe]]-Tabla110[[#This Row],[Pagado]]</f>
        <v>0</v>
      </c>
      <c r="H2791" s="194" t="s">
        <v>10</v>
      </c>
    </row>
    <row r="2792" spans="1:8" x14ac:dyDescent="0.25">
      <c r="A2792" s="127">
        <v>44829</v>
      </c>
      <c r="B2792" s="128" t="s">
        <v>30907</v>
      </c>
      <c r="C2792" s="194" t="s">
        <v>20</v>
      </c>
      <c r="D2792" s="195">
        <v>2688</v>
      </c>
      <c r="E2792" s="196">
        <v>44829</v>
      </c>
      <c r="F2792" s="195">
        <v>2688</v>
      </c>
      <c r="G2792" s="197">
        <f>Tabla110[[#This Row],[Importe]]-Tabla110[[#This Row],[Pagado]]</f>
        <v>0</v>
      </c>
      <c r="H2792" s="194" t="s">
        <v>10</v>
      </c>
    </row>
    <row r="2793" spans="1:8" x14ac:dyDescent="0.25">
      <c r="A2793" s="127">
        <v>44829</v>
      </c>
      <c r="B2793" s="128" t="s">
        <v>30908</v>
      </c>
      <c r="C2793" s="194" t="s">
        <v>501</v>
      </c>
      <c r="D2793" s="195">
        <v>2352</v>
      </c>
      <c r="E2793" s="196">
        <v>44829</v>
      </c>
      <c r="F2793" s="195">
        <v>2352</v>
      </c>
      <c r="G2793" s="197">
        <f>Tabla110[[#This Row],[Importe]]-Tabla110[[#This Row],[Pagado]]</f>
        <v>0</v>
      </c>
      <c r="H2793" s="194" t="s">
        <v>10</v>
      </c>
    </row>
    <row r="2794" spans="1:8" x14ac:dyDescent="0.25">
      <c r="A2794" s="127">
        <v>44829</v>
      </c>
      <c r="B2794" s="128" t="s">
        <v>30909</v>
      </c>
      <c r="C2794" s="194" t="s">
        <v>20</v>
      </c>
      <c r="D2794" s="195">
        <v>13576.6</v>
      </c>
      <c r="E2794" s="196">
        <v>44829</v>
      </c>
      <c r="F2794" s="195">
        <v>13576.6</v>
      </c>
      <c r="G2794" s="197">
        <f>Tabla110[[#This Row],[Importe]]-Tabla110[[#This Row],[Pagado]]</f>
        <v>0</v>
      </c>
      <c r="H2794" s="194" t="s">
        <v>10</v>
      </c>
    </row>
    <row r="2795" spans="1:8" x14ac:dyDescent="0.25">
      <c r="A2795" s="127">
        <v>44829</v>
      </c>
      <c r="B2795" s="128" t="s">
        <v>30910</v>
      </c>
      <c r="C2795" s="194" t="s">
        <v>20</v>
      </c>
      <c r="D2795" s="195">
        <v>264.60000000000002</v>
      </c>
      <c r="E2795" s="196">
        <v>44829</v>
      </c>
      <c r="F2795" s="195">
        <v>264.60000000000002</v>
      </c>
      <c r="G2795" s="197">
        <f>Tabla110[[#This Row],[Importe]]-Tabla110[[#This Row],[Pagado]]</f>
        <v>0</v>
      </c>
      <c r="H2795" s="194" t="s">
        <v>10</v>
      </c>
    </row>
    <row r="2796" spans="1:8" x14ac:dyDescent="0.25">
      <c r="A2796" s="127">
        <v>44829</v>
      </c>
      <c r="B2796" s="128" t="s">
        <v>30911</v>
      </c>
      <c r="C2796" s="194" t="s">
        <v>16</v>
      </c>
      <c r="D2796" s="195">
        <v>11888.4</v>
      </c>
      <c r="E2796" s="196">
        <v>44829</v>
      </c>
      <c r="F2796" s="195">
        <v>11888.4</v>
      </c>
      <c r="G2796" s="197">
        <f>Tabla110[[#This Row],[Importe]]-Tabla110[[#This Row],[Pagado]]</f>
        <v>0</v>
      </c>
      <c r="H2796" s="194" t="s">
        <v>10</v>
      </c>
    </row>
    <row r="2797" spans="1:8" x14ac:dyDescent="0.25">
      <c r="A2797" s="127">
        <v>44829</v>
      </c>
      <c r="B2797" s="128" t="s">
        <v>30912</v>
      </c>
      <c r="C2797" s="194" t="s">
        <v>29</v>
      </c>
      <c r="D2797" s="195">
        <v>12114.4</v>
      </c>
      <c r="E2797" s="196">
        <v>44829</v>
      </c>
      <c r="F2797" s="195">
        <v>12114.4</v>
      </c>
      <c r="G2797" s="197">
        <f>Tabla110[[#This Row],[Importe]]-Tabla110[[#This Row],[Pagado]]</f>
        <v>0</v>
      </c>
      <c r="H2797" s="194" t="s">
        <v>10</v>
      </c>
    </row>
    <row r="2798" spans="1:8" x14ac:dyDescent="0.25">
      <c r="A2798" s="127">
        <v>44829</v>
      </c>
      <c r="B2798" s="128" t="s">
        <v>30913</v>
      </c>
      <c r="C2798" s="194" t="s">
        <v>27</v>
      </c>
      <c r="D2798" s="195">
        <v>1943.4</v>
      </c>
      <c r="E2798" s="196">
        <v>44829</v>
      </c>
      <c r="F2798" s="195">
        <v>1943.4</v>
      </c>
      <c r="G2798" s="197">
        <f>Tabla110[[#This Row],[Importe]]-Tabla110[[#This Row],[Pagado]]</f>
        <v>0</v>
      </c>
      <c r="H2798" s="194" t="s">
        <v>10</v>
      </c>
    </row>
    <row r="2799" spans="1:8" x14ac:dyDescent="0.25">
      <c r="A2799" s="127">
        <v>44829</v>
      </c>
      <c r="B2799" s="128" t="s">
        <v>30914</v>
      </c>
      <c r="C2799" s="194" t="s">
        <v>31</v>
      </c>
      <c r="D2799" s="195">
        <v>1296.9000000000001</v>
      </c>
      <c r="E2799" s="196">
        <v>44829</v>
      </c>
      <c r="F2799" s="195">
        <v>1296.9000000000001</v>
      </c>
      <c r="G2799" s="197">
        <f>Tabla110[[#This Row],[Importe]]-Tabla110[[#This Row],[Pagado]]</f>
        <v>0</v>
      </c>
      <c r="H2799" s="194" t="s">
        <v>10</v>
      </c>
    </row>
    <row r="2800" spans="1:8" x14ac:dyDescent="0.25">
      <c r="A2800" s="127">
        <v>44829</v>
      </c>
      <c r="B2800" s="128" t="s">
        <v>30915</v>
      </c>
      <c r="C2800" s="194" t="s">
        <v>24</v>
      </c>
      <c r="D2800" s="195">
        <v>2887.5</v>
      </c>
      <c r="E2800" s="196">
        <v>44829</v>
      </c>
      <c r="F2800" s="195">
        <v>2887.5</v>
      </c>
      <c r="G2800" s="197">
        <f>Tabla110[[#This Row],[Importe]]-Tabla110[[#This Row],[Pagado]]</f>
        <v>0</v>
      </c>
      <c r="H2800" s="194" t="s">
        <v>10</v>
      </c>
    </row>
    <row r="2801" spans="1:8" x14ac:dyDescent="0.25">
      <c r="A2801" s="127">
        <v>44829</v>
      </c>
      <c r="B2801" s="128" t="s">
        <v>30916</v>
      </c>
      <c r="C2801" s="194" t="s">
        <v>24</v>
      </c>
      <c r="D2801" s="195">
        <v>972</v>
      </c>
      <c r="E2801" s="196">
        <v>44829</v>
      </c>
      <c r="F2801" s="195">
        <v>972</v>
      </c>
      <c r="G2801" s="197">
        <f>Tabla110[[#This Row],[Importe]]-Tabla110[[#This Row],[Pagado]]</f>
        <v>0</v>
      </c>
      <c r="H2801" s="194" t="s">
        <v>10</v>
      </c>
    </row>
    <row r="2802" spans="1:8" x14ac:dyDescent="0.25">
      <c r="A2802" s="127">
        <v>44829</v>
      </c>
      <c r="B2802" s="128" t="s">
        <v>30917</v>
      </c>
      <c r="C2802" s="194" t="s">
        <v>37</v>
      </c>
      <c r="D2802" s="195">
        <v>2058.1999999999998</v>
      </c>
      <c r="E2802" s="196">
        <v>44829</v>
      </c>
      <c r="F2802" s="195">
        <v>2058.1999999999998</v>
      </c>
      <c r="G2802" s="197">
        <f>Tabla110[[#This Row],[Importe]]-Tabla110[[#This Row],[Pagado]]</f>
        <v>0</v>
      </c>
      <c r="H2802" s="194" t="s">
        <v>10</v>
      </c>
    </row>
    <row r="2803" spans="1:8" x14ac:dyDescent="0.25">
      <c r="A2803" s="127">
        <v>44829</v>
      </c>
      <c r="B2803" s="128" t="s">
        <v>30918</v>
      </c>
      <c r="C2803" s="194" t="s">
        <v>815</v>
      </c>
      <c r="D2803" s="195">
        <v>1496</v>
      </c>
      <c r="E2803" s="196">
        <v>44829</v>
      </c>
      <c r="F2803" s="195">
        <v>1496</v>
      </c>
      <c r="G2803" s="197">
        <f>Tabla110[[#This Row],[Importe]]-Tabla110[[#This Row],[Pagado]]</f>
        <v>0</v>
      </c>
      <c r="H2803" s="194" t="s">
        <v>10</v>
      </c>
    </row>
    <row r="2804" spans="1:8" x14ac:dyDescent="0.25">
      <c r="A2804" s="127">
        <v>44829</v>
      </c>
      <c r="B2804" s="128" t="s">
        <v>30919</v>
      </c>
      <c r="C2804" s="194" t="s">
        <v>31</v>
      </c>
      <c r="D2804" s="195">
        <v>1723.8</v>
      </c>
      <c r="E2804" s="196">
        <v>44829</v>
      </c>
      <c r="F2804" s="195">
        <v>1723.8</v>
      </c>
      <c r="G2804" s="197">
        <f>Tabla110[[#This Row],[Importe]]-Tabla110[[#This Row],[Pagado]]</f>
        <v>0</v>
      </c>
      <c r="H2804" s="194" t="s">
        <v>10</v>
      </c>
    </row>
    <row r="2805" spans="1:8" x14ac:dyDescent="0.25">
      <c r="A2805" s="127">
        <v>44829</v>
      </c>
      <c r="B2805" s="128" t="s">
        <v>30920</v>
      </c>
      <c r="C2805" s="194" t="s">
        <v>22</v>
      </c>
      <c r="D2805" s="195">
        <v>54559</v>
      </c>
      <c r="E2805" s="196">
        <v>44830</v>
      </c>
      <c r="F2805" s="195">
        <v>54559</v>
      </c>
      <c r="G2805" s="197">
        <f>Tabla110[[#This Row],[Importe]]-Tabla110[[#This Row],[Pagado]]</f>
        <v>0</v>
      </c>
      <c r="H2805" s="194" t="s">
        <v>10</v>
      </c>
    </row>
    <row r="2806" spans="1:8" x14ac:dyDescent="0.25">
      <c r="A2806" s="127">
        <v>44829</v>
      </c>
      <c r="B2806" s="128" t="s">
        <v>30921</v>
      </c>
      <c r="C2806" s="194" t="s">
        <v>31</v>
      </c>
      <c r="D2806" s="195">
        <v>1945.6</v>
      </c>
      <c r="E2806" s="196">
        <v>44829</v>
      </c>
      <c r="F2806" s="195">
        <v>1945.6</v>
      </c>
      <c r="G2806" s="197">
        <f>Tabla110[[#This Row],[Importe]]-Tabla110[[#This Row],[Pagado]]</f>
        <v>0</v>
      </c>
      <c r="H2806" s="194" t="s">
        <v>10</v>
      </c>
    </row>
    <row r="2807" spans="1:8" x14ac:dyDescent="0.25">
      <c r="A2807" s="127">
        <v>44829</v>
      </c>
      <c r="B2807" s="128" t="s">
        <v>30922</v>
      </c>
      <c r="C2807" s="194" t="s">
        <v>49</v>
      </c>
      <c r="D2807" s="195">
        <v>3262</v>
      </c>
      <c r="E2807" s="196">
        <v>44829</v>
      </c>
      <c r="F2807" s="195">
        <v>3262</v>
      </c>
      <c r="G2807" s="197">
        <f>Tabla110[[#This Row],[Importe]]-Tabla110[[#This Row],[Pagado]]</f>
        <v>0</v>
      </c>
      <c r="H2807" s="194" t="s">
        <v>10</v>
      </c>
    </row>
    <row r="2808" spans="1:8" x14ac:dyDescent="0.25">
      <c r="A2808" s="127">
        <v>44829</v>
      </c>
      <c r="B2808" s="128" t="s">
        <v>30923</v>
      </c>
      <c r="C2808" s="194" t="s">
        <v>56</v>
      </c>
      <c r="D2808" s="195">
        <v>8836.4</v>
      </c>
      <c r="E2808" s="196">
        <v>44829</v>
      </c>
      <c r="F2808" s="195">
        <v>8836.4</v>
      </c>
      <c r="G2808" s="197">
        <f>Tabla110[[#This Row],[Importe]]-Tabla110[[#This Row],[Pagado]]</f>
        <v>0</v>
      </c>
      <c r="H2808" s="194" t="s">
        <v>10</v>
      </c>
    </row>
    <row r="2809" spans="1:8" x14ac:dyDescent="0.25">
      <c r="A2809" s="127">
        <v>44829</v>
      </c>
      <c r="B2809" s="128" t="s">
        <v>30924</v>
      </c>
      <c r="C2809" s="194" t="s">
        <v>224</v>
      </c>
      <c r="D2809" s="195">
        <v>3920.6</v>
      </c>
      <c r="E2809" s="196">
        <v>44829</v>
      </c>
      <c r="F2809" s="195">
        <v>3920.6</v>
      </c>
      <c r="G2809" s="197">
        <f>Tabla110[[#This Row],[Importe]]-Tabla110[[#This Row],[Pagado]]</f>
        <v>0</v>
      </c>
      <c r="H2809" s="194" t="s">
        <v>10</v>
      </c>
    </row>
    <row r="2810" spans="1:8" x14ac:dyDescent="0.25">
      <c r="A2810" s="127">
        <v>44829</v>
      </c>
      <c r="B2810" s="128" t="s">
        <v>30925</v>
      </c>
      <c r="C2810" s="194" t="s">
        <v>191</v>
      </c>
      <c r="D2810" s="195">
        <v>4034.8</v>
      </c>
      <c r="E2810" s="196">
        <v>44829</v>
      </c>
      <c r="F2810" s="195">
        <v>4034.8</v>
      </c>
      <c r="G2810" s="197">
        <f>Tabla110[[#This Row],[Importe]]-Tabla110[[#This Row],[Pagado]]</f>
        <v>0</v>
      </c>
      <c r="H2810" s="194" t="s">
        <v>10</v>
      </c>
    </row>
    <row r="2811" spans="1:8" x14ac:dyDescent="0.25">
      <c r="A2811" s="127">
        <v>44829</v>
      </c>
      <c r="B2811" s="128" t="s">
        <v>30926</v>
      </c>
      <c r="C2811" s="194" t="s">
        <v>1003</v>
      </c>
      <c r="D2811" s="195">
        <v>12276</v>
      </c>
      <c r="E2811" s="196">
        <v>44830</v>
      </c>
      <c r="F2811" s="195">
        <v>12276</v>
      </c>
      <c r="G2811" s="197">
        <f>Tabla110[[#This Row],[Importe]]-Tabla110[[#This Row],[Pagado]]</f>
        <v>0</v>
      </c>
      <c r="H2811" s="194" t="s">
        <v>10</v>
      </c>
    </row>
    <row r="2812" spans="1:8" x14ac:dyDescent="0.25">
      <c r="A2812" s="127">
        <v>44829</v>
      </c>
      <c r="B2812" s="128" t="s">
        <v>30927</v>
      </c>
      <c r="C2812" s="194" t="s">
        <v>382</v>
      </c>
      <c r="D2812" s="195">
        <v>7676.9</v>
      </c>
      <c r="E2812" s="196">
        <v>44829</v>
      </c>
      <c r="F2812" s="195">
        <v>7676.9</v>
      </c>
      <c r="G2812" s="197">
        <f>Tabla110[[#This Row],[Importe]]-Tabla110[[#This Row],[Pagado]]</f>
        <v>0</v>
      </c>
      <c r="H2812" s="194" t="s">
        <v>10</v>
      </c>
    </row>
    <row r="2813" spans="1:8" x14ac:dyDescent="0.25">
      <c r="A2813" s="127">
        <v>44829</v>
      </c>
      <c r="B2813" s="128" t="s">
        <v>30928</v>
      </c>
      <c r="C2813" s="194" t="s">
        <v>216</v>
      </c>
      <c r="D2813" s="195">
        <v>2933.6</v>
      </c>
      <c r="E2813" s="196">
        <v>44829</v>
      </c>
      <c r="F2813" s="195">
        <v>2933.6</v>
      </c>
      <c r="G2813" s="197">
        <f>Tabla110[[#This Row],[Importe]]-Tabla110[[#This Row],[Pagado]]</f>
        <v>0</v>
      </c>
      <c r="H2813" s="194" t="s">
        <v>10</v>
      </c>
    </row>
    <row r="2814" spans="1:8" x14ac:dyDescent="0.25">
      <c r="A2814" s="127">
        <v>44829</v>
      </c>
      <c r="B2814" s="128" t="s">
        <v>30929</v>
      </c>
      <c r="C2814" s="194" t="s">
        <v>6252</v>
      </c>
      <c r="D2814" s="195">
        <v>0</v>
      </c>
      <c r="E2814" s="199" t="s">
        <v>189</v>
      </c>
      <c r="F2814" s="195">
        <v>0</v>
      </c>
      <c r="G2814" s="197">
        <f>Tabla110[[#This Row],[Importe]]-Tabla110[[#This Row],[Pagado]]</f>
        <v>0</v>
      </c>
      <c r="H2814" s="200" t="s">
        <v>30930</v>
      </c>
    </row>
    <row r="2815" spans="1:8" x14ac:dyDescent="0.25">
      <c r="A2815" s="127">
        <v>44829</v>
      </c>
      <c r="B2815" s="128" t="s">
        <v>30931</v>
      </c>
      <c r="C2815" s="194" t="s">
        <v>348</v>
      </c>
      <c r="D2815" s="195">
        <v>2425.5</v>
      </c>
      <c r="E2815" s="196">
        <v>44829</v>
      </c>
      <c r="F2815" s="195">
        <v>2425.5</v>
      </c>
      <c r="G2815" s="197">
        <f>Tabla110[[#This Row],[Importe]]-Tabla110[[#This Row],[Pagado]]</f>
        <v>0</v>
      </c>
      <c r="H2815" s="194" t="s">
        <v>10</v>
      </c>
    </row>
    <row r="2816" spans="1:8" x14ac:dyDescent="0.25">
      <c r="A2816" s="127">
        <v>44829</v>
      </c>
      <c r="B2816" s="128" t="s">
        <v>30932</v>
      </c>
      <c r="C2816" s="194" t="s">
        <v>45</v>
      </c>
      <c r="D2816" s="195">
        <v>8471.2000000000007</v>
      </c>
      <c r="E2816" s="196">
        <v>44829</v>
      </c>
      <c r="F2816" s="195">
        <v>8471.2000000000007</v>
      </c>
      <c r="G2816" s="197">
        <f>Tabla110[[#This Row],[Importe]]-Tabla110[[#This Row],[Pagado]]</f>
        <v>0</v>
      </c>
      <c r="H2816" s="194" t="s">
        <v>10</v>
      </c>
    </row>
    <row r="2817" spans="1:8" x14ac:dyDescent="0.25">
      <c r="A2817" s="127">
        <v>44829</v>
      </c>
      <c r="B2817" s="128" t="s">
        <v>30933</v>
      </c>
      <c r="C2817" s="194" t="s">
        <v>296</v>
      </c>
      <c r="D2817" s="195">
        <v>2628.6</v>
      </c>
      <c r="E2817" s="196">
        <v>44829</v>
      </c>
      <c r="F2817" s="195">
        <v>2628.6</v>
      </c>
      <c r="G2817" s="197">
        <f>Tabla110[[#This Row],[Importe]]-Tabla110[[#This Row],[Pagado]]</f>
        <v>0</v>
      </c>
      <c r="H2817" s="194" t="s">
        <v>10</v>
      </c>
    </row>
    <row r="2818" spans="1:8" x14ac:dyDescent="0.25">
      <c r="A2818" s="127">
        <v>44829</v>
      </c>
      <c r="B2818" s="128" t="s">
        <v>30934</v>
      </c>
      <c r="C2818" s="194" t="s">
        <v>9827</v>
      </c>
      <c r="D2818" s="195">
        <v>4453.6000000000004</v>
      </c>
      <c r="E2818" s="196">
        <v>44829</v>
      </c>
      <c r="F2818" s="195">
        <v>4453.6000000000004</v>
      </c>
      <c r="G2818" s="197">
        <f>Tabla110[[#This Row],[Importe]]-Tabla110[[#This Row],[Pagado]]</f>
        <v>0</v>
      </c>
      <c r="H2818" s="194" t="s">
        <v>10</v>
      </c>
    </row>
    <row r="2819" spans="1:8" x14ac:dyDescent="0.25">
      <c r="A2819" s="127">
        <v>44829</v>
      </c>
      <c r="B2819" s="128" t="s">
        <v>30935</v>
      </c>
      <c r="C2819" s="194" t="s">
        <v>67</v>
      </c>
      <c r="D2819" s="195">
        <v>2872.1</v>
      </c>
      <c r="E2819" s="196">
        <v>44829</v>
      </c>
      <c r="F2819" s="195">
        <v>2872.1</v>
      </c>
      <c r="G2819" s="197">
        <f>Tabla110[[#This Row],[Importe]]-Tabla110[[#This Row],[Pagado]]</f>
        <v>0</v>
      </c>
      <c r="H2819" s="194" t="s">
        <v>10</v>
      </c>
    </row>
    <row r="2820" spans="1:8" x14ac:dyDescent="0.25">
      <c r="A2820" s="127">
        <v>44829</v>
      </c>
      <c r="B2820" s="128" t="s">
        <v>30936</v>
      </c>
      <c r="C2820" s="194" t="s">
        <v>28087</v>
      </c>
      <c r="D2820" s="195">
        <v>1530</v>
      </c>
      <c r="E2820" s="196">
        <v>44829</v>
      </c>
      <c r="F2820" s="195">
        <v>1530</v>
      </c>
      <c r="G2820" s="197">
        <f>Tabla110[[#This Row],[Importe]]-Tabla110[[#This Row],[Pagado]]</f>
        <v>0</v>
      </c>
      <c r="H2820" s="194" t="s">
        <v>10</v>
      </c>
    </row>
    <row r="2821" spans="1:8" x14ac:dyDescent="0.25">
      <c r="A2821" s="127">
        <v>44829</v>
      </c>
      <c r="B2821" s="128" t="s">
        <v>30937</v>
      </c>
      <c r="C2821" s="194" t="s">
        <v>11383</v>
      </c>
      <c r="D2821" s="195">
        <v>17530.5</v>
      </c>
      <c r="E2821" s="196">
        <v>44829</v>
      </c>
      <c r="F2821" s="195">
        <v>17530.5</v>
      </c>
      <c r="G2821" s="197">
        <f>Tabla110[[#This Row],[Importe]]-Tabla110[[#This Row],[Pagado]]</f>
        <v>0</v>
      </c>
      <c r="H2821" s="194" t="s">
        <v>10</v>
      </c>
    </row>
    <row r="2822" spans="1:8" x14ac:dyDescent="0.25">
      <c r="A2822" s="127">
        <v>44829</v>
      </c>
      <c r="B2822" s="128" t="s">
        <v>30938</v>
      </c>
      <c r="C2822" s="194" t="s">
        <v>71</v>
      </c>
      <c r="D2822" s="195">
        <v>1506</v>
      </c>
      <c r="E2822" s="196">
        <v>44829</v>
      </c>
      <c r="F2822" s="195">
        <v>1506</v>
      </c>
      <c r="G2822" s="197">
        <f>Tabla110[[#This Row],[Importe]]-Tabla110[[#This Row],[Pagado]]</f>
        <v>0</v>
      </c>
      <c r="H2822" s="194" t="s">
        <v>10</v>
      </c>
    </row>
    <row r="2823" spans="1:8" x14ac:dyDescent="0.25">
      <c r="A2823" s="127">
        <v>44829</v>
      </c>
      <c r="B2823" s="128" t="s">
        <v>30939</v>
      </c>
      <c r="C2823" s="194" t="s">
        <v>24284</v>
      </c>
      <c r="D2823" s="195">
        <v>798</v>
      </c>
      <c r="E2823" s="196">
        <v>44829</v>
      </c>
      <c r="F2823" s="195">
        <v>798</v>
      </c>
      <c r="G2823" s="197">
        <f>Tabla110[[#This Row],[Importe]]-Tabla110[[#This Row],[Pagado]]</f>
        <v>0</v>
      </c>
      <c r="H2823" s="194" t="s">
        <v>10</v>
      </c>
    </row>
    <row r="2824" spans="1:8" x14ac:dyDescent="0.25">
      <c r="A2824" s="127">
        <v>44829</v>
      </c>
      <c r="B2824" s="128" t="s">
        <v>30940</v>
      </c>
      <c r="C2824" s="194" t="s">
        <v>214</v>
      </c>
      <c r="D2824" s="195">
        <v>2173.6</v>
      </c>
      <c r="E2824" s="196">
        <v>44829</v>
      </c>
      <c r="F2824" s="195">
        <v>2173.6</v>
      </c>
      <c r="G2824" s="197">
        <f>Tabla110[[#This Row],[Importe]]-Tabla110[[#This Row],[Pagado]]</f>
        <v>0</v>
      </c>
      <c r="H2824" s="194" t="s">
        <v>10</v>
      </c>
    </row>
    <row r="2825" spans="1:8" x14ac:dyDescent="0.25">
      <c r="A2825" s="127">
        <v>44829</v>
      </c>
      <c r="B2825" s="128" t="s">
        <v>30941</v>
      </c>
      <c r="C2825" s="194" t="s">
        <v>24</v>
      </c>
      <c r="D2825" s="195">
        <v>3642.1</v>
      </c>
      <c r="E2825" s="196">
        <v>44829</v>
      </c>
      <c r="F2825" s="195">
        <v>3642.1</v>
      </c>
      <c r="G2825" s="197">
        <f>Tabla110[[#This Row],[Importe]]-Tabla110[[#This Row],[Pagado]]</f>
        <v>0</v>
      </c>
      <c r="H2825" s="194" t="s">
        <v>10</v>
      </c>
    </row>
    <row r="2826" spans="1:8" x14ac:dyDescent="0.25">
      <c r="A2826" s="127">
        <v>44829</v>
      </c>
      <c r="B2826" s="128" t="s">
        <v>30942</v>
      </c>
      <c r="C2826" s="194" t="s">
        <v>75</v>
      </c>
      <c r="D2826" s="195">
        <v>11012.4</v>
      </c>
      <c r="E2826" s="196">
        <v>44829</v>
      </c>
      <c r="F2826" s="195">
        <v>11012.4</v>
      </c>
      <c r="G2826" s="197">
        <f>Tabla110[[#This Row],[Importe]]-Tabla110[[#This Row],[Pagado]]</f>
        <v>0</v>
      </c>
      <c r="H2826" s="194" t="s">
        <v>10</v>
      </c>
    </row>
    <row r="2827" spans="1:8" x14ac:dyDescent="0.25">
      <c r="A2827" s="127">
        <v>44829</v>
      </c>
      <c r="B2827" s="128" t="s">
        <v>30943</v>
      </c>
      <c r="C2827" s="194" t="s">
        <v>994</v>
      </c>
      <c r="D2827" s="195">
        <v>2611.6999999999998</v>
      </c>
      <c r="E2827" s="196">
        <v>44829</v>
      </c>
      <c r="F2827" s="195">
        <v>2611.6999999999998</v>
      </c>
      <c r="G2827" s="197">
        <f>Tabla110[[#This Row],[Importe]]-Tabla110[[#This Row],[Pagado]]</f>
        <v>0</v>
      </c>
      <c r="H2827" s="194" t="s">
        <v>10</v>
      </c>
    </row>
    <row r="2828" spans="1:8" x14ac:dyDescent="0.25">
      <c r="A2828" s="127">
        <v>44829</v>
      </c>
      <c r="B2828" s="128" t="s">
        <v>30944</v>
      </c>
      <c r="C2828" s="194" t="s">
        <v>16</v>
      </c>
      <c r="D2828" s="195">
        <v>1566</v>
      </c>
      <c r="E2828" s="196">
        <v>44829</v>
      </c>
      <c r="F2828" s="195">
        <v>1566</v>
      </c>
      <c r="G2828" s="197">
        <f>Tabla110[[#This Row],[Importe]]-Tabla110[[#This Row],[Pagado]]</f>
        <v>0</v>
      </c>
      <c r="H2828" s="194" t="s">
        <v>10</v>
      </c>
    </row>
    <row r="2829" spans="1:8" x14ac:dyDescent="0.25">
      <c r="A2829" s="127">
        <v>44829</v>
      </c>
      <c r="B2829" s="128" t="s">
        <v>30945</v>
      </c>
      <c r="C2829" s="194" t="s">
        <v>296</v>
      </c>
      <c r="D2829" s="195">
        <v>3440.1</v>
      </c>
      <c r="E2829" s="196">
        <v>44829</v>
      </c>
      <c r="F2829" s="195">
        <v>3440.1</v>
      </c>
      <c r="G2829" s="197">
        <f>Tabla110[[#This Row],[Importe]]-Tabla110[[#This Row],[Pagado]]</f>
        <v>0</v>
      </c>
      <c r="H2829" s="194" t="s">
        <v>10</v>
      </c>
    </row>
    <row r="2830" spans="1:8" x14ac:dyDescent="0.25">
      <c r="A2830" s="127">
        <v>44829</v>
      </c>
      <c r="B2830" s="128" t="s">
        <v>30946</v>
      </c>
      <c r="C2830" s="194" t="s">
        <v>31</v>
      </c>
      <c r="D2830" s="195">
        <v>100</v>
      </c>
      <c r="E2830" s="196">
        <v>44829</v>
      </c>
      <c r="F2830" s="195">
        <v>100</v>
      </c>
      <c r="G2830" s="197">
        <f>Tabla110[[#This Row],[Importe]]-Tabla110[[#This Row],[Pagado]]</f>
        <v>0</v>
      </c>
      <c r="H2830" s="194" t="s">
        <v>10</v>
      </c>
    </row>
    <row r="2831" spans="1:8" x14ac:dyDescent="0.25">
      <c r="A2831" s="127">
        <v>44829</v>
      </c>
      <c r="B2831" s="128" t="s">
        <v>30947</v>
      </c>
      <c r="C2831" s="194" t="s">
        <v>69</v>
      </c>
      <c r="D2831" s="195">
        <v>1474.4</v>
      </c>
      <c r="E2831" s="196">
        <v>44829</v>
      </c>
      <c r="F2831" s="195">
        <v>1474.4</v>
      </c>
      <c r="G2831" s="197">
        <f>Tabla110[[#This Row],[Importe]]-Tabla110[[#This Row],[Pagado]]</f>
        <v>0</v>
      </c>
      <c r="H2831" s="194" t="s">
        <v>10</v>
      </c>
    </row>
    <row r="2832" spans="1:8" x14ac:dyDescent="0.25">
      <c r="A2832" s="127">
        <v>44829</v>
      </c>
      <c r="B2832" s="128" t="s">
        <v>30948</v>
      </c>
      <c r="C2832" s="194" t="s">
        <v>67</v>
      </c>
      <c r="D2832" s="195">
        <v>180.2</v>
      </c>
      <c r="E2832" s="196">
        <v>44829</v>
      </c>
      <c r="F2832" s="195">
        <v>180.2</v>
      </c>
      <c r="G2832" s="197">
        <f>Tabla110[[#This Row],[Importe]]-Tabla110[[#This Row],[Pagado]]</f>
        <v>0</v>
      </c>
      <c r="H2832" s="194" t="s">
        <v>10</v>
      </c>
    </row>
    <row r="2833" spans="1:8" x14ac:dyDescent="0.25">
      <c r="A2833" s="127">
        <v>44829</v>
      </c>
      <c r="B2833" s="128" t="s">
        <v>30949</v>
      </c>
      <c r="C2833" s="194" t="s">
        <v>31</v>
      </c>
      <c r="D2833" s="195">
        <v>50</v>
      </c>
      <c r="E2833" s="196">
        <v>44829</v>
      </c>
      <c r="F2833" s="195">
        <v>50</v>
      </c>
      <c r="G2833" s="197">
        <f>Tabla110[[#This Row],[Importe]]-Tabla110[[#This Row],[Pagado]]</f>
        <v>0</v>
      </c>
      <c r="H2833" s="194" t="s">
        <v>10</v>
      </c>
    </row>
    <row r="2834" spans="1:8" x14ac:dyDescent="0.25">
      <c r="A2834" s="127">
        <v>44829</v>
      </c>
      <c r="B2834" s="128" t="s">
        <v>30950</v>
      </c>
      <c r="C2834" s="194" t="s">
        <v>296</v>
      </c>
      <c r="D2834" s="195">
        <v>729.8</v>
      </c>
      <c r="E2834" s="196">
        <v>44829</v>
      </c>
      <c r="F2834" s="195">
        <v>729.8</v>
      </c>
      <c r="G2834" s="197">
        <f>Tabla110[[#This Row],[Importe]]-Tabla110[[#This Row],[Pagado]]</f>
        <v>0</v>
      </c>
      <c r="H2834" s="194" t="s">
        <v>10</v>
      </c>
    </row>
    <row r="2835" spans="1:8" x14ac:dyDescent="0.25">
      <c r="A2835" s="127">
        <v>44830</v>
      </c>
      <c r="B2835" s="128" t="s">
        <v>30951</v>
      </c>
      <c r="C2835" s="194" t="s">
        <v>887</v>
      </c>
      <c r="D2835" s="195">
        <v>17178.8</v>
      </c>
      <c r="E2835" s="196">
        <v>44830</v>
      </c>
      <c r="F2835" s="195">
        <v>17178.8</v>
      </c>
      <c r="G2835" s="197">
        <f>Tabla110[[#This Row],[Importe]]-Tabla110[[#This Row],[Pagado]]</f>
        <v>0</v>
      </c>
      <c r="H2835" s="194" t="s">
        <v>10</v>
      </c>
    </row>
    <row r="2836" spans="1:8" x14ac:dyDescent="0.25">
      <c r="A2836" s="127">
        <v>44830</v>
      </c>
      <c r="B2836" s="128" t="s">
        <v>30952</v>
      </c>
      <c r="C2836" s="194" t="s">
        <v>79</v>
      </c>
      <c r="D2836" s="195">
        <v>16150</v>
      </c>
      <c r="E2836" s="196">
        <v>44830</v>
      </c>
      <c r="F2836" s="195">
        <v>16150</v>
      </c>
      <c r="G2836" s="197">
        <f>Tabla110[[#This Row],[Importe]]-Tabla110[[#This Row],[Pagado]]</f>
        <v>0</v>
      </c>
      <c r="H2836" s="194" t="s">
        <v>10</v>
      </c>
    </row>
    <row r="2837" spans="1:8" x14ac:dyDescent="0.25">
      <c r="A2837" s="127">
        <v>44830</v>
      </c>
      <c r="B2837" s="128" t="s">
        <v>30953</v>
      </c>
      <c r="C2837" s="194" t="s">
        <v>30954</v>
      </c>
      <c r="D2837" s="195">
        <v>0</v>
      </c>
      <c r="E2837" s="199" t="s">
        <v>189</v>
      </c>
      <c r="F2837" s="195">
        <v>0</v>
      </c>
      <c r="G2837" s="197">
        <f>Tabla110[[#This Row],[Importe]]-Tabla110[[#This Row],[Pagado]]</f>
        <v>0</v>
      </c>
      <c r="H2837" s="200" t="s">
        <v>30955</v>
      </c>
    </row>
    <row r="2838" spans="1:8" ht="31.5" x14ac:dyDescent="0.25">
      <c r="A2838" s="127">
        <v>44830</v>
      </c>
      <c r="B2838" s="128" t="s">
        <v>30956</v>
      </c>
      <c r="C2838" s="194" t="s">
        <v>475</v>
      </c>
      <c r="D2838" s="195">
        <v>86730.8</v>
      </c>
      <c r="E2838" s="198" t="s">
        <v>30021</v>
      </c>
      <c r="F2838" s="195">
        <f>86000+730.8</f>
        <v>86730.8</v>
      </c>
      <c r="G2838" s="197">
        <f>Tabla110[[#This Row],[Importe]]-Tabla110[[#This Row],[Pagado]]</f>
        <v>0</v>
      </c>
      <c r="H2838" s="194" t="s">
        <v>10</v>
      </c>
    </row>
    <row r="2839" spans="1:8" x14ac:dyDescent="0.25">
      <c r="A2839" s="127">
        <v>44830</v>
      </c>
      <c r="B2839" s="128" t="s">
        <v>30957</v>
      </c>
      <c r="C2839" s="194" t="s">
        <v>12</v>
      </c>
      <c r="D2839" s="195">
        <v>29005.05</v>
      </c>
      <c r="E2839" s="196">
        <v>44831</v>
      </c>
      <c r="F2839" s="195">
        <v>29005.05</v>
      </c>
      <c r="G2839" s="197">
        <f>Tabla110[[#This Row],[Importe]]-Tabla110[[#This Row],[Pagado]]</f>
        <v>0</v>
      </c>
      <c r="H2839" s="194" t="s">
        <v>10</v>
      </c>
    </row>
    <row r="2840" spans="1:8" x14ac:dyDescent="0.25">
      <c r="A2840" s="127">
        <v>44830</v>
      </c>
      <c r="B2840" s="128" t="s">
        <v>30958</v>
      </c>
      <c r="C2840" s="194" t="s">
        <v>1187</v>
      </c>
      <c r="D2840" s="195">
        <v>2172.1999999999998</v>
      </c>
      <c r="E2840" s="196">
        <v>44830</v>
      </c>
      <c r="F2840" s="195">
        <v>2172.1999999999998</v>
      </c>
      <c r="G2840" s="197">
        <f>Tabla110[[#This Row],[Importe]]-Tabla110[[#This Row],[Pagado]]</f>
        <v>0</v>
      </c>
      <c r="H2840" s="194" t="s">
        <v>10</v>
      </c>
    </row>
    <row r="2841" spans="1:8" x14ac:dyDescent="0.25">
      <c r="A2841" s="127">
        <v>44830</v>
      </c>
      <c r="B2841" s="128" t="s">
        <v>30959</v>
      </c>
      <c r="C2841" s="194" t="s">
        <v>29341</v>
      </c>
      <c r="D2841" s="195">
        <v>3921.6</v>
      </c>
      <c r="E2841" s="196">
        <v>44830</v>
      </c>
      <c r="F2841" s="195">
        <v>3921.6</v>
      </c>
      <c r="G2841" s="197">
        <f>Tabla110[[#This Row],[Importe]]-Tabla110[[#This Row],[Pagado]]</f>
        <v>0</v>
      </c>
      <c r="H2841" s="194" t="s">
        <v>10</v>
      </c>
    </row>
    <row r="2842" spans="1:8" x14ac:dyDescent="0.25">
      <c r="A2842" s="127">
        <v>44830</v>
      </c>
      <c r="B2842" s="128" t="s">
        <v>30960</v>
      </c>
      <c r="C2842" s="194" t="s">
        <v>473</v>
      </c>
      <c r="D2842" s="195">
        <v>6245.2</v>
      </c>
      <c r="E2842" s="196">
        <v>44830</v>
      </c>
      <c r="F2842" s="195">
        <v>6245.2</v>
      </c>
      <c r="G2842" s="197">
        <f>Tabla110[[#This Row],[Importe]]-Tabla110[[#This Row],[Pagado]]</f>
        <v>0</v>
      </c>
      <c r="H2842" s="194" t="s">
        <v>10</v>
      </c>
    </row>
    <row r="2843" spans="1:8" x14ac:dyDescent="0.25">
      <c r="A2843" s="127">
        <v>44830</v>
      </c>
      <c r="B2843" s="128" t="s">
        <v>30961</v>
      </c>
      <c r="C2843" s="194" t="s">
        <v>1650</v>
      </c>
      <c r="D2843" s="195">
        <v>8983.2000000000007</v>
      </c>
      <c r="E2843" s="196">
        <v>44830</v>
      </c>
      <c r="F2843" s="195">
        <v>8983.2000000000007</v>
      </c>
      <c r="G2843" s="197">
        <f>Tabla110[[#This Row],[Importe]]-Tabla110[[#This Row],[Pagado]]</f>
        <v>0</v>
      </c>
      <c r="H2843" s="194" t="s">
        <v>10</v>
      </c>
    </row>
    <row r="2844" spans="1:8" x14ac:dyDescent="0.25">
      <c r="A2844" s="127">
        <v>44830</v>
      </c>
      <c r="B2844" s="128" t="s">
        <v>30962</v>
      </c>
      <c r="C2844" s="194" t="s">
        <v>353</v>
      </c>
      <c r="D2844" s="195">
        <v>3796.1</v>
      </c>
      <c r="E2844" s="196">
        <v>44830</v>
      </c>
      <c r="F2844" s="195">
        <v>3796.1</v>
      </c>
      <c r="G2844" s="197">
        <f>Tabla110[[#This Row],[Importe]]-Tabla110[[#This Row],[Pagado]]</f>
        <v>0</v>
      </c>
      <c r="H2844" s="194" t="s">
        <v>10</v>
      </c>
    </row>
    <row r="2845" spans="1:8" x14ac:dyDescent="0.25">
      <c r="A2845" s="127">
        <v>44830</v>
      </c>
      <c r="B2845" s="128" t="s">
        <v>30963</v>
      </c>
      <c r="C2845" s="194" t="s">
        <v>30029</v>
      </c>
      <c r="D2845" s="195">
        <v>1392</v>
      </c>
      <c r="E2845" s="196">
        <v>44831</v>
      </c>
      <c r="F2845" s="195">
        <v>1392</v>
      </c>
      <c r="G2845" s="197">
        <f>Tabla110[[#This Row],[Importe]]-Tabla110[[#This Row],[Pagado]]</f>
        <v>0</v>
      </c>
      <c r="H2845" s="194" t="s">
        <v>10</v>
      </c>
    </row>
    <row r="2846" spans="1:8" x14ac:dyDescent="0.25">
      <c r="A2846" s="127">
        <v>44830</v>
      </c>
      <c r="B2846" s="128" t="s">
        <v>30964</v>
      </c>
      <c r="C2846" s="194" t="s">
        <v>326</v>
      </c>
      <c r="D2846" s="195">
        <v>5199.2</v>
      </c>
      <c r="E2846" s="196">
        <v>44831</v>
      </c>
      <c r="F2846" s="195">
        <v>5199.2</v>
      </c>
      <c r="G2846" s="197">
        <f>Tabla110[[#This Row],[Importe]]-Tabla110[[#This Row],[Pagado]]</f>
        <v>0</v>
      </c>
      <c r="H2846" s="194" t="s">
        <v>10</v>
      </c>
    </row>
    <row r="2847" spans="1:8" x14ac:dyDescent="0.25">
      <c r="A2847" s="127">
        <v>44830</v>
      </c>
      <c r="B2847" s="128" t="s">
        <v>30965</v>
      </c>
      <c r="C2847" s="194" t="s">
        <v>111</v>
      </c>
      <c r="D2847" s="195">
        <v>6103.5</v>
      </c>
      <c r="E2847" s="196">
        <v>44831</v>
      </c>
      <c r="F2847" s="195">
        <v>6103.5</v>
      </c>
      <c r="G2847" s="197">
        <f>Tabla110[[#This Row],[Importe]]-Tabla110[[#This Row],[Pagado]]</f>
        <v>0</v>
      </c>
      <c r="H2847" s="194" t="s">
        <v>10</v>
      </c>
    </row>
    <row r="2848" spans="1:8" x14ac:dyDescent="0.25">
      <c r="A2848" s="127">
        <v>44830</v>
      </c>
      <c r="B2848" s="128" t="s">
        <v>30966</v>
      </c>
      <c r="C2848" s="194" t="s">
        <v>109</v>
      </c>
      <c r="D2848" s="195">
        <v>6181.5</v>
      </c>
      <c r="E2848" s="196">
        <v>44831</v>
      </c>
      <c r="F2848" s="195">
        <v>6181.5</v>
      </c>
      <c r="G2848" s="197">
        <f>Tabla110[[#This Row],[Importe]]-Tabla110[[#This Row],[Pagado]]</f>
        <v>0</v>
      </c>
      <c r="H2848" s="194" t="s">
        <v>10</v>
      </c>
    </row>
    <row r="2849" spans="1:8" x14ac:dyDescent="0.25">
      <c r="A2849" s="127">
        <v>44830</v>
      </c>
      <c r="B2849" s="128" t="s">
        <v>30967</v>
      </c>
      <c r="C2849" s="194" t="s">
        <v>60</v>
      </c>
      <c r="D2849" s="195">
        <v>5466.5</v>
      </c>
      <c r="E2849" s="196">
        <v>44833</v>
      </c>
      <c r="F2849" s="195">
        <v>5466.5</v>
      </c>
      <c r="G2849" s="197">
        <f>Tabla110[[#This Row],[Importe]]-Tabla110[[#This Row],[Pagado]]</f>
        <v>0</v>
      </c>
      <c r="H2849" s="194" t="s">
        <v>10</v>
      </c>
    </row>
    <row r="2850" spans="1:8" ht="31.5" x14ac:dyDescent="0.25">
      <c r="A2850" s="127">
        <v>44830</v>
      </c>
      <c r="B2850" s="128" t="s">
        <v>30968</v>
      </c>
      <c r="C2850" s="194" t="s">
        <v>93</v>
      </c>
      <c r="D2850" s="195">
        <v>9993.6</v>
      </c>
      <c r="E2850" s="198" t="s">
        <v>30969</v>
      </c>
      <c r="F2850" s="195">
        <f>3000+6993.6</f>
        <v>9993.6</v>
      </c>
      <c r="G2850" s="197">
        <f>Tabla110[[#This Row],[Importe]]-Tabla110[[#This Row],[Pagado]]</f>
        <v>0</v>
      </c>
      <c r="H2850" s="194" t="s">
        <v>10</v>
      </c>
    </row>
    <row r="2851" spans="1:8" x14ac:dyDescent="0.25">
      <c r="A2851" s="127">
        <v>44830</v>
      </c>
      <c r="B2851" s="128" t="s">
        <v>30970</v>
      </c>
      <c r="C2851" s="194" t="s">
        <v>64</v>
      </c>
      <c r="D2851" s="195">
        <v>5427.5</v>
      </c>
      <c r="E2851" s="196">
        <v>44831</v>
      </c>
      <c r="F2851" s="195">
        <v>5427.5</v>
      </c>
      <c r="G2851" s="197">
        <f>Tabla110[[#This Row],[Importe]]-Tabla110[[#This Row],[Pagado]]</f>
        <v>0</v>
      </c>
      <c r="H2851" s="194" t="s">
        <v>10</v>
      </c>
    </row>
    <row r="2852" spans="1:8" x14ac:dyDescent="0.25">
      <c r="A2852" s="127">
        <v>44830</v>
      </c>
      <c r="B2852" s="128" t="s">
        <v>30971</v>
      </c>
      <c r="C2852" s="194" t="s">
        <v>83</v>
      </c>
      <c r="D2852" s="195">
        <v>12879</v>
      </c>
      <c r="E2852" s="196">
        <v>44830</v>
      </c>
      <c r="F2852" s="195">
        <v>12879</v>
      </c>
      <c r="G2852" s="197">
        <f>Tabla110[[#This Row],[Importe]]-Tabla110[[#This Row],[Pagado]]</f>
        <v>0</v>
      </c>
      <c r="H2852" s="194" t="s">
        <v>10</v>
      </c>
    </row>
    <row r="2853" spans="1:8" x14ac:dyDescent="0.25">
      <c r="A2853" s="127">
        <v>44830</v>
      </c>
      <c r="B2853" s="128" t="s">
        <v>30972</v>
      </c>
      <c r="C2853" s="194" t="s">
        <v>87</v>
      </c>
      <c r="D2853" s="195">
        <v>3383</v>
      </c>
      <c r="E2853" s="196">
        <v>44830</v>
      </c>
      <c r="F2853" s="195">
        <v>3383</v>
      </c>
      <c r="G2853" s="197">
        <f>Tabla110[[#This Row],[Importe]]-Tabla110[[#This Row],[Pagado]]</f>
        <v>0</v>
      </c>
      <c r="H2853" s="194" t="s">
        <v>10</v>
      </c>
    </row>
    <row r="2854" spans="1:8" x14ac:dyDescent="0.25">
      <c r="A2854" s="127">
        <v>44830</v>
      </c>
      <c r="B2854" s="128" t="s">
        <v>30973</v>
      </c>
      <c r="C2854" s="194" t="s">
        <v>114</v>
      </c>
      <c r="D2854" s="195">
        <v>6079</v>
      </c>
      <c r="E2854" s="196">
        <v>44831</v>
      </c>
      <c r="F2854" s="195">
        <v>6079</v>
      </c>
      <c r="G2854" s="197">
        <f>Tabla110[[#This Row],[Importe]]-Tabla110[[#This Row],[Pagado]]</f>
        <v>0</v>
      </c>
      <c r="H2854" s="194" t="s">
        <v>10</v>
      </c>
    </row>
    <row r="2855" spans="1:8" x14ac:dyDescent="0.25">
      <c r="A2855" s="127">
        <v>44830</v>
      </c>
      <c r="B2855" s="128" t="s">
        <v>30974</v>
      </c>
      <c r="C2855" s="194" t="s">
        <v>105</v>
      </c>
      <c r="D2855" s="195">
        <v>7687</v>
      </c>
      <c r="E2855" s="196">
        <v>44831</v>
      </c>
      <c r="F2855" s="195">
        <v>7687</v>
      </c>
      <c r="G2855" s="197">
        <f>Tabla110[[#This Row],[Importe]]-Tabla110[[#This Row],[Pagado]]</f>
        <v>0</v>
      </c>
      <c r="H2855" s="194" t="s">
        <v>10</v>
      </c>
    </row>
    <row r="2856" spans="1:8" x14ac:dyDescent="0.25">
      <c r="A2856" s="127">
        <v>44830</v>
      </c>
      <c r="B2856" s="128" t="s">
        <v>30975</v>
      </c>
      <c r="C2856" s="194" t="s">
        <v>314</v>
      </c>
      <c r="D2856" s="195">
        <v>2743.6</v>
      </c>
      <c r="E2856" s="196">
        <v>44830</v>
      </c>
      <c r="F2856" s="195">
        <v>2743.6</v>
      </c>
      <c r="G2856" s="197">
        <f>Tabla110[[#This Row],[Importe]]-Tabla110[[#This Row],[Pagado]]</f>
        <v>0</v>
      </c>
      <c r="H2856" s="194" t="s">
        <v>10</v>
      </c>
    </row>
    <row r="2857" spans="1:8" x14ac:dyDescent="0.25">
      <c r="A2857" s="127">
        <v>44830</v>
      </c>
      <c r="B2857" s="128" t="s">
        <v>30976</v>
      </c>
      <c r="C2857" s="194" t="s">
        <v>312</v>
      </c>
      <c r="D2857" s="195">
        <v>1255</v>
      </c>
      <c r="E2857" s="196">
        <v>44830</v>
      </c>
      <c r="F2857" s="195">
        <v>1255</v>
      </c>
      <c r="G2857" s="197">
        <f>Tabla110[[#This Row],[Importe]]-Tabla110[[#This Row],[Pagado]]</f>
        <v>0</v>
      </c>
      <c r="H2857" s="194" t="s">
        <v>10</v>
      </c>
    </row>
    <row r="2858" spans="1:8" x14ac:dyDescent="0.25">
      <c r="A2858" s="127">
        <v>44830</v>
      </c>
      <c r="B2858" s="128" t="s">
        <v>30977</v>
      </c>
      <c r="C2858" s="194" t="s">
        <v>131</v>
      </c>
      <c r="D2858" s="195">
        <v>5829.6</v>
      </c>
      <c r="E2858" s="196">
        <v>44830</v>
      </c>
      <c r="F2858" s="195">
        <v>5829.6</v>
      </c>
      <c r="G2858" s="197">
        <f>Tabla110[[#This Row],[Importe]]-Tabla110[[#This Row],[Pagado]]</f>
        <v>0</v>
      </c>
      <c r="H2858" s="194" t="s">
        <v>10</v>
      </c>
    </row>
    <row r="2859" spans="1:8" x14ac:dyDescent="0.25">
      <c r="A2859" s="127">
        <v>44830</v>
      </c>
      <c r="B2859" s="128" t="s">
        <v>30978</v>
      </c>
      <c r="C2859" s="194" t="s">
        <v>89</v>
      </c>
      <c r="D2859" s="195">
        <v>9540</v>
      </c>
      <c r="E2859" s="196">
        <v>44831</v>
      </c>
      <c r="F2859" s="195">
        <v>9540</v>
      </c>
      <c r="G2859" s="197">
        <f>Tabla110[[#This Row],[Importe]]-Tabla110[[#This Row],[Pagado]]</f>
        <v>0</v>
      </c>
      <c r="H2859" s="194" t="s">
        <v>10</v>
      </c>
    </row>
    <row r="2860" spans="1:8" x14ac:dyDescent="0.25">
      <c r="A2860" s="127">
        <v>44830</v>
      </c>
      <c r="B2860" s="128" t="s">
        <v>30979</v>
      </c>
      <c r="C2860" s="194" t="s">
        <v>31</v>
      </c>
      <c r="D2860" s="195">
        <v>3768</v>
      </c>
      <c r="E2860" s="196">
        <v>44830</v>
      </c>
      <c r="F2860" s="195">
        <v>3768</v>
      </c>
      <c r="G2860" s="197">
        <f>Tabla110[[#This Row],[Importe]]-Tabla110[[#This Row],[Pagado]]</f>
        <v>0</v>
      </c>
      <c r="H2860" s="194" t="s">
        <v>10</v>
      </c>
    </row>
    <row r="2861" spans="1:8" x14ac:dyDescent="0.25">
      <c r="A2861" s="127">
        <v>44830</v>
      </c>
      <c r="B2861" s="128" t="s">
        <v>30980</v>
      </c>
      <c r="C2861" s="194" t="s">
        <v>345</v>
      </c>
      <c r="D2861" s="195">
        <v>729.8</v>
      </c>
      <c r="E2861" s="196">
        <v>44830</v>
      </c>
      <c r="F2861" s="195">
        <v>729.8</v>
      </c>
      <c r="G2861" s="197">
        <f>Tabla110[[#This Row],[Importe]]-Tabla110[[#This Row],[Pagado]]</f>
        <v>0</v>
      </c>
      <c r="H2861" s="194" t="s">
        <v>10</v>
      </c>
    </row>
    <row r="2862" spans="1:8" x14ac:dyDescent="0.25">
      <c r="A2862" s="127">
        <v>44830</v>
      </c>
      <c r="B2862" s="128" t="s">
        <v>30981</v>
      </c>
      <c r="C2862" s="194" t="s">
        <v>348</v>
      </c>
      <c r="D2862" s="195">
        <v>9045</v>
      </c>
      <c r="E2862" s="196">
        <v>44830</v>
      </c>
      <c r="F2862" s="195">
        <v>9045</v>
      </c>
      <c r="G2862" s="197">
        <f>Tabla110[[#This Row],[Importe]]-Tabla110[[#This Row],[Pagado]]</f>
        <v>0</v>
      </c>
      <c r="H2862" s="194" t="s">
        <v>10</v>
      </c>
    </row>
    <row r="2863" spans="1:8" x14ac:dyDescent="0.25">
      <c r="A2863" s="127">
        <v>44830</v>
      </c>
      <c r="B2863" s="128" t="s">
        <v>30982</v>
      </c>
      <c r="C2863" s="194" t="s">
        <v>97</v>
      </c>
      <c r="D2863" s="195">
        <v>14241.4</v>
      </c>
      <c r="E2863" s="196">
        <v>44831</v>
      </c>
      <c r="F2863" s="195">
        <v>14241.4</v>
      </c>
      <c r="G2863" s="197">
        <f>Tabla110[[#This Row],[Importe]]-Tabla110[[#This Row],[Pagado]]</f>
        <v>0</v>
      </c>
      <c r="H2863" s="194" t="s">
        <v>10</v>
      </c>
    </row>
    <row r="2864" spans="1:8" x14ac:dyDescent="0.25">
      <c r="A2864" s="127">
        <v>44830</v>
      </c>
      <c r="B2864" s="128" t="s">
        <v>30983</v>
      </c>
      <c r="C2864" s="194" t="s">
        <v>17556</v>
      </c>
      <c r="D2864" s="195">
        <v>4134.3999999999996</v>
      </c>
      <c r="E2864" s="196">
        <v>44830</v>
      </c>
      <c r="F2864" s="195">
        <v>4134.3999999999996</v>
      </c>
      <c r="G2864" s="197">
        <f>Tabla110[[#This Row],[Importe]]-Tabla110[[#This Row],[Pagado]]</f>
        <v>0</v>
      </c>
      <c r="H2864" s="194" t="s">
        <v>10</v>
      </c>
    </row>
    <row r="2865" spans="1:8" x14ac:dyDescent="0.25">
      <c r="A2865" s="127">
        <v>44830</v>
      </c>
      <c r="B2865" s="128" t="s">
        <v>30984</v>
      </c>
      <c r="C2865" s="194" t="s">
        <v>9</v>
      </c>
      <c r="D2865" s="195">
        <v>8600.9</v>
      </c>
      <c r="E2865" s="196">
        <v>44830</v>
      </c>
      <c r="F2865" s="195">
        <v>8600.9</v>
      </c>
      <c r="G2865" s="197">
        <f>Tabla110[[#This Row],[Importe]]-Tabla110[[#This Row],[Pagado]]</f>
        <v>0</v>
      </c>
      <c r="H2865" s="194" t="s">
        <v>10</v>
      </c>
    </row>
    <row r="2866" spans="1:8" x14ac:dyDescent="0.25">
      <c r="A2866" s="127">
        <v>44830</v>
      </c>
      <c r="B2866" s="128" t="s">
        <v>30985</v>
      </c>
      <c r="C2866" s="194" t="s">
        <v>31</v>
      </c>
      <c r="D2866" s="195">
        <v>768</v>
      </c>
      <c r="E2866" s="196">
        <v>44830</v>
      </c>
      <c r="F2866" s="195">
        <v>768</v>
      </c>
      <c r="G2866" s="197">
        <f>Tabla110[[#This Row],[Importe]]-Tabla110[[#This Row],[Pagado]]</f>
        <v>0</v>
      </c>
      <c r="H2866" s="194" t="s">
        <v>10</v>
      </c>
    </row>
    <row r="2867" spans="1:8" x14ac:dyDescent="0.25">
      <c r="A2867" s="127">
        <v>44830</v>
      </c>
      <c r="B2867" s="128" t="s">
        <v>30986</v>
      </c>
      <c r="C2867" s="194" t="s">
        <v>18</v>
      </c>
      <c r="D2867" s="195">
        <v>1848.6</v>
      </c>
      <c r="E2867" s="196">
        <v>44830</v>
      </c>
      <c r="F2867" s="195">
        <v>1848.6</v>
      </c>
      <c r="G2867" s="197">
        <f>Tabla110[[#This Row],[Importe]]-Tabla110[[#This Row],[Pagado]]</f>
        <v>0</v>
      </c>
      <c r="H2867" s="194" t="s">
        <v>10</v>
      </c>
    </row>
    <row r="2868" spans="1:8" x14ac:dyDescent="0.25">
      <c r="A2868" s="127">
        <v>44830</v>
      </c>
      <c r="B2868" s="128" t="s">
        <v>30987</v>
      </c>
      <c r="C2868" s="194" t="s">
        <v>142</v>
      </c>
      <c r="D2868" s="195">
        <v>66227.5</v>
      </c>
      <c r="E2868" s="196">
        <v>44860</v>
      </c>
      <c r="F2868" s="195">
        <v>66227.5</v>
      </c>
      <c r="G2868" s="197">
        <f>Tabla110[[#This Row],[Importe]]-Tabla110[[#This Row],[Pagado]]</f>
        <v>0</v>
      </c>
      <c r="H2868" s="194" t="s">
        <v>10</v>
      </c>
    </row>
    <row r="2869" spans="1:8" x14ac:dyDescent="0.25">
      <c r="A2869" s="127">
        <v>44830</v>
      </c>
      <c r="B2869" s="128" t="s">
        <v>30988</v>
      </c>
      <c r="C2869" s="194" t="s">
        <v>22</v>
      </c>
      <c r="D2869" s="195">
        <v>67329.7</v>
      </c>
      <c r="E2869" s="196">
        <v>44831</v>
      </c>
      <c r="F2869" s="195">
        <v>67329.7</v>
      </c>
      <c r="G2869" s="197">
        <f>Tabla110[[#This Row],[Importe]]-Tabla110[[#This Row],[Pagado]]</f>
        <v>0</v>
      </c>
      <c r="H2869" s="194" t="s">
        <v>10</v>
      </c>
    </row>
    <row r="2870" spans="1:8" x14ac:dyDescent="0.25">
      <c r="A2870" s="127">
        <v>44830</v>
      </c>
      <c r="B2870" s="128" t="s">
        <v>30989</v>
      </c>
      <c r="C2870" s="194" t="s">
        <v>198</v>
      </c>
      <c r="D2870" s="195">
        <v>6502.8</v>
      </c>
      <c r="E2870" s="196">
        <v>44830</v>
      </c>
      <c r="F2870" s="195">
        <v>6502.8</v>
      </c>
      <c r="G2870" s="197">
        <f>Tabla110[[#This Row],[Importe]]-Tabla110[[#This Row],[Pagado]]</f>
        <v>0</v>
      </c>
      <c r="H2870" s="194" t="s">
        <v>10</v>
      </c>
    </row>
    <row r="2871" spans="1:8" x14ac:dyDescent="0.25">
      <c r="A2871" s="127">
        <v>44830</v>
      </c>
      <c r="B2871" s="128" t="s">
        <v>30990</v>
      </c>
      <c r="C2871" s="194" t="s">
        <v>333</v>
      </c>
      <c r="D2871" s="195">
        <v>519.4</v>
      </c>
      <c r="E2871" s="196">
        <v>44830</v>
      </c>
      <c r="F2871" s="195">
        <v>519.4</v>
      </c>
      <c r="G2871" s="197">
        <f>Tabla110[[#This Row],[Importe]]-Tabla110[[#This Row],[Pagado]]</f>
        <v>0</v>
      </c>
      <c r="H2871" s="194" t="s">
        <v>10</v>
      </c>
    </row>
    <row r="2872" spans="1:8" x14ac:dyDescent="0.25">
      <c r="A2872" s="127">
        <v>44830</v>
      </c>
      <c r="B2872" s="128" t="s">
        <v>30991</v>
      </c>
      <c r="C2872" s="194" t="s">
        <v>137</v>
      </c>
      <c r="D2872" s="195">
        <v>2897.8</v>
      </c>
      <c r="E2872" s="196">
        <v>44830</v>
      </c>
      <c r="F2872" s="195">
        <v>2897.8</v>
      </c>
      <c r="G2872" s="197">
        <f>Tabla110[[#This Row],[Importe]]-Tabla110[[#This Row],[Pagado]]</f>
        <v>0</v>
      </c>
      <c r="H2872" s="194" t="s">
        <v>10</v>
      </c>
    </row>
    <row r="2873" spans="1:8" x14ac:dyDescent="0.25">
      <c r="A2873" s="127">
        <v>44830</v>
      </c>
      <c r="B2873" s="128" t="s">
        <v>30992</v>
      </c>
      <c r="C2873" s="194" t="s">
        <v>56</v>
      </c>
      <c r="D2873" s="195">
        <v>9332.7999999999993</v>
      </c>
      <c r="E2873" s="196">
        <v>44830</v>
      </c>
      <c r="F2873" s="195">
        <v>9332.7999999999993</v>
      </c>
      <c r="G2873" s="197">
        <f>Tabla110[[#This Row],[Importe]]-Tabla110[[#This Row],[Pagado]]</f>
        <v>0</v>
      </c>
      <c r="H2873" s="194" t="s">
        <v>10</v>
      </c>
    </row>
    <row r="2874" spans="1:8" x14ac:dyDescent="0.25">
      <c r="A2874" s="127">
        <v>44830</v>
      </c>
      <c r="B2874" s="128" t="s">
        <v>30993</v>
      </c>
      <c r="C2874" s="194" t="s">
        <v>2780</v>
      </c>
      <c r="D2874" s="195">
        <v>8546.2999999999993</v>
      </c>
      <c r="E2874" s="196">
        <v>44830</v>
      </c>
      <c r="F2874" s="195">
        <v>8546.2999999999993</v>
      </c>
      <c r="G2874" s="197">
        <f>Tabla110[[#This Row],[Importe]]-Tabla110[[#This Row],[Pagado]]</f>
        <v>0</v>
      </c>
      <c r="H2874" s="194" t="s">
        <v>10</v>
      </c>
    </row>
    <row r="2875" spans="1:8" x14ac:dyDescent="0.25">
      <c r="A2875" s="127">
        <v>44830</v>
      </c>
      <c r="B2875" s="128" t="s">
        <v>30994</v>
      </c>
      <c r="C2875" s="194" t="s">
        <v>27</v>
      </c>
      <c r="D2875" s="195">
        <v>5666.4</v>
      </c>
      <c r="E2875" s="196">
        <v>44830</v>
      </c>
      <c r="F2875" s="195">
        <v>5666.4</v>
      </c>
      <c r="G2875" s="197">
        <f>Tabla110[[#This Row],[Importe]]-Tabla110[[#This Row],[Pagado]]</f>
        <v>0</v>
      </c>
      <c r="H2875" s="194" t="s">
        <v>10</v>
      </c>
    </row>
    <row r="2876" spans="1:8" x14ac:dyDescent="0.25">
      <c r="A2876" s="127">
        <v>44830</v>
      </c>
      <c r="B2876" s="128" t="s">
        <v>30995</v>
      </c>
      <c r="C2876" s="194" t="s">
        <v>365</v>
      </c>
      <c r="D2876" s="195">
        <v>1190</v>
      </c>
      <c r="E2876" s="196">
        <v>44830</v>
      </c>
      <c r="F2876" s="195">
        <v>1190</v>
      </c>
      <c r="G2876" s="197">
        <f>Tabla110[[#This Row],[Importe]]-Tabla110[[#This Row],[Pagado]]</f>
        <v>0</v>
      </c>
      <c r="H2876" s="194" t="s">
        <v>10</v>
      </c>
    </row>
    <row r="2877" spans="1:8" x14ac:dyDescent="0.25">
      <c r="A2877" s="127">
        <v>44830</v>
      </c>
      <c r="B2877" s="128" t="s">
        <v>30996</v>
      </c>
      <c r="C2877" s="194" t="s">
        <v>16</v>
      </c>
      <c r="D2877" s="195">
        <v>6731.6</v>
      </c>
      <c r="E2877" s="196">
        <v>44830</v>
      </c>
      <c r="F2877" s="195">
        <v>6731.6</v>
      </c>
      <c r="G2877" s="197">
        <f>Tabla110[[#This Row],[Importe]]-Tabla110[[#This Row],[Pagado]]</f>
        <v>0</v>
      </c>
      <c r="H2877" s="194" t="s">
        <v>10</v>
      </c>
    </row>
    <row r="2878" spans="1:8" x14ac:dyDescent="0.25">
      <c r="A2878" s="127">
        <v>44830</v>
      </c>
      <c r="B2878" s="128" t="s">
        <v>30997</v>
      </c>
      <c r="C2878" s="194" t="s">
        <v>339</v>
      </c>
      <c r="D2878" s="195">
        <v>1322.4</v>
      </c>
      <c r="E2878" s="196">
        <v>44830</v>
      </c>
      <c r="F2878" s="195">
        <v>1322.4</v>
      </c>
      <c r="G2878" s="197">
        <f>Tabla110[[#This Row],[Importe]]-Tabla110[[#This Row],[Pagado]]</f>
        <v>0</v>
      </c>
      <c r="H2878" s="194" t="s">
        <v>10</v>
      </c>
    </row>
    <row r="2879" spans="1:8" x14ac:dyDescent="0.25">
      <c r="A2879" s="127">
        <v>44830</v>
      </c>
      <c r="B2879" s="128" t="s">
        <v>30998</v>
      </c>
      <c r="C2879" s="194" t="s">
        <v>58</v>
      </c>
      <c r="D2879" s="195">
        <v>2688</v>
      </c>
      <c r="E2879" s="196">
        <v>44830</v>
      </c>
      <c r="F2879" s="195">
        <v>2688</v>
      </c>
      <c r="G2879" s="197">
        <f>Tabla110[[#This Row],[Importe]]-Tabla110[[#This Row],[Pagado]]</f>
        <v>0</v>
      </c>
      <c r="H2879" s="194" t="s">
        <v>10</v>
      </c>
    </row>
    <row r="2880" spans="1:8" x14ac:dyDescent="0.25">
      <c r="A2880" s="127">
        <v>44830</v>
      </c>
      <c r="B2880" s="128" t="s">
        <v>30999</v>
      </c>
      <c r="C2880" s="194" t="s">
        <v>95</v>
      </c>
      <c r="D2880" s="195">
        <v>16936</v>
      </c>
      <c r="E2880" s="196">
        <v>44830</v>
      </c>
      <c r="F2880" s="195">
        <v>16936</v>
      </c>
      <c r="G2880" s="197">
        <f>Tabla110[[#This Row],[Importe]]-Tabla110[[#This Row],[Pagado]]</f>
        <v>0</v>
      </c>
      <c r="H2880" s="194" t="s">
        <v>10</v>
      </c>
    </row>
    <row r="2881" spans="1:8" x14ac:dyDescent="0.25">
      <c r="A2881" s="127">
        <v>44830</v>
      </c>
      <c r="B2881" s="128" t="s">
        <v>31000</v>
      </c>
      <c r="C2881" s="194" t="s">
        <v>58</v>
      </c>
      <c r="D2881" s="195">
        <v>774</v>
      </c>
      <c r="E2881" s="196">
        <v>44830</v>
      </c>
      <c r="F2881" s="195">
        <v>774</v>
      </c>
      <c r="G2881" s="197">
        <f>Tabla110[[#This Row],[Importe]]-Tabla110[[#This Row],[Pagado]]</f>
        <v>0</v>
      </c>
      <c r="H2881" s="194" t="s">
        <v>10</v>
      </c>
    </row>
    <row r="2882" spans="1:8" x14ac:dyDescent="0.25">
      <c r="A2882" s="127">
        <v>44830</v>
      </c>
      <c r="B2882" s="128" t="s">
        <v>31001</v>
      </c>
      <c r="C2882" s="194" t="s">
        <v>196</v>
      </c>
      <c r="D2882" s="195">
        <v>104477.42</v>
      </c>
      <c r="E2882" s="196">
        <v>44834</v>
      </c>
      <c r="F2882" s="195">
        <v>104477.42</v>
      </c>
      <c r="G2882" s="197">
        <f>Tabla110[[#This Row],[Importe]]-Tabla110[[#This Row],[Pagado]]</f>
        <v>0</v>
      </c>
      <c r="H2882" s="194" t="s">
        <v>10</v>
      </c>
    </row>
    <row r="2883" spans="1:8" x14ac:dyDescent="0.25">
      <c r="A2883" s="127">
        <v>44830</v>
      </c>
      <c r="B2883" s="128" t="s">
        <v>31002</v>
      </c>
      <c r="C2883" s="194" t="s">
        <v>140</v>
      </c>
      <c r="D2883" s="195">
        <v>6215.2</v>
      </c>
      <c r="E2883" s="196">
        <v>44830</v>
      </c>
      <c r="F2883" s="195">
        <v>6215.2</v>
      </c>
      <c r="G2883" s="197">
        <f>Tabla110[[#This Row],[Importe]]-Tabla110[[#This Row],[Pagado]]</f>
        <v>0</v>
      </c>
      <c r="H2883" s="194" t="s">
        <v>10</v>
      </c>
    </row>
    <row r="2884" spans="1:8" x14ac:dyDescent="0.25">
      <c r="A2884" s="127">
        <v>44830</v>
      </c>
      <c r="B2884" s="128" t="s">
        <v>31003</v>
      </c>
      <c r="C2884" s="194" t="s">
        <v>127</v>
      </c>
      <c r="D2884" s="195">
        <v>5849.4</v>
      </c>
      <c r="E2884" s="196">
        <v>44830</v>
      </c>
      <c r="F2884" s="195">
        <v>5849.4</v>
      </c>
      <c r="G2884" s="197">
        <f>Tabla110[[#This Row],[Importe]]-Tabla110[[#This Row],[Pagado]]</f>
        <v>0</v>
      </c>
      <c r="H2884" s="194" t="s">
        <v>10</v>
      </c>
    </row>
    <row r="2885" spans="1:8" x14ac:dyDescent="0.25">
      <c r="A2885" s="127">
        <v>44830</v>
      </c>
      <c r="B2885" s="128" t="s">
        <v>31004</v>
      </c>
      <c r="C2885" s="194" t="s">
        <v>670</v>
      </c>
      <c r="D2885" s="195">
        <v>7815</v>
      </c>
      <c r="E2885" s="196">
        <v>44830</v>
      </c>
      <c r="F2885" s="195">
        <v>7815</v>
      </c>
      <c r="G2885" s="197">
        <f>Tabla110[[#This Row],[Importe]]-Tabla110[[#This Row],[Pagado]]</f>
        <v>0</v>
      </c>
      <c r="H2885" s="194" t="s">
        <v>10</v>
      </c>
    </row>
    <row r="2886" spans="1:8" x14ac:dyDescent="0.25">
      <c r="A2886" s="127">
        <v>44830</v>
      </c>
      <c r="B2886" s="128" t="s">
        <v>31005</v>
      </c>
      <c r="C2886" s="194" t="s">
        <v>1421</v>
      </c>
      <c r="D2886" s="195">
        <v>33211.199999999997</v>
      </c>
      <c r="E2886" s="196">
        <v>44830</v>
      </c>
      <c r="F2886" s="195">
        <v>33211.199999999997</v>
      </c>
      <c r="G2886" s="197">
        <f>Tabla110[[#This Row],[Importe]]-Tabla110[[#This Row],[Pagado]]</f>
        <v>0</v>
      </c>
      <c r="H2886" s="194" t="s">
        <v>10</v>
      </c>
    </row>
    <row r="2887" spans="1:8" x14ac:dyDescent="0.25">
      <c r="A2887" s="127">
        <v>44830</v>
      </c>
      <c r="B2887" s="128" t="s">
        <v>31006</v>
      </c>
      <c r="C2887" s="194" t="s">
        <v>9587</v>
      </c>
      <c r="D2887" s="195">
        <v>5934.8</v>
      </c>
      <c r="E2887" s="196">
        <v>44830</v>
      </c>
      <c r="F2887" s="195">
        <v>5934.8</v>
      </c>
      <c r="G2887" s="197">
        <f>Tabla110[[#This Row],[Importe]]-Tabla110[[#This Row],[Pagado]]</f>
        <v>0</v>
      </c>
      <c r="H2887" s="194" t="s">
        <v>10</v>
      </c>
    </row>
    <row r="2888" spans="1:8" x14ac:dyDescent="0.25">
      <c r="A2888" s="127">
        <v>44830</v>
      </c>
      <c r="B2888" s="128" t="s">
        <v>31007</v>
      </c>
      <c r="C2888" s="194" t="s">
        <v>45</v>
      </c>
      <c r="D2888" s="195">
        <v>10252.799999999999</v>
      </c>
      <c r="E2888" s="196">
        <v>44830</v>
      </c>
      <c r="F2888" s="195">
        <v>10252.799999999999</v>
      </c>
      <c r="G2888" s="197">
        <f>Tabla110[[#This Row],[Importe]]-Tabla110[[#This Row],[Pagado]]</f>
        <v>0</v>
      </c>
      <c r="H2888" s="194" t="s">
        <v>10</v>
      </c>
    </row>
    <row r="2889" spans="1:8" x14ac:dyDescent="0.25">
      <c r="A2889" s="127">
        <v>44830</v>
      </c>
      <c r="B2889" s="128" t="s">
        <v>31008</v>
      </c>
      <c r="C2889" s="194" t="s">
        <v>53</v>
      </c>
      <c r="D2889" s="195">
        <v>1287</v>
      </c>
      <c r="E2889" s="196">
        <v>44830</v>
      </c>
      <c r="F2889" s="195">
        <v>1287</v>
      </c>
      <c r="G2889" s="197">
        <f>Tabla110[[#This Row],[Importe]]-Tabla110[[#This Row],[Pagado]]</f>
        <v>0</v>
      </c>
      <c r="H2889" s="194" t="s">
        <v>10</v>
      </c>
    </row>
    <row r="2890" spans="1:8" x14ac:dyDescent="0.25">
      <c r="A2890" s="127">
        <v>44830</v>
      </c>
      <c r="B2890" s="128" t="s">
        <v>31009</v>
      </c>
      <c r="C2890" s="194" t="s">
        <v>24</v>
      </c>
      <c r="D2890" s="195">
        <v>2375.1999999999998</v>
      </c>
      <c r="E2890" s="196">
        <v>44830</v>
      </c>
      <c r="F2890" s="195">
        <v>2375.1999999999998</v>
      </c>
      <c r="G2890" s="197">
        <f>Tabla110[[#This Row],[Importe]]-Tabla110[[#This Row],[Pagado]]</f>
        <v>0</v>
      </c>
      <c r="H2890" s="194" t="s">
        <v>10</v>
      </c>
    </row>
    <row r="2891" spans="1:8" x14ac:dyDescent="0.25">
      <c r="A2891" s="127">
        <v>44830</v>
      </c>
      <c r="B2891" s="128" t="s">
        <v>31010</v>
      </c>
      <c r="C2891" s="194" t="s">
        <v>31</v>
      </c>
      <c r="D2891" s="195">
        <v>1558</v>
      </c>
      <c r="E2891" s="196">
        <v>44830</v>
      </c>
      <c r="F2891" s="195">
        <v>1558</v>
      </c>
      <c r="G2891" s="197">
        <f>Tabla110[[#This Row],[Importe]]-Tabla110[[#This Row],[Pagado]]</f>
        <v>0</v>
      </c>
      <c r="H2891" s="194" t="s">
        <v>10</v>
      </c>
    </row>
    <row r="2892" spans="1:8" x14ac:dyDescent="0.25">
      <c r="A2892" s="127">
        <v>44830</v>
      </c>
      <c r="B2892" s="128" t="s">
        <v>31011</v>
      </c>
      <c r="C2892" s="194" t="s">
        <v>49</v>
      </c>
      <c r="D2892" s="195">
        <v>4633</v>
      </c>
      <c r="E2892" s="196">
        <v>44830</v>
      </c>
      <c r="F2892" s="195">
        <v>4633</v>
      </c>
      <c r="G2892" s="197">
        <f>Tabla110[[#This Row],[Importe]]-Tabla110[[#This Row],[Pagado]]</f>
        <v>0</v>
      </c>
      <c r="H2892" s="194" t="s">
        <v>10</v>
      </c>
    </row>
    <row r="2893" spans="1:8" x14ac:dyDescent="0.25">
      <c r="A2893" s="127">
        <v>44830</v>
      </c>
      <c r="B2893" s="128" t="s">
        <v>31012</v>
      </c>
      <c r="C2893" s="194" t="s">
        <v>35</v>
      </c>
      <c r="D2893" s="195">
        <v>2347.1999999999998</v>
      </c>
      <c r="E2893" s="196">
        <v>44830</v>
      </c>
      <c r="F2893" s="195">
        <v>2347.1999999999998</v>
      </c>
      <c r="G2893" s="197">
        <f>Tabla110[[#This Row],[Importe]]-Tabla110[[#This Row],[Pagado]]</f>
        <v>0</v>
      </c>
      <c r="H2893" s="194" t="s">
        <v>10</v>
      </c>
    </row>
    <row r="2894" spans="1:8" x14ac:dyDescent="0.25">
      <c r="A2894" s="127">
        <v>44830</v>
      </c>
      <c r="B2894" s="128" t="s">
        <v>31013</v>
      </c>
      <c r="C2894" s="194" t="s">
        <v>175</v>
      </c>
      <c r="D2894" s="195">
        <v>18901</v>
      </c>
      <c r="E2894" s="196">
        <v>44830</v>
      </c>
      <c r="F2894" s="195">
        <v>18901</v>
      </c>
      <c r="G2894" s="197">
        <f>Tabla110[[#This Row],[Importe]]-Tabla110[[#This Row],[Pagado]]</f>
        <v>0</v>
      </c>
      <c r="H2894" s="194" t="s">
        <v>10</v>
      </c>
    </row>
    <row r="2895" spans="1:8" x14ac:dyDescent="0.25">
      <c r="A2895" s="127">
        <v>44830</v>
      </c>
      <c r="B2895" s="128" t="s">
        <v>31014</v>
      </c>
      <c r="C2895" s="194" t="s">
        <v>426</v>
      </c>
      <c r="D2895" s="195">
        <v>2808</v>
      </c>
      <c r="E2895" s="196">
        <v>44830</v>
      </c>
      <c r="F2895" s="195">
        <v>2808</v>
      </c>
      <c r="G2895" s="197">
        <f>Tabla110[[#This Row],[Importe]]-Tabla110[[#This Row],[Pagado]]</f>
        <v>0</v>
      </c>
      <c r="H2895" s="194" t="s">
        <v>10</v>
      </c>
    </row>
    <row r="2896" spans="1:8" x14ac:dyDescent="0.25">
      <c r="A2896" s="127">
        <v>44830</v>
      </c>
      <c r="B2896" s="128" t="s">
        <v>31015</v>
      </c>
      <c r="C2896" s="194" t="s">
        <v>230</v>
      </c>
      <c r="D2896" s="195">
        <v>5109.2</v>
      </c>
      <c r="E2896" s="196">
        <v>44830</v>
      </c>
      <c r="F2896" s="195">
        <v>5109.2</v>
      </c>
      <c r="G2896" s="197">
        <f>Tabla110[[#This Row],[Importe]]-Tabla110[[#This Row],[Pagado]]</f>
        <v>0</v>
      </c>
      <c r="H2896" s="194" t="s">
        <v>10</v>
      </c>
    </row>
    <row r="2897" spans="1:8" x14ac:dyDescent="0.25">
      <c r="A2897" s="127">
        <v>44830</v>
      </c>
      <c r="B2897" s="128" t="s">
        <v>31016</v>
      </c>
      <c r="C2897" s="194" t="s">
        <v>216</v>
      </c>
      <c r="D2897" s="195">
        <v>1991.2</v>
      </c>
      <c r="E2897" s="196">
        <v>44830</v>
      </c>
      <c r="F2897" s="195">
        <v>1991.2</v>
      </c>
      <c r="G2897" s="197">
        <f>Tabla110[[#This Row],[Importe]]-Tabla110[[#This Row],[Pagado]]</f>
        <v>0</v>
      </c>
      <c r="H2897" s="194" t="s">
        <v>10</v>
      </c>
    </row>
    <row r="2898" spans="1:8" x14ac:dyDescent="0.25">
      <c r="A2898" s="127">
        <v>44830</v>
      </c>
      <c r="B2898" s="128" t="s">
        <v>31017</v>
      </c>
      <c r="C2898" s="194" t="s">
        <v>1003</v>
      </c>
      <c r="D2898" s="195">
        <v>7315.2</v>
      </c>
      <c r="E2898" s="196">
        <v>44833</v>
      </c>
      <c r="F2898" s="195">
        <v>7315.2</v>
      </c>
      <c r="G2898" s="197">
        <f>Tabla110[[#This Row],[Importe]]-Tabla110[[#This Row],[Pagado]]</f>
        <v>0</v>
      </c>
      <c r="H2898" s="194" t="s">
        <v>10</v>
      </c>
    </row>
    <row r="2899" spans="1:8" x14ac:dyDescent="0.25">
      <c r="A2899" s="127">
        <v>44830</v>
      </c>
      <c r="B2899" s="128" t="s">
        <v>31018</v>
      </c>
      <c r="C2899" s="194" t="s">
        <v>2151</v>
      </c>
      <c r="D2899" s="195">
        <v>9782.5</v>
      </c>
      <c r="E2899" s="196">
        <v>44830</v>
      </c>
      <c r="F2899" s="195">
        <v>9782.5</v>
      </c>
      <c r="G2899" s="197">
        <f>Tabla110[[#This Row],[Importe]]-Tabla110[[#This Row],[Pagado]]</f>
        <v>0</v>
      </c>
      <c r="H2899" s="194" t="s">
        <v>10</v>
      </c>
    </row>
    <row r="2900" spans="1:8" x14ac:dyDescent="0.25">
      <c r="A2900" s="127">
        <v>44830</v>
      </c>
      <c r="B2900" s="128" t="s">
        <v>31019</v>
      </c>
      <c r="C2900" s="194" t="s">
        <v>654</v>
      </c>
      <c r="D2900" s="195">
        <v>8331.2000000000007</v>
      </c>
      <c r="E2900" s="196">
        <v>44830</v>
      </c>
      <c r="F2900" s="195">
        <v>8331.2000000000007</v>
      </c>
      <c r="G2900" s="197">
        <f>Tabla110[[#This Row],[Importe]]-Tabla110[[#This Row],[Pagado]]</f>
        <v>0</v>
      </c>
      <c r="H2900" s="194" t="s">
        <v>10</v>
      </c>
    </row>
    <row r="2901" spans="1:8" x14ac:dyDescent="0.25">
      <c r="A2901" s="127">
        <v>44830</v>
      </c>
      <c r="B2901" s="128" t="s">
        <v>31020</v>
      </c>
      <c r="C2901" s="194" t="s">
        <v>224</v>
      </c>
      <c r="D2901" s="195">
        <v>16144.2</v>
      </c>
      <c r="E2901" s="196">
        <v>44844</v>
      </c>
      <c r="F2901" s="195">
        <v>16144.2</v>
      </c>
      <c r="G2901" s="197">
        <f>Tabla110[[#This Row],[Importe]]-Tabla110[[#This Row],[Pagado]]</f>
        <v>0</v>
      </c>
      <c r="H2901" s="194" t="s">
        <v>10</v>
      </c>
    </row>
    <row r="2902" spans="1:8" x14ac:dyDescent="0.25">
      <c r="A2902" s="127">
        <v>44830</v>
      </c>
      <c r="B2902" s="128" t="s">
        <v>31021</v>
      </c>
      <c r="C2902" s="194" t="s">
        <v>222</v>
      </c>
      <c r="D2902" s="195">
        <v>10256.200000000001</v>
      </c>
      <c r="E2902" s="196">
        <v>44830</v>
      </c>
      <c r="F2902" s="195">
        <v>10256.200000000001</v>
      </c>
      <c r="G2902" s="197">
        <f>Tabla110[[#This Row],[Importe]]-Tabla110[[#This Row],[Pagado]]</f>
        <v>0</v>
      </c>
      <c r="H2902" s="194" t="s">
        <v>10</v>
      </c>
    </row>
    <row r="2903" spans="1:8" x14ac:dyDescent="0.25">
      <c r="A2903" s="127">
        <v>44830</v>
      </c>
      <c r="B2903" s="128" t="s">
        <v>31022</v>
      </c>
      <c r="C2903" s="194" t="s">
        <v>240</v>
      </c>
      <c r="D2903" s="195">
        <v>10250</v>
      </c>
      <c r="E2903" s="196">
        <v>44830</v>
      </c>
      <c r="F2903" s="195">
        <v>10250</v>
      </c>
      <c r="G2903" s="197">
        <f>Tabla110[[#This Row],[Importe]]-Tabla110[[#This Row],[Pagado]]</f>
        <v>0</v>
      </c>
      <c r="H2903" s="194" t="s">
        <v>10</v>
      </c>
    </row>
    <row r="2904" spans="1:8" x14ac:dyDescent="0.25">
      <c r="A2904" s="127">
        <v>44830</v>
      </c>
      <c r="B2904" s="128" t="s">
        <v>31023</v>
      </c>
      <c r="C2904" s="194" t="s">
        <v>31024</v>
      </c>
      <c r="D2904" s="195">
        <v>0</v>
      </c>
      <c r="E2904" s="199" t="s">
        <v>189</v>
      </c>
      <c r="F2904" s="195">
        <v>0</v>
      </c>
      <c r="G2904" s="197">
        <f>Tabla110[[#This Row],[Importe]]-Tabla110[[#This Row],[Pagado]]</f>
        <v>0</v>
      </c>
      <c r="H2904" s="200" t="s">
        <v>31025</v>
      </c>
    </row>
    <row r="2905" spans="1:8" x14ac:dyDescent="0.25">
      <c r="A2905" s="127">
        <v>44830</v>
      </c>
      <c r="B2905" s="128" t="s">
        <v>31026</v>
      </c>
      <c r="C2905" s="194" t="s">
        <v>240</v>
      </c>
      <c r="D2905" s="195">
        <v>1581</v>
      </c>
      <c r="E2905" s="196">
        <v>44830</v>
      </c>
      <c r="F2905" s="195">
        <v>1581</v>
      </c>
      <c r="G2905" s="197">
        <f>Tabla110[[#This Row],[Importe]]-Tabla110[[#This Row],[Pagado]]</f>
        <v>0</v>
      </c>
      <c r="H2905" s="194" t="s">
        <v>10</v>
      </c>
    </row>
    <row r="2906" spans="1:8" x14ac:dyDescent="0.25">
      <c r="A2906" s="127">
        <v>44830</v>
      </c>
      <c r="B2906" s="128" t="s">
        <v>31027</v>
      </c>
      <c r="C2906" s="194" t="s">
        <v>133</v>
      </c>
      <c r="D2906" s="195">
        <v>13722.8</v>
      </c>
      <c r="E2906" s="196">
        <v>44831</v>
      </c>
      <c r="F2906" s="195">
        <v>13722.8</v>
      </c>
      <c r="G2906" s="197">
        <f>Tabla110[[#This Row],[Importe]]-Tabla110[[#This Row],[Pagado]]</f>
        <v>0</v>
      </c>
      <c r="H2906" s="194" t="s">
        <v>10</v>
      </c>
    </row>
    <row r="2907" spans="1:8" x14ac:dyDescent="0.25">
      <c r="A2907" s="127">
        <v>44830</v>
      </c>
      <c r="B2907" s="128" t="s">
        <v>31028</v>
      </c>
      <c r="C2907" s="194" t="s">
        <v>173</v>
      </c>
      <c r="D2907" s="195">
        <v>24290.400000000001</v>
      </c>
      <c r="E2907" s="196">
        <v>44832</v>
      </c>
      <c r="F2907" s="195">
        <v>24290.400000000001</v>
      </c>
      <c r="G2907" s="197">
        <f>Tabla110[[#This Row],[Importe]]-Tabla110[[#This Row],[Pagado]]</f>
        <v>0</v>
      </c>
      <c r="H2907" s="194" t="s">
        <v>10</v>
      </c>
    </row>
    <row r="2908" spans="1:8" x14ac:dyDescent="0.25">
      <c r="A2908" s="127">
        <v>44830</v>
      </c>
      <c r="B2908" s="128" t="s">
        <v>31029</v>
      </c>
      <c r="C2908" s="194" t="s">
        <v>414</v>
      </c>
      <c r="D2908" s="195">
        <v>22784.799999999999</v>
      </c>
      <c r="E2908" s="196">
        <v>44831</v>
      </c>
      <c r="F2908" s="195">
        <v>22784.799999999999</v>
      </c>
      <c r="G2908" s="197">
        <f>Tabla110[[#This Row],[Importe]]-Tabla110[[#This Row],[Pagado]]</f>
        <v>0</v>
      </c>
      <c r="H2908" s="194" t="s">
        <v>10</v>
      </c>
    </row>
    <row r="2909" spans="1:8" x14ac:dyDescent="0.25">
      <c r="A2909" s="127">
        <v>44830</v>
      </c>
      <c r="B2909" s="128" t="s">
        <v>31030</v>
      </c>
      <c r="C2909" s="194" t="s">
        <v>419</v>
      </c>
      <c r="D2909" s="195">
        <v>7153.9</v>
      </c>
      <c r="E2909" s="196">
        <v>44830</v>
      </c>
      <c r="F2909" s="195">
        <v>7153.9</v>
      </c>
      <c r="G2909" s="197">
        <f>Tabla110[[#This Row],[Importe]]-Tabla110[[#This Row],[Pagado]]</f>
        <v>0</v>
      </c>
      <c r="H2909" s="194" t="s">
        <v>10</v>
      </c>
    </row>
    <row r="2910" spans="1:8" x14ac:dyDescent="0.25">
      <c r="A2910" s="127">
        <v>44830</v>
      </c>
      <c r="B2910" s="128" t="s">
        <v>31031</v>
      </c>
      <c r="C2910" s="194" t="s">
        <v>31</v>
      </c>
      <c r="D2910" s="195">
        <v>4164</v>
      </c>
      <c r="E2910" s="196">
        <v>44830</v>
      </c>
      <c r="F2910" s="195">
        <v>4164</v>
      </c>
      <c r="G2910" s="197">
        <f>Tabla110[[#This Row],[Importe]]-Tabla110[[#This Row],[Pagado]]</f>
        <v>0</v>
      </c>
      <c r="H2910" s="194" t="s">
        <v>10</v>
      </c>
    </row>
    <row r="2911" spans="1:8" x14ac:dyDescent="0.25">
      <c r="A2911" s="127">
        <v>44830</v>
      </c>
      <c r="B2911" s="128" t="s">
        <v>31032</v>
      </c>
      <c r="C2911" s="194" t="s">
        <v>541</v>
      </c>
      <c r="D2911" s="195">
        <v>13041.2</v>
      </c>
      <c r="E2911" s="196">
        <v>44832</v>
      </c>
      <c r="F2911" s="195">
        <v>13041.2</v>
      </c>
      <c r="G2911" s="197">
        <f>Tabla110[[#This Row],[Importe]]-Tabla110[[#This Row],[Pagado]]</f>
        <v>0</v>
      </c>
      <c r="H2911" s="194" t="s">
        <v>10</v>
      </c>
    </row>
    <row r="2912" spans="1:8" x14ac:dyDescent="0.25">
      <c r="A2912" s="127">
        <v>44830</v>
      </c>
      <c r="B2912" s="128" t="s">
        <v>31033</v>
      </c>
      <c r="C2912" s="194" t="s">
        <v>69</v>
      </c>
      <c r="D2912" s="195">
        <v>1862</v>
      </c>
      <c r="E2912" s="196">
        <v>44830</v>
      </c>
      <c r="F2912" s="195">
        <v>1862</v>
      </c>
      <c r="G2912" s="197">
        <f>Tabla110[[#This Row],[Importe]]-Tabla110[[#This Row],[Pagado]]</f>
        <v>0</v>
      </c>
      <c r="H2912" s="194" t="s">
        <v>10</v>
      </c>
    </row>
    <row r="2913" spans="1:8" x14ac:dyDescent="0.25">
      <c r="A2913" s="127">
        <v>44830</v>
      </c>
      <c r="B2913" s="128" t="s">
        <v>31034</v>
      </c>
      <c r="C2913" s="194" t="s">
        <v>1644</v>
      </c>
      <c r="D2913" s="195">
        <v>20322.599999999999</v>
      </c>
      <c r="E2913" s="196">
        <v>44831</v>
      </c>
      <c r="F2913" s="195">
        <v>20322.599999999999</v>
      </c>
      <c r="G2913" s="197">
        <f>Tabla110[[#This Row],[Importe]]-Tabla110[[#This Row],[Pagado]]</f>
        <v>0</v>
      </c>
      <c r="H2913" s="194" t="s">
        <v>10</v>
      </c>
    </row>
    <row r="2914" spans="1:8" x14ac:dyDescent="0.25">
      <c r="A2914" s="127">
        <v>44830</v>
      </c>
      <c r="B2914" s="128" t="s">
        <v>31035</v>
      </c>
      <c r="C2914" s="194" t="s">
        <v>681</v>
      </c>
      <c r="D2914" s="195">
        <v>2.33</v>
      </c>
      <c r="E2914" s="196">
        <v>44833</v>
      </c>
      <c r="F2914" s="195">
        <v>2.33</v>
      </c>
      <c r="G2914" s="197">
        <f>Tabla110[[#This Row],[Importe]]-Tabla110[[#This Row],[Pagado]]</f>
        <v>0</v>
      </c>
      <c r="H2914" s="194" t="s">
        <v>10</v>
      </c>
    </row>
    <row r="2915" spans="1:8" x14ac:dyDescent="0.25">
      <c r="A2915" s="127">
        <v>44830</v>
      </c>
      <c r="B2915" s="128" t="s">
        <v>31036</v>
      </c>
      <c r="C2915" s="194" t="s">
        <v>333</v>
      </c>
      <c r="D2915" s="195">
        <v>313.26</v>
      </c>
      <c r="E2915" s="196">
        <v>44830</v>
      </c>
      <c r="F2915" s="195">
        <v>313.26</v>
      </c>
      <c r="G2915" s="197">
        <f>Tabla110[[#This Row],[Importe]]-Tabla110[[#This Row],[Pagado]]</f>
        <v>0</v>
      </c>
      <c r="H2915" s="194" t="s">
        <v>10</v>
      </c>
    </row>
    <row r="2916" spans="1:8" x14ac:dyDescent="0.25">
      <c r="A2916" s="127">
        <v>44830</v>
      </c>
      <c r="B2916" s="128" t="s">
        <v>31037</v>
      </c>
      <c r="C2916" s="194" t="s">
        <v>715</v>
      </c>
      <c r="D2916" s="195">
        <v>14302</v>
      </c>
      <c r="E2916" s="196">
        <v>44830</v>
      </c>
      <c r="F2916" s="195">
        <v>14302</v>
      </c>
      <c r="G2916" s="197">
        <f>Tabla110[[#This Row],[Importe]]-Tabla110[[#This Row],[Pagado]]</f>
        <v>0</v>
      </c>
      <c r="H2916" s="194" t="s">
        <v>10</v>
      </c>
    </row>
    <row r="2917" spans="1:8" x14ac:dyDescent="0.25">
      <c r="A2917" s="127">
        <v>44830</v>
      </c>
      <c r="B2917" s="128" t="s">
        <v>31038</v>
      </c>
      <c r="C2917" s="194" t="s">
        <v>28087</v>
      </c>
      <c r="D2917" s="195">
        <v>145399.47</v>
      </c>
      <c r="E2917" s="196">
        <v>44830</v>
      </c>
      <c r="F2917" s="195">
        <f>137981.7+7417.77</f>
        <v>145399.47</v>
      </c>
      <c r="G2917" s="197">
        <f>Tabla110[[#This Row],[Importe]]-Tabla110[[#This Row],[Pagado]]</f>
        <v>0</v>
      </c>
      <c r="H2917" s="194" t="s">
        <v>10</v>
      </c>
    </row>
    <row r="2918" spans="1:8" x14ac:dyDescent="0.25">
      <c r="A2918" s="127">
        <v>44830</v>
      </c>
      <c r="B2918" s="128" t="s">
        <v>31039</v>
      </c>
      <c r="C2918" s="194" t="s">
        <v>67</v>
      </c>
      <c r="D2918" s="195">
        <v>2213</v>
      </c>
      <c r="E2918" s="196">
        <v>44830</v>
      </c>
      <c r="F2918" s="195">
        <v>2213</v>
      </c>
      <c r="G2918" s="197">
        <f>Tabla110[[#This Row],[Importe]]-Tabla110[[#This Row],[Pagado]]</f>
        <v>0</v>
      </c>
      <c r="H2918" s="194" t="s">
        <v>10</v>
      </c>
    </row>
    <row r="2919" spans="1:8" x14ac:dyDescent="0.25">
      <c r="A2919" s="127">
        <v>44830</v>
      </c>
      <c r="B2919" s="128" t="s">
        <v>31040</v>
      </c>
      <c r="C2919" s="194" t="s">
        <v>421</v>
      </c>
      <c r="D2919" s="195">
        <v>14454.4</v>
      </c>
      <c r="E2919" s="196">
        <v>44839</v>
      </c>
      <c r="F2919" s="195">
        <v>14454.4</v>
      </c>
      <c r="G2919" s="197">
        <f>Tabla110[[#This Row],[Importe]]-Tabla110[[#This Row],[Pagado]]</f>
        <v>0</v>
      </c>
      <c r="H2919" s="194" t="s">
        <v>10</v>
      </c>
    </row>
    <row r="2920" spans="1:8" x14ac:dyDescent="0.25">
      <c r="A2920" s="127">
        <v>44830</v>
      </c>
      <c r="B2920" s="128" t="s">
        <v>31041</v>
      </c>
      <c r="C2920" s="194" t="s">
        <v>421</v>
      </c>
      <c r="D2920" s="195">
        <v>98.4</v>
      </c>
      <c r="E2920" s="196">
        <v>44830</v>
      </c>
      <c r="F2920" s="195">
        <v>98.4</v>
      </c>
      <c r="G2920" s="197">
        <f>Tabla110[[#This Row],[Importe]]-Tabla110[[#This Row],[Pagado]]</f>
        <v>0</v>
      </c>
      <c r="H2920" s="194" t="s">
        <v>10</v>
      </c>
    </row>
    <row r="2921" spans="1:8" x14ac:dyDescent="0.25">
      <c r="A2921" s="127">
        <v>44830</v>
      </c>
      <c r="B2921" s="128" t="s">
        <v>31042</v>
      </c>
      <c r="C2921" s="194" t="s">
        <v>107</v>
      </c>
      <c r="D2921" s="195">
        <v>10857.6</v>
      </c>
      <c r="E2921" s="196">
        <v>44830</v>
      </c>
      <c r="F2921" s="195">
        <v>10857.6</v>
      </c>
      <c r="G2921" s="197">
        <f>Tabla110[[#This Row],[Importe]]-Tabla110[[#This Row],[Pagado]]</f>
        <v>0</v>
      </c>
      <c r="H2921" s="194" t="s">
        <v>10</v>
      </c>
    </row>
    <row r="2922" spans="1:8" x14ac:dyDescent="0.25">
      <c r="A2922" s="127">
        <v>44830</v>
      </c>
      <c r="B2922" s="128" t="s">
        <v>31043</v>
      </c>
      <c r="C2922" s="194" t="s">
        <v>146</v>
      </c>
      <c r="D2922" s="195">
        <v>5108.6000000000004</v>
      </c>
      <c r="E2922" s="196">
        <v>44830</v>
      </c>
      <c r="F2922" s="195">
        <v>5108.6000000000004</v>
      </c>
      <c r="G2922" s="197">
        <f>Tabla110[[#This Row],[Importe]]-Tabla110[[#This Row],[Pagado]]</f>
        <v>0</v>
      </c>
      <c r="H2922" s="194" t="s">
        <v>10</v>
      </c>
    </row>
    <row r="2923" spans="1:8" x14ac:dyDescent="0.25">
      <c r="A2923" s="127">
        <v>44830</v>
      </c>
      <c r="B2923" s="128" t="s">
        <v>31044</v>
      </c>
      <c r="C2923" s="194" t="s">
        <v>664</v>
      </c>
      <c r="D2923" s="195">
        <v>3370.2</v>
      </c>
      <c r="E2923" s="196">
        <v>44830</v>
      </c>
      <c r="F2923" s="195">
        <v>3370.2</v>
      </c>
      <c r="G2923" s="197">
        <f>Tabla110[[#This Row],[Importe]]-Tabla110[[#This Row],[Pagado]]</f>
        <v>0</v>
      </c>
      <c r="H2923" s="194" t="s">
        <v>10</v>
      </c>
    </row>
    <row r="2924" spans="1:8" x14ac:dyDescent="0.25">
      <c r="A2924" s="127">
        <v>44830</v>
      </c>
      <c r="B2924" s="128" t="s">
        <v>31045</v>
      </c>
      <c r="C2924" s="194" t="s">
        <v>1362</v>
      </c>
      <c r="D2924" s="195">
        <v>3019.5</v>
      </c>
      <c r="E2924" s="196">
        <v>44830</v>
      </c>
      <c r="F2924" s="195">
        <v>3019.5</v>
      </c>
      <c r="G2924" s="197">
        <f>Tabla110[[#This Row],[Importe]]-Tabla110[[#This Row],[Pagado]]</f>
        <v>0</v>
      </c>
      <c r="H2924" s="194" t="s">
        <v>10</v>
      </c>
    </row>
    <row r="2925" spans="1:8" x14ac:dyDescent="0.25">
      <c r="A2925" s="127">
        <v>44830</v>
      </c>
      <c r="B2925" s="128" t="s">
        <v>31046</v>
      </c>
      <c r="C2925" s="194" t="s">
        <v>218</v>
      </c>
      <c r="D2925" s="195">
        <v>21921.599999999999</v>
      </c>
      <c r="E2925" s="196">
        <v>44832</v>
      </c>
      <c r="F2925" s="195">
        <v>21921.599999999999</v>
      </c>
      <c r="G2925" s="197">
        <f>Tabla110[[#This Row],[Importe]]-Tabla110[[#This Row],[Pagado]]</f>
        <v>0</v>
      </c>
      <c r="H2925" s="194" t="s">
        <v>10</v>
      </c>
    </row>
    <row r="2926" spans="1:8" x14ac:dyDescent="0.25">
      <c r="A2926" s="127">
        <v>44830</v>
      </c>
      <c r="B2926" s="128" t="s">
        <v>31047</v>
      </c>
      <c r="C2926" s="194" t="s">
        <v>208</v>
      </c>
      <c r="D2926" s="195">
        <v>15569.4</v>
      </c>
      <c r="E2926" s="196">
        <v>44839</v>
      </c>
      <c r="F2926" s="195">
        <v>15569.4</v>
      </c>
      <c r="G2926" s="197">
        <f>Tabla110[[#This Row],[Importe]]-Tabla110[[#This Row],[Pagado]]</f>
        <v>0</v>
      </c>
      <c r="H2926" s="194" t="s">
        <v>10</v>
      </c>
    </row>
    <row r="2927" spans="1:8" x14ac:dyDescent="0.25">
      <c r="A2927" s="127">
        <v>44830</v>
      </c>
      <c r="B2927" s="128" t="s">
        <v>31048</v>
      </c>
      <c r="C2927" s="194" t="s">
        <v>206</v>
      </c>
      <c r="D2927" s="195">
        <v>24136.9</v>
      </c>
      <c r="E2927" s="196">
        <v>44832</v>
      </c>
      <c r="F2927" s="195">
        <v>24136.9</v>
      </c>
      <c r="G2927" s="197">
        <f>Tabla110[[#This Row],[Importe]]-Tabla110[[#This Row],[Pagado]]</f>
        <v>0</v>
      </c>
      <c r="H2927" s="194" t="s">
        <v>10</v>
      </c>
    </row>
    <row r="2928" spans="1:8" x14ac:dyDescent="0.25">
      <c r="A2928" s="127">
        <v>44830</v>
      </c>
      <c r="B2928" s="128" t="s">
        <v>31049</v>
      </c>
      <c r="C2928" s="194" t="s">
        <v>291</v>
      </c>
      <c r="D2928" s="195">
        <v>2929</v>
      </c>
      <c r="E2928" s="196">
        <v>44830</v>
      </c>
      <c r="F2928" s="195">
        <v>2929</v>
      </c>
      <c r="G2928" s="197">
        <f>Tabla110[[#This Row],[Importe]]-Tabla110[[#This Row],[Pagado]]</f>
        <v>0</v>
      </c>
      <c r="H2928" s="194" t="s">
        <v>10</v>
      </c>
    </row>
    <row r="2929" spans="1:8" x14ac:dyDescent="0.25">
      <c r="A2929" s="127">
        <v>44830</v>
      </c>
      <c r="B2929" s="128" t="s">
        <v>31050</v>
      </c>
      <c r="C2929" s="194" t="s">
        <v>154</v>
      </c>
      <c r="D2929" s="195">
        <v>30345</v>
      </c>
      <c r="E2929" s="196">
        <v>44834</v>
      </c>
      <c r="F2929" s="195">
        <v>30345</v>
      </c>
      <c r="G2929" s="197">
        <f>Tabla110[[#This Row],[Importe]]-Tabla110[[#This Row],[Pagado]]</f>
        <v>0</v>
      </c>
      <c r="H2929" s="194" t="s">
        <v>10</v>
      </c>
    </row>
    <row r="2930" spans="1:8" x14ac:dyDescent="0.25">
      <c r="A2930" s="127">
        <v>44830</v>
      </c>
      <c r="B2930" s="128" t="s">
        <v>31051</v>
      </c>
      <c r="C2930" s="194" t="s">
        <v>212</v>
      </c>
      <c r="D2930" s="195">
        <v>64218.2</v>
      </c>
      <c r="E2930" s="196">
        <v>44832</v>
      </c>
      <c r="F2930" s="195">
        <v>64218.2</v>
      </c>
      <c r="G2930" s="197">
        <f>Tabla110[[#This Row],[Importe]]-Tabla110[[#This Row],[Pagado]]</f>
        <v>0</v>
      </c>
      <c r="H2930" s="194" t="s">
        <v>10</v>
      </c>
    </row>
    <row r="2931" spans="1:8" x14ac:dyDescent="0.25">
      <c r="A2931" s="127">
        <v>44830</v>
      </c>
      <c r="B2931" s="128" t="s">
        <v>31052</v>
      </c>
      <c r="C2931" s="194" t="s">
        <v>2139</v>
      </c>
      <c r="D2931" s="195">
        <v>6560</v>
      </c>
      <c r="E2931" s="196">
        <v>44830</v>
      </c>
      <c r="F2931" s="195">
        <v>6560</v>
      </c>
      <c r="G2931" s="197">
        <f>Tabla110[[#This Row],[Importe]]-Tabla110[[#This Row],[Pagado]]</f>
        <v>0</v>
      </c>
      <c r="H2931" s="194" t="s">
        <v>10</v>
      </c>
    </row>
    <row r="2932" spans="1:8" x14ac:dyDescent="0.25">
      <c r="A2932" s="127">
        <v>44830</v>
      </c>
      <c r="B2932" s="128" t="s">
        <v>31053</v>
      </c>
      <c r="C2932" s="194" t="s">
        <v>191</v>
      </c>
      <c r="D2932" s="195">
        <v>8400</v>
      </c>
      <c r="E2932" s="196">
        <v>44830</v>
      </c>
      <c r="F2932" s="195">
        <v>8400</v>
      </c>
      <c r="G2932" s="197">
        <f>Tabla110[[#This Row],[Importe]]-Tabla110[[#This Row],[Pagado]]</f>
        <v>0</v>
      </c>
      <c r="H2932" s="194" t="s">
        <v>10</v>
      </c>
    </row>
    <row r="2933" spans="1:8" x14ac:dyDescent="0.25">
      <c r="A2933" s="127">
        <v>44830</v>
      </c>
      <c r="B2933" s="128" t="s">
        <v>31054</v>
      </c>
      <c r="C2933" s="194" t="s">
        <v>440</v>
      </c>
      <c r="D2933" s="195">
        <v>10211.36</v>
      </c>
      <c r="E2933" s="196">
        <v>44841</v>
      </c>
      <c r="F2933" s="195">
        <v>10211.36</v>
      </c>
      <c r="G2933" s="197">
        <f>Tabla110[[#This Row],[Importe]]-Tabla110[[#This Row],[Pagado]]</f>
        <v>0</v>
      </c>
      <c r="H2933" s="194" t="s">
        <v>10</v>
      </c>
    </row>
    <row r="2934" spans="1:8" x14ac:dyDescent="0.25">
      <c r="A2934" s="127">
        <v>44830</v>
      </c>
      <c r="B2934" s="128" t="s">
        <v>31055</v>
      </c>
      <c r="C2934" s="194" t="s">
        <v>475</v>
      </c>
      <c r="D2934" s="195">
        <v>26290.799999999999</v>
      </c>
      <c r="E2934" s="196">
        <v>44832</v>
      </c>
      <c r="F2934" s="195">
        <v>26290.799999999999</v>
      </c>
      <c r="G2934" s="197">
        <f>Tabla110[[#This Row],[Importe]]-Tabla110[[#This Row],[Pagado]]</f>
        <v>0</v>
      </c>
      <c r="H2934" s="194" t="s">
        <v>10</v>
      </c>
    </row>
    <row r="2935" spans="1:8" x14ac:dyDescent="0.25">
      <c r="A2935" s="127">
        <v>44830</v>
      </c>
      <c r="B2935" s="128" t="s">
        <v>31056</v>
      </c>
      <c r="C2935" s="194" t="s">
        <v>475</v>
      </c>
      <c r="D2935" s="195">
        <v>4370</v>
      </c>
      <c r="E2935" s="196">
        <v>44832</v>
      </c>
      <c r="F2935" s="195">
        <v>4370</v>
      </c>
      <c r="G2935" s="197">
        <f>Tabla110[[#This Row],[Importe]]-Tabla110[[#This Row],[Pagado]]</f>
        <v>0</v>
      </c>
      <c r="H2935" s="194" t="s">
        <v>10</v>
      </c>
    </row>
    <row r="2936" spans="1:8" x14ac:dyDescent="0.25">
      <c r="A2936" s="127">
        <v>44830</v>
      </c>
      <c r="B2936" s="128" t="s">
        <v>31057</v>
      </c>
      <c r="C2936" s="194" t="s">
        <v>9827</v>
      </c>
      <c r="D2936" s="195">
        <v>4005.2</v>
      </c>
      <c r="E2936" s="196">
        <v>44830</v>
      </c>
      <c r="F2936" s="195">
        <v>4005.2</v>
      </c>
      <c r="G2936" s="197">
        <f>Tabla110[[#This Row],[Importe]]-Tabla110[[#This Row],[Pagado]]</f>
        <v>0</v>
      </c>
      <c r="H2936" s="194" t="s">
        <v>10</v>
      </c>
    </row>
    <row r="2937" spans="1:8" x14ac:dyDescent="0.25">
      <c r="A2937" s="127">
        <v>44830</v>
      </c>
      <c r="B2937" s="128" t="s">
        <v>31058</v>
      </c>
      <c r="C2937" s="194" t="s">
        <v>16</v>
      </c>
      <c r="D2937" s="195">
        <v>708</v>
      </c>
      <c r="E2937" s="196">
        <v>44830</v>
      </c>
      <c r="F2937" s="195">
        <v>708</v>
      </c>
      <c r="G2937" s="197">
        <f>Tabla110[[#This Row],[Importe]]-Tabla110[[#This Row],[Pagado]]</f>
        <v>0</v>
      </c>
      <c r="H2937" s="194" t="s">
        <v>10</v>
      </c>
    </row>
    <row r="2938" spans="1:8" x14ac:dyDescent="0.25">
      <c r="A2938" s="127">
        <v>44830</v>
      </c>
      <c r="B2938" s="128" t="s">
        <v>31059</v>
      </c>
      <c r="C2938" s="194" t="s">
        <v>5694</v>
      </c>
      <c r="D2938" s="195">
        <v>4713.6000000000004</v>
      </c>
      <c r="E2938" s="196">
        <v>44830</v>
      </c>
      <c r="F2938" s="195">
        <v>4713.6000000000004</v>
      </c>
      <c r="G2938" s="197">
        <f>Tabla110[[#This Row],[Importe]]-Tabla110[[#This Row],[Pagado]]</f>
        <v>0</v>
      </c>
      <c r="H2938" s="194" t="s">
        <v>10</v>
      </c>
    </row>
    <row r="2939" spans="1:8" x14ac:dyDescent="0.25">
      <c r="A2939" s="127">
        <v>44830</v>
      </c>
      <c r="B2939" s="128" t="s">
        <v>31060</v>
      </c>
      <c r="C2939" s="194" t="s">
        <v>10678</v>
      </c>
      <c r="D2939" s="195">
        <v>5268</v>
      </c>
      <c r="E2939" s="196">
        <v>44830</v>
      </c>
      <c r="F2939" s="195">
        <v>5268</v>
      </c>
      <c r="G2939" s="197">
        <f>Tabla110[[#This Row],[Importe]]-Tabla110[[#This Row],[Pagado]]</f>
        <v>0</v>
      </c>
      <c r="H2939" s="194" t="s">
        <v>10</v>
      </c>
    </row>
    <row r="2940" spans="1:8" x14ac:dyDescent="0.25">
      <c r="A2940" s="127">
        <v>44830</v>
      </c>
      <c r="B2940" s="128" t="s">
        <v>31061</v>
      </c>
      <c r="C2940" s="194" t="s">
        <v>698</v>
      </c>
      <c r="D2940" s="195">
        <v>10080.700000000001</v>
      </c>
      <c r="E2940" s="196">
        <v>44830</v>
      </c>
      <c r="F2940" s="195">
        <v>10080.700000000001</v>
      </c>
      <c r="G2940" s="197">
        <f>Tabla110[[#This Row],[Importe]]-Tabla110[[#This Row],[Pagado]]</f>
        <v>0</v>
      </c>
      <c r="H2940" s="194" t="s">
        <v>10</v>
      </c>
    </row>
    <row r="2941" spans="1:8" x14ac:dyDescent="0.25">
      <c r="A2941" s="127">
        <v>44830</v>
      </c>
      <c r="B2941" s="128" t="s">
        <v>31062</v>
      </c>
      <c r="C2941" s="194" t="s">
        <v>296</v>
      </c>
      <c r="D2941" s="195">
        <v>4974.2</v>
      </c>
      <c r="E2941" s="196">
        <v>44830</v>
      </c>
      <c r="F2941" s="195">
        <v>4974.2</v>
      </c>
      <c r="G2941" s="197">
        <f>Tabla110[[#This Row],[Importe]]-Tabla110[[#This Row],[Pagado]]</f>
        <v>0</v>
      </c>
      <c r="H2941" s="194" t="s">
        <v>10</v>
      </c>
    </row>
    <row r="2942" spans="1:8" x14ac:dyDescent="0.25">
      <c r="A2942" s="127">
        <v>44830</v>
      </c>
      <c r="B2942" s="128" t="s">
        <v>31063</v>
      </c>
      <c r="C2942" s="194" t="s">
        <v>135</v>
      </c>
      <c r="D2942" s="195">
        <v>1539.8</v>
      </c>
      <c r="E2942" s="196">
        <v>44831</v>
      </c>
      <c r="F2942" s="195">
        <v>1539.8</v>
      </c>
      <c r="G2942" s="197">
        <f>Tabla110[[#This Row],[Importe]]-Tabla110[[#This Row],[Pagado]]</f>
        <v>0</v>
      </c>
      <c r="H2942" s="194" t="s">
        <v>10</v>
      </c>
    </row>
    <row r="2943" spans="1:8" x14ac:dyDescent="0.25">
      <c r="A2943" s="127">
        <v>44830</v>
      </c>
      <c r="B2943" s="128" t="s">
        <v>31064</v>
      </c>
      <c r="C2943" s="194" t="s">
        <v>214</v>
      </c>
      <c r="D2943" s="195">
        <v>2247.5</v>
      </c>
      <c r="E2943" s="196">
        <v>44831</v>
      </c>
      <c r="F2943" s="195">
        <v>2247.5</v>
      </c>
      <c r="G2943" s="197">
        <f>Tabla110[[#This Row],[Importe]]-Tabla110[[#This Row],[Pagado]]</f>
        <v>0</v>
      </c>
      <c r="H2943" s="194" t="s">
        <v>10</v>
      </c>
    </row>
    <row r="2944" spans="1:8" x14ac:dyDescent="0.25">
      <c r="A2944" s="127">
        <v>44830</v>
      </c>
      <c r="B2944" s="128" t="s">
        <v>31065</v>
      </c>
      <c r="C2944" s="194" t="s">
        <v>284</v>
      </c>
      <c r="D2944" s="195">
        <v>10883.2</v>
      </c>
      <c r="E2944" s="196">
        <v>44831</v>
      </c>
      <c r="F2944" s="195">
        <v>10883.2</v>
      </c>
      <c r="G2944" s="197">
        <f>Tabla110[[#This Row],[Importe]]-Tabla110[[#This Row],[Pagado]]</f>
        <v>0</v>
      </c>
      <c r="H2944" s="194" t="s">
        <v>10</v>
      </c>
    </row>
    <row r="2945" spans="1:8" x14ac:dyDescent="0.25">
      <c r="A2945" s="127">
        <v>44830</v>
      </c>
      <c r="B2945" s="128" t="s">
        <v>31066</v>
      </c>
      <c r="C2945" s="194" t="s">
        <v>282</v>
      </c>
      <c r="D2945" s="195">
        <v>2591.6</v>
      </c>
      <c r="E2945" s="196">
        <v>44831</v>
      </c>
      <c r="F2945" s="195">
        <v>2591.6</v>
      </c>
      <c r="G2945" s="197">
        <f>Tabla110[[#This Row],[Importe]]-Tabla110[[#This Row],[Pagado]]</f>
        <v>0</v>
      </c>
      <c r="H2945" s="194" t="s">
        <v>10</v>
      </c>
    </row>
    <row r="2946" spans="1:8" x14ac:dyDescent="0.25">
      <c r="A2946" s="127">
        <v>44830</v>
      </c>
      <c r="B2946" s="128" t="s">
        <v>31067</v>
      </c>
      <c r="C2946" s="194" t="s">
        <v>10819</v>
      </c>
      <c r="D2946" s="195">
        <v>1451.6</v>
      </c>
      <c r="E2946" s="196">
        <v>44831</v>
      </c>
      <c r="F2946" s="195">
        <v>1451.6</v>
      </c>
      <c r="G2946" s="197">
        <f>Tabla110[[#This Row],[Importe]]-Tabla110[[#This Row],[Pagado]]</f>
        <v>0</v>
      </c>
      <c r="H2946" s="194" t="s">
        <v>10</v>
      </c>
    </row>
    <row r="2947" spans="1:8" x14ac:dyDescent="0.25">
      <c r="A2947" s="127">
        <v>44830</v>
      </c>
      <c r="B2947" s="128" t="s">
        <v>31068</v>
      </c>
      <c r="C2947" s="194" t="s">
        <v>31</v>
      </c>
      <c r="D2947" s="195">
        <v>4634.3999999999996</v>
      </c>
      <c r="E2947" s="196">
        <v>44830</v>
      </c>
      <c r="F2947" s="195">
        <v>4634.3999999999996</v>
      </c>
      <c r="G2947" s="197">
        <f>Tabla110[[#This Row],[Importe]]-Tabla110[[#This Row],[Pagado]]</f>
        <v>0</v>
      </c>
      <c r="H2947" s="194" t="s">
        <v>10</v>
      </c>
    </row>
    <row r="2948" spans="1:8" x14ac:dyDescent="0.25">
      <c r="A2948" s="127">
        <v>44830</v>
      </c>
      <c r="B2948" s="128" t="s">
        <v>31069</v>
      </c>
      <c r="C2948" s="194" t="s">
        <v>280</v>
      </c>
      <c r="D2948" s="195">
        <v>1132.4000000000001</v>
      </c>
      <c r="E2948" s="196">
        <v>44831</v>
      </c>
      <c r="F2948" s="195">
        <v>1132.4000000000001</v>
      </c>
      <c r="G2948" s="197">
        <f>Tabla110[[#This Row],[Importe]]-Tabla110[[#This Row],[Pagado]]</f>
        <v>0</v>
      </c>
      <c r="H2948" s="194" t="s">
        <v>10</v>
      </c>
    </row>
    <row r="2949" spans="1:8" x14ac:dyDescent="0.25">
      <c r="A2949" s="127">
        <v>44830</v>
      </c>
      <c r="B2949" s="128" t="s">
        <v>31070</v>
      </c>
      <c r="C2949" s="194" t="s">
        <v>53</v>
      </c>
      <c r="D2949" s="195">
        <v>1895.4</v>
      </c>
      <c r="E2949" s="196">
        <v>44830</v>
      </c>
      <c r="F2949" s="195">
        <v>1895.4</v>
      </c>
      <c r="G2949" s="197">
        <f>Tabla110[[#This Row],[Importe]]-Tabla110[[#This Row],[Pagado]]</f>
        <v>0</v>
      </c>
      <c r="H2949" s="194" t="s">
        <v>10</v>
      </c>
    </row>
    <row r="2950" spans="1:8" x14ac:dyDescent="0.25">
      <c r="A2950" s="127">
        <v>44830</v>
      </c>
      <c r="B2950" s="128" t="s">
        <v>31071</v>
      </c>
      <c r="C2950" s="194" t="s">
        <v>31</v>
      </c>
      <c r="D2950" s="195">
        <v>400</v>
      </c>
      <c r="E2950" s="196">
        <v>44830</v>
      </c>
      <c r="F2950" s="195">
        <v>400</v>
      </c>
      <c r="G2950" s="197">
        <f>Tabla110[[#This Row],[Importe]]-Tabla110[[#This Row],[Pagado]]</f>
        <v>0</v>
      </c>
      <c r="H2950" s="194" t="s">
        <v>10</v>
      </c>
    </row>
    <row r="2951" spans="1:8" x14ac:dyDescent="0.25">
      <c r="A2951" s="127">
        <v>44830</v>
      </c>
      <c r="B2951" s="128" t="s">
        <v>31072</v>
      </c>
      <c r="C2951" s="194" t="s">
        <v>31</v>
      </c>
      <c r="D2951" s="195">
        <v>37.5</v>
      </c>
      <c r="E2951" s="196">
        <v>44830</v>
      </c>
      <c r="F2951" s="195">
        <v>37.5</v>
      </c>
      <c r="G2951" s="197">
        <f>Tabla110[[#This Row],[Importe]]-Tabla110[[#This Row],[Pagado]]</f>
        <v>0</v>
      </c>
      <c r="H2951" s="194" t="s">
        <v>10</v>
      </c>
    </row>
    <row r="2952" spans="1:8" x14ac:dyDescent="0.25">
      <c r="A2952" s="127">
        <v>44830</v>
      </c>
      <c r="B2952" s="128" t="s">
        <v>31073</v>
      </c>
      <c r="C2952" s="194" t="s">
        <v>167</v>
      </c>
      <c r="D2952" s="195">
        <v>61329.2</v>
      </c>
      <c r="E2952" s="196">
        <v>44830</v>
      </c>
      <c r="F2952" s="195">
        <v>61329.2</v>
      </c>
      <c r="G2952" s="197">
        <f>Tabla110[[#This Row],[Importe]]-Tabla110[[#This Row],[Pagado]]</f>
        <v>0</v>
      </c>
      <c r="H2952" s="194" t="s">
        <v>10</v>
      </c>
    </row>
    <row r="2953" spans="1:8" x14ac:dyDescent="0.25">
      <c r="A2953" s="127">
        <v>44830</v>
      </c>
      <c r="B2953" s="128" t="s">
        <v>31074</v>
      </c>
      <c r="C2953" s="194" t="s">
        <v>296</v>
      </c>
      <c r="D2953" s="195">
        <v>2527.1999999999998</v>
      </c>
      <c r="E2953" s="196">
        <v>44830</v>
      </c>
      <c r="F2953" s="195">
        <v>2527.1999999999998</v>
      </c>
      <c r="G2953" s="197">
        <f>Tabla110[[#This Row],[Importe]]-Tabla110[[#This Row],[Pagado]]</f>
        <v>0</v>
      </c>
      <c r="H2953" s="194" t="s">
        <v>10</v>
      </c>
    </row>
    <row r="2954" spans="1:8" x14ac:dyDescent="0.25">
      <c r="A2954" s="127">
        <v>44830</v>
      </c>
      <c r="B2954" s="128" t="s">
        <v>31075</v>
      </c>
      <c r="C2954" s="194" t="s">
        <v>2020</v>
      </c>
      <c r="D2954" s="195">
        <v>11483.6</v>
      </c>
      <c r="E2954" s="196">
        <v>44830</v>
      </c>
      <c r="F2954" s="195">
        <v>11483.6</v>
      </c>
      <c r="G2954" s="197">
        <f>Tabla110[[#This Row],[Importe]]-Tabla110[[#This Row],[Pagado]]</f>
        <v>0</v>
      </c>
      <c r="H2954" s="194" t="s">
        <v>10</v>
      </c>
    </row>
    <row r="2955" spans="1:8" x14ac:dyDescent="0.25">
      <c r="A2955" s="127">
        <v>44830</v>
      </c>
      <c r="B2955" s="128" t="s">
        <v>31076</v>
      </c>
      <c r="C2955" s="194" t="s">
        <v>414</v>
      </c>
      <c r="D2955" s="195">
        <v>2650</v>
      </c>
      <c r="E2955" s="196">
        <v>44831</v>
      </c>
      <c r="F2955" s="195">
        <v>2650</v>
      </c>
      <c r="G2955" s="197">
        <f>Tabla110[[#This Row],[Importe]]-Tabla110[[#This Row],[Pagado]]</f>
        <v>0</v>
      </c>
      <c r="H2955" s="194" t="s">
        <v>10</v>
      </c>
    </row>
    <row r="2956" spans="1:8" ht="31.5" x14ac:dyDescent="0.25">
      <c r="A2956" s="127">
        <v>44830</v>
      </c>
      <c r="B2956" s="128" t="s">
        <v>31077</v>
      </c>
      <c r="C2956" s="194" t="s">
        <v>10840</v>
      </c>
      <c r="D2956" s="195">
        <v>48926.400000000001</v>
      </c>
      <c r="E2956" s="198" t="s">
        <v>31545</v>
      </c>
      <c r="F2956" s="195">
        <f>32000+16926.4</f>
        <v>48926.400000000001</v>
      </c>
      <c r="G2956" s="197">
        <f>Tabla110[[#This Row],[Importe]]-Tabla110[[#This Row],[Pagado]]</f>
        <v>0</v>
      </c>
      <c r="H2956" s="194" t="s">
        <v>10</v>
      </c>
    </row>
    <row r="2957" spans="1:8" x14ac:dyDescent="0.25">
      <c r="A2957" s="127">
        <v>44831</v>
      </c>
      <c r="B2957" s="128" t="s">
        <v>31078</v>
      </c>
      <c r="C2957" s="194" t="s">
        <v>473</v>
      </c>
      <c r="D2957" s="195">
        <v>4716</v>
      </c>
      <c r="E2957" s="196">
        <v>44831</v>
      </c>
      <c r="F2957" s="195">
        <v>4716</v>
      </c>
      <c r="G2957" s="197">
        <f>Tabla110[[#This Row],[Importe]]-Tabla110[[#This Row],[Pagado]]</f>
        <v>0</v>
      </c>
      <c r="H2957" s="194" t="s">
        <v>10</v>
      </c>
    </row>
    <row r="2958" spans="1:8" x14ac:dyDescent="0.25">
      <c r="A2958" s="127">
        <v>44831</v>
      </c>
      <c r="B2958" s="128" t="s">
        <v>31079</v>
      </c>
      <c r="C2958" s="194" t="s">
        <v>75</v>
      </c>
      <c r="D2958" s="195">
        <v>6657.6</v>
      </c>
      <c r="E2958" s="196">
        <v>44831</v>
      </c>
      <c r="F2958" s="195">
        <v>6657.6</v>
      </c>
      <c r="G2958" s="197">
        <f>Tabla110[[#This Row],[Importe]]-Tabla110[[#This Row],[Pagado]]</f>
        <v>0</v>
      </c>
      <c r="H2958" s="194" t="s">
        <v>10</v>
      </c>
    </row>
    <row r="2959" spans="1:8" x14ac:dyDescent="0.25">
      <c r="A2959" s="127">
        <v>44831</v>
      </c>
      <c r="B2959" s="128" t="s">
        <v>31080</v>
      </c>
      <c r="C2959" s="194" t="s">
        <v>151</v>
      </c>
      <c r="D2959" s="195">
        <v>16322.7</v>
      </c>
      <c r="E2959" s="196">
        <v>44831</v>
      </c>
      <c r="F2959" s="195">
        <v>16322.7</v>
      </c>
      <c r="G2959" s="197">
        <f>Tabla110[[#This Row],[Importe]]-Tabla110[[#This Row],[Pagado]]</f>
        <v>0</v>
      </c>
      <c r="H2959" s="194" t="s">
        <v>10</v>
      </c>
    </row>
    <row r="2960" spans="1:8" x14ac:dyDescent="0.25">
      <c r="A2960" s="127">
        <v>44831</v>
      </c>
      <c r="B2960" s="128" t="s">
        <v>31081</v>
      </c>
      <c r="C2960" s="194" t="s">
        <v>12</v>
      </c>
      <c r="D2960" s="195">
        <v>27789.35</v>
      </c>
      <c r="E2960" s="196">
        <v>44832</v>
      </c>
      <c r="F2960" s="195">
        <v>27789.35</v>
      </c>
      <c r="G2960" s="197">
        <f>Tabla110[[#This Row],[Importe]]-Tabla110[[#This Row],[Pagado]]</f>
        <v>0</v>
      </c>
      <c r="H2960" s="194" t="s">
        <v>10</v>
      </c>
    </row>
    <row r="2961" spans="1:8" x14ac:dyDescent="0.25">
      <c r="A2961" s="127">
        <v>44831</v>
      </c>
      <c r="B2961" s="128" t="s">
        <v>31082</v>
      </c>
      <c r="C2961" s="194" t="s">
        <v>79</v>
      </c>
      <c r="D2961" s="195">
        <v>7265.6</v>
      </c>
      <c r="E2961" s="196">
        <v>44831</v>
      </c>
      <c r="F2961" s="195">
        <v>7265.6</v>
      </c>
      <c r="G2961" s="197">
        <f>Tabla110[[#This Row],[Importe]]-Tabla110[[#This Row],[Pagado]]</f>
        <v>0</v>
      </c>
      <c r="H2961" s="194" t="s">
        <v>10</v>
      </c>
    </row>
    <row r="2962" spans="1:8" x14ac:dyDescent="0.25">
      <c r="A2962" s="127">
        <v>44831</v>
      </c>
      <c r="B2962" s="128" t="s">
        <v>31083</v>
      </c>
      <c r="C2962" s="194" t="s">
        <v>24768</v>
      </c>
      <c r="D2962" s="195">
        <v>4964</v>
      </c>
      <c r="E2962" s="196">
        <v>44831</v>
      </c>
      <c r="F2962" s="195">
        <v>4964</v>
      </c>
      <c r="G2962" s="197">
        <f>Tabla110[[#This Row],[Importe]]-Tabla110[[#This Row],[Pagado]]</f>
        <v>0</v>
      </c>
      <c r="H2962" s="194" t="s">
        <v>10</v>
      </c>
    </row>
    <row r="2963" spans="1:8" x14ac:dyDescent="0.25">
      <c r="A2963" s="127">
        <v>44831</v>
      </c>
      <c r="B2963" s="128" t="s">
        <v>31084</v>
      </c>
      <c r="C2963" s="194" t="s">
        <v>159</v>
      </c>
      <c r="D2963" s="195">
        <v>4706</v>
      </c>
      <c r="E2963" s="196">
        <v>44831</v>
      </c>
      <c r="F2963" s="195">
        <v>4706</v>
      </c>
      <c r="G2963" s="197">
        <f>Tabla110[[#This Row],[Importe]]-Tabla110[[#This Row],[Pagado]]</f>
        <v>0</v>
      </c>
      <c r="H2963" s="194" t="s">
        <v>10</v>
      </c>
    </row>
    <row r="2964" spans="1:8" x14ac:dyDescent="0.25">
      <c r="A2964" s="127">
        <v>44831</v>
      </c>
      <c r="B2964" s="128" t="s">
        <v>31085</v>
      </c>
      <c r="C2964" s="194" t="s">
        <v>9415</v>
      </c>
      <c r="D2964" s="195">
        <v>11997</v>
      </c>
      <c r="E2964" s="196">
        <v>44832</v>
      </c>
      <c r="F2964" s="195">
        <v>11997</v>
      </c>
      <c r="G2964" s="197">
        <f>Tabla110[[#This Row],[Importe]]-Tabla110[[#This Row],[Pagado]]</f>
        <v>0</v>
      </c>
      <c r="H2964" s="194" t="s">
        <v>10</v>
      </c>
    </row>
    <row r="2965" spans="1:8" x14ac:dyDescent="0.25">
      <c r="A2965" s="127">
        <v>44831</v>
      </c>
      <c r="B2965" s="128" t="s">
        <v>31086</v>
      </c>
      <c r="C2965" s="194" t="s">
        <v>114</v>
      </c>
      <c r="D2965" s="195">
        <v>11901.5</v>
      </c>
      <c r="E2965" s="196">
        <v>44833</v>
      </c>
      <c r="F2965" s="195">
        <v>11901.5</v>
      </c>
      <c r="G2965" s="197">
        <f>Tabla110[[#This Row],[Importe]]-Tabla110[[#This Row],[Pagado]]</f>
        <v>0</v>
      </c>
      <c r="H2965" s="194" t="s">
        <v>10</v>
      </c>
    </row>
    <row r="2966" spans="1:8" x14ac:dyDescent="0.25">
      <c r="A2966" s="127">
        <v>44831</v>
      </c>
      <c r="B2966" s="128" t="s">
        <v>31087</v>
      </c>
      <c r="C2966" s="194" t="s">
        <v>111</v>
      </c>
      <c r="D2966" s="195">
        <v>5570.5</v>
      </c>
      <c r="E2966" s="196">
        <v>44832</v>
      </c>
      <c r="F2966" s="195">
        <v>5570.5</v>
      </c>
      <c r="G2966" s="197">
        <f>Tabla110[[#This Row],[Importe]]-Tabla110[[#This Row],[Pagado]]</f>
        <v>0</v>
      </c>
      <c r="H2966" s="194" t="s">
        <v>10</v>
      </c>
    </row>
    <row r="2967" spans="1:8" x14ac:dyDescent="0.25">
      <c r="A2967" s="127">
        <v>44831</v>
      </c>
      <c r="B2967" s="128" t="s">
        <v>31088</v>
      </c>
      <c r="C2967" s="194" t="s">
        <v>64</v>
      </c>
      <c r="D2967" s="195">
        <v>5395</v>
      </c>
      <c r="E2967" s="196">
        <v>44832</v>
      </c>
      <c r="F2967" s="195">
        <v>5395</v>
      </c>
      <c r="G2967" s="197">
        <f>Tabla110[[#This Row],[Importe]]-Tabla110[[#This Row],[Pagado]]</f>
        <v>0</v>
      </c>
      <c r="H2967" s="194" t="s">
        <v>10</v>
      </c>
    </row>
    <row r="2968" spans="1:8" x14ac:dyDescent="0.25">
      <c r="A2968" s="127">
        <v>44831</v>
      </c>
      <c r="B2968" s="128" t="s">
        <v>31089</v>
      </c>
      <c r="C2968" s="194" t="s">
        <v>9</v>
      </c>
      <c r="D2968" s="195">
        <v>8791.1</v>
      </c>
      <c r="E2968" s="196">
        <v>44831</v>
      </c>
      <c r="F2968" s="195">
        <v>8791.1</v>
      </c>
      <c r="G2968" s="197">
        <f>Tabla110[[#This Row],[Importe]]-Tabla110[[#This Row],[Pagado]]</f>
        <v>0</v>
      </c>
      <c r="H2968" s="194" t="s">
        <v>10</v>
      </c>
    </row>
    <row r="2969" spans="1:8" x14ac:dyDescent="0.25">
      <c r="A2969" s="127">
        <v>44831</v>
      </c>
      <c r="B2969" s="128" t="s">
        <v>31090</v>
      </c>
      <c r="C2969" s="194" t="s">
        <v>109</v>
      </c>
      <c r="D2969" s="195">
        <v>5239</v>
      </c>
      <c r="E2969" s="196">
        <v>44832</v>
      </c>
      <c r="F2969" s="195">
        <v>5239</v>
      </c>
      <c r="G2969" s="197">
        <f>Tabla110[[#This Row],[Importe]]-Tabla110[[#This Row],[Pagado]]</f>
        <v>0</v>
      </c>
      <c r="H2969" s="194" t="s">
        <v>10</v>
      </c>
    </row>
    <row r="2970" spans="1:8" x14ac:dyDescent="0.25">
      <c r="A2970" s="127">
        <v>44831</v>
      </c>
      <c r="B2970" s="128" t="s">
        <v>31091</v>
      </c>
      <c r="C2970" s="194" t="s">
        <v>89</v>
      </c>
      <c r="D2970" s="195">
        <v>10506</v>
      </c>
      <c r="E2970" s="196">
        <v>44832</v>
      </c>
      <c r="F2970" s="195">
        <v>10506</v>
      </c>
      <c r="G2970" s="197">
        <f>Tabla110[[#This Row],[Importe]]-Tabla110[[#This Row],[Pagado]]</f>
        <v>0</v>
      </c>
      <c r="H2970" s="194" t="s">
        <v>10</v>
      </c>
    </row>
    <row r="2971" spans="1:8" x14ac:dyDescent="0.25">
      <c r="A2971" s="127">
        <v>44831</v>
      </c>
      <c r="B2971" s="128" t="s">
        <v>31092</v>
      </c>
      <c r="C2971" s="194" t="s">
        <v>30029</v>
      </c>
      <c r="D2971" s="195">
        <v>3822</v>
      </c>
      <c r="E2971" s="196">
        <v>44832</v>
      </c>
      <c r="F2971" s="195">
        <v>3822</v>
      </c>
      <c r="G2971" s="197">
        <f>Tabla110[[#This Row],[Importe]]-Tabla110[[#This Row],[Pagado]]</f>
        <v>0</v>
      </c>
      <c r="H2971" s="194" t="s">
        <v>10</v>
      </c>
    </row>
    <row r="2972" spans="1:8" x14ac:dyDescent="0.25">
      <c r="A2972" s="127">
        <v>44831</v>
      </c>
      <c r="B2972" s="128" t="s">
        <v>31093</v>
      </c>
      <c r="C2972" s="194" t="s">
        <v>345</v>
      </c>
      <c r="D2972" s="195">
        <v>585.20000000000005</v>
      </c>
      <c r="E2972" s="196">
        <v>44831</v>
      </c>
      <c r="F2972" s="195">
        <v>585.20000000000005</v>
      </c>
      <c r="G2972" s="197">
        <f>Tabla110[[#This Row],[Importe]]-Tabla110[[#This Row],[Pagado]]</f>
        <v>0</v>
      </c>
      <c r="H2972" s="194" t="s">
        <v>10</v>
      </c>
    </row>
    <row r="2973" spans="1:8" x14ac:dyDescent="0.25">
      <c r="A2973" s="127">
        <v>44831</v>
      </c>
      <c r="B2973" s="128" t="s">
        <v>31094</v>
      </c>
      <c r="C2973" s="194" t="s">
        <v>22</v>
      </c>
      <c r="D2973" s="195">
        <v>67314.399999999994</v>
      </c>
      <c r="E2973" s="196">
        <v>44832</v>
      </c>
      <c r="F2973" s="195">
        <v>67314.399999999994</v>
      </c>
      <c r="G2973" s="197">
        <f>Tabla110[[#This Row],[Importe]]-Tabla110[[#This Row],[Pagado]]</f>
        <v>0</v>
      </c>
      <c r="H2973" s="194" t="s">
        <v>10</v>
      </c>
    </row>
    <row r="2974" spans="1:8" x14ac:dyDescent="0.25">
      <c r="A2974" s="127">
        <v>44831</v>
      </c>
      <c r="B2974" s="128" t="s">
        <v>31095</v>
      </c>
      <c r="C2974" s="194" t="s">
        <v>348</v>
      </c>
      <c r="D2974" s="195">
        <v>3798</v>
      </c>
      <c r="E2974" s="196">
        <v>44831</v>
      </c>
      <c r="F2974" s="195">
        <v>3798</v>
      </c>
      <c r="G2974" s="197">
        <f>Tabla110[[#This Row],[Importe]]-Tabla110[[#This Row],[Pagado]]</f>
        <v>0</v>
      </c>
      <c r="H2974" s="194" t="s">
        <v>10</v>
      </c>
    </row>
    <row r="2975" spans="1:8" x14ac:dyDescent="0.25">
      <c r="A2975" s="127">
        <v>44831</v>
      </c>
      <c r="B2975" s="128" t="s">
        <v>31096</v>
      </c>
      <c r="C2975" s="194" t="s">
        <v>93</v>
      </c>
      <c r="D2975" s="195">
        <v>2732.8</v>
      </c>
      <c r="E2975" s="196">
        <v>44833</v>
      </c>
      <c r="F2975" s="195">
        <v>2732.8</v>
      </c>
      <c r="G2975" s="197">
        <f>Tabla110[[#This Row],[Importe]]-Tabla110[[#This Row],[Pagado]]</f>
        <v>0</v>
      </c>
      <c r="H2975" s="194" t="s">
        <v>10</v>
      </c>
    </row>
    <row r="2976" spans="1:8" x14ac:dyDescent="0.25">
      <c r="A2976" s="127">
        <v>44831</v>
      </c>
      <c r="B2976" s="128" t="s">
        <v>31097</v>
      </c>
      <c r="C2976" s="194" t="s">
        <v>87</v>
      </c>
      <c r="D2976" s="195">
        <v>2750.4</v>
      </c>
      <c r="E2976" s="196">
        <v>44831</v>
      </c>
      <c r="F2976" s="195">
        <v>2750.4</v>
      </c>
      <c r="G2976" s="197">
        <f>Tabla110[[#This Row],[Importe]]-Tabla110[[#This Row],[Pagado]]</f>
        <v>0</v>
      </c>
      <c r="H2976" s="194" t="s">
        <v>10</v>
      </c>
    </row>
    <row r="2977" spans="1:8" x14ac:dyDescent="0.25">
      <c r="A2977" s="127">
        <v>44831</v>
      </c>
      <c r="B2977" s="128" t="s">
        <v>31098</v>
      </c>
      <c r="C2977" s="194" t="s">
        <v>314</v>
      </c>
      <c r="D2977" s="195">
        <v>1565.6</v>
      </c>
      <c r="E2977" s="196">
        <v>44831</v>
      </c>
      <c r="F2977" s="195">
        <v>1565.6</v>
      </c>
      <c r="G2977" s="197">
        <f>Tabla110[[#This Row],[Importe]]-Tabla110[[#This Row],[Pagado]]</f>
        <v>0</v>
      </c>
      <c r="H2977" s="194" t="s">
        <v>10</v>
      </c>
    </row>
    <row r="2978" spans="1:8" x14ac:dyDescent="0.25">
      <c r="A2978" s="127">
        <v>44831</v>
      </c>
      <c r="B2978" s="128" t="s">
        <v>31099</v>
      </c>
      <c r="C2978" s="194" t="s">
        <v>2151</v>
      </c>
      <c r="D2978" s="195">
        <v>8970.6</v>
      </c>
      <c r="E2978" s="196">
        <v>44831</v>
      </c>
      <c r="F2978" s="195">
        <v>8970.6</v>
      </c>
      <c r="G2978" s="197">
        <f>Tabla110[[#This Row],[Importe]]-Tabla110[[#This Row],[Pagado]]</f>
        <v>0</v>
      </c>
      <c r="H2978" s="194" t="s">
        <v>10</v>
      </c>
    </row>
    <row r="2979" spans="1:8" x14ac:dyDescent="0.25">
      <c r="A2979" s="127">
        <v>44831</v>
      </c>
      <c r="B2979" s="128" t="s">
        <v>31100</v>
      </c>
      <c r="C2979" s="194" t="s">
        <v>97</v>
      </c>
      <c r="D2979" s="195">
        <v>8763.9</v>
      </c>
      <c r="E2979" s="196">
        <v>44832</v>
      </c>
      <c r="F2979" s="195">
        <v>8763.9</v>
      </c>
      <c r="G2979" s="197">
        <f>Tabla110[[#This Row],[Importe]]-Tabla110[[#This Row],[Pagado]]</f>
        <v>0</v>
      </c>
      <c r="H2979" s="194" t="s">
        <v>10</v>
      </c>
    </row>
    <row r="2980" spans="1:8" x14ac:dyDescent="0.25">
      <c r="A2980" s="127">
        <v>44831</v>
      </c>
      <c r="B2980" s="128" t="s">
        <v>31101</v>
      </c>
      <c r="C2980" s="194" t="s">
        <v>105</v>
      </c>
      <c r="D2980" s="195">
        <v>8520.5</v>
      </c>
      <c r="E2980" s="196">
        <v>44832</v>
      </c>
      <c r="F2980" s="195">
        <v>8520.5</v>
      </c>
      <c r="G2980" s="197">
        <f>Tabla110[[#This Row],[Importe]]-Tabla110[[#This Row],[Pagado]]</f>
        <v>0</v>
      </c>
      <c r="H2980" s="194" t="s">
        <v>10</v>
      </c>
    </row>
    <row r="2981" spans="1:8" x14ac:dyDescent="0.25">
      <c r="A2981" s="127">
        <v>44831</v>
      </c>
      <c r="B2981" s="128" t="s">
        <v>31102</v>
      </c>
      <c r="C2981" s="194" t="s">
        <v>31</v>
      </c>
      <c r="D2981" s="195">
        <v>7512.9</v>
      </c>
      <c r="E2981" s="196">
        <v>44831</v>
      </c>
      <c r="F2981" s="195">
        <v>7512.9</v>
      </c>
      <c r="G2981" s="197">
        <f>Tabla110[[#This Row],[Importe]]-Tabla110[[#This Row],[Pagado]]</f>
        <v>0</v>
      </c>
      <c r="H2981" s="194" t="s">
        <v>10</v>
      </c>
    </row>
    <row r="2982" spans="1:8" x14ac:dyDescent="0.25">
      <c r="A2982" s="127">
        <v>44831</v>
      </c>
      <c r="B2982" s="128" t="s">
        <v>31103</v>
      </c>
      <c r="C2982" s="194" t="s">
        <v>520</v>
      </c>
      <c r="D2982" s="195">
        <v>6547.4</v>
      </c>
      <c r="E2982" s="196">
        <v>44831</v>
      </c>
      <c r="F2982" s="195">
        <v>6547.4</v>
      </c>
      <c r="G2982" s="197">
        <f>Tabla110[[#This Row],[Importe]]-Tabla110[[#This Row],[Pagado]]</f>
        <v>0</v>
      </c>
      <c r="H2982" s="194" t="s">
        <v>10</v>
      </c>
    </row>
    <row r="2983" spans="1:8" x14ac:dyDescent="0.25">
      <c r="A2983" s="127">
        <v>44831</v>
      </c>
      <c r="B2983" s="128" t="s">
        <v>31104</v>
      </c>
      <c r="C2983" s="194" t="s">
        <v>157</v>
      </c>
      <c r="D2983" s="195">
        <v>6545.3</v>
      </c>
      <c r="E2983" s="196">
        <v>44831</v>
      </c>
      <c r="F2983" s="195">
        <v>6545.3</v>
      </c>
      <c r="G2983" s="197">
        <f>Tabla110[[#This Row],[Importe]]-Tabla110[[#This Row],[Pagado]]</f>
        <v>0</v>
      </c>
      <c r="H2983" s="194" t="s">
        <v>10</v>
      </c>
    </row>
    <row r="2984" spans="1:8" x14ac:dyDescent="0.25">
      <c r="A2984" s="127">
        <v>44831</v>
      </c>
      <c r="B2984" s="128" t="s">
        <v>31105</v>
      </c>
      <c r="C2984" s="194" t="s">
        <v>83</v>
      </c>
      <c r="D2984" s="195">
        <v>17732.400000000001</v>
      </c>
      <c r="E2984" s="196">
        <v>44831</v>
      </c>
      <c r="F2984" s="195">
        <v>17732.400000000001</v>
      </c>
      <c r="G2984" s="197">
        <f>Tabla110[[#This Row],[Importe]]-Tabla110[[#This Row],[Pagado]]</f>
        <v>0</v>
      </c>
      <c r="H2984" s="194" t="s">
        <v>10</v>
      </c>
    </row>
    <row r="2985" spans="1:8" x14ac:dyDescent="0.25">
      <c r="A2985" s="127">
        <v>44831</v>
      </c>
      <c r="B2985" s="128" t="s">
        <v>31106</v>
      </c>
      <c r="C2985" s="194" t="s">
        <v>56</v>
      </c>
      <c r="D2985" s="195">
        <v>7160</v>
      </c>
      <c r="E2985" s="196">
        <v>44831</v>
      </c>
      <c r="F2985" s="195">
        <v>7160</v>
      </c>
      <c r="G2985" s="197">
        <f>Tabla110[[#This Row],[Importe]]-Tabla110[[#This Row],[Pagado]]</f>
        <v>0</v>
      </c>
      <c r="H2985" s="194" t="s">
        <v>10</v>
      </c>
    </row>
    <row r="2986" spans="1:8" x14ac:dyDescent="0.25">
      <c r="A2986" s="127">
        <v>44831</v>
      </c>
      <c r="B2986" s="128" t="s">
        <v>31107</v>
      </c>
      <c r="C2986" s="194" t="s">
        <v>804</v>
      </c>
      <c r="D2986" s="195">
        <v>18955.5</v>
      </c>
      <c r="E2986" s="196">
        <v>44831</v>
      </c>
      <c r="F2986" s="195">
        <v>18955.5</v>
      </c>
      <c r="G2986" s="197">
        <f>Tabla110[[#This Row],[Importe]]-Tabla110[[#This Row],[Pagado]]</f>
        <v>0</v>
      </c>
      <c r="H2986" s="194" t="s">
        <v>10</v>
      </c>
    </row>
    <row r="2987" spans="1:8" x14ac:dyDescent="0.25">
      <c r="A2987" s="127">
        <v>44831</v>
      </c>
      <c r="B2987" s="128" t="s">
        <v>31108</v>
      </c>
      <c r="C2987" s="194" t="s">
        <v>16</v>
      </c>
      <c r="D2987" s="195">
        <v>6130.5</v>
      </c>
      <c r="E2987" s="196">
        <v>44831</v>
      </c>
      <c r="F2987" s="195">
        <v>6130.5</v>
      </c>
      <c r="G2987" s="197">
        <f>Tabla110[[#This Row],[Importe]]-Tabla110[[#This Row],[Pagado]]</f>
        <v>0</v>
      </c>
      <c r="H2987" s="194" t="s">
        <v>10</v>
      </c>
    </row>
    <row r="2988" spans="1:8" x14ac:dyDescent="0.25">
      <c r="A2988" s="127">
        <v>44831</v>
      </c>
      <c r="B2988" s="128" t="s">
        <v>31109</v>
      </c>
      <c r="C2988" s="194" t="s">
        <v>142</v>
      </c>
      <c r="D2988" s="195">
        <v>61159.199999999997</v>
      </c>
      <c r="E2988" s="196">
        <v>44860</v>
      </c>
      <c r="F2988" s="195">
        <v>61159.199999999997</v>
      </c>
      <c r="G2988" s="197">
        <f>Tabla110[[#This Row],[Importe]]-Tabla110[[#This Row],[Pagado]]</f>
        <v>0</v>
      </c>
      <c r="H2988" s="194" t="s">
        <v>10</v>
      </c>
    </row>
    <row r="2989" spans="1:8" x14ac:dyDescent="0.25">
      <c r="A2989" s="127">
        <v>44831</v>
      </c>
      <c r="B2989" s="128" t="s">
        <v>31110</v>
      </c>
      <c r="C2989" s="194" t="s">
        <v>466</v>
      </c>
      <c r="D2989" s="195">
        <v>21600</v>
      </c>
      <c r="E2989" s="196">
        <v>44831</v>
      </c>
      <c r="F2989" s="195">
        <v>21600</v>
      </c>
      <c r="G2989" s="197">
        <f>Tabla110[[#This Row],[Importe]]-Tabla110[[#This Row],[Pagado]]</f>
        <v>0</v>
      </c>
      <c r="H2989" s="194" t="s">
        <v>10</v>
      </c>
    </row>
    <row r="2990" spans="1:8" x14ac:dyDescent="0.25">
      <c r="A2990" s="127">
        <v>44831</v>
      </c>
      <c r="B2990" s="128" t="s">
        <v>31111</v>
      </c>
      <c r="C2990" s="194" t="s">
        <v>3971</v>
      </c>
      <c r="D2990" s="195">
        <v>12504.8</v>
      </c>
      <c r="E2990" s="196">
        <v>44831</v>
      </c>
      <c r="F2990" s="195">
        <v>12504.8</v>
      </c>
      <c r="G2990" s="197">
        <f>Tabla110[[#This Row],[Importe]]-Tabla110[[#This Row],[Pagado]]</f>
        <v>0</v>
      </c>
      <c r="H2990" s="194" t="s">
        <v>10</v>
      </c>
    </row>
    <row r="2991" spans="1:8" x14ac:dyDescent="0.25">
      <c r="A2991" s="127">
        <v>44831</v>
      </c>
      <c r="B2991" s="128" t="s">
        <v>31112</v>
      </c>
      <c r="C2991" s="194" t="s">
        <v>226</v>
      </c>
      <c r="D2991" s="195">
        <v>3990</v>
      </c>
      <c r="E2991" s="196">
        <v>44831</v>
      </c>
      <c r="F2991" s="195">
        <v>3990</v>
      </c>
      <c r="G2991" s="197">
        <f>Tabla110[[#This Row],[Importe]]-Tabla110[[#This Row],[Pagado]]</f>
        <v>0</v>
      </c>
      <c r="H2991" s="194" t="s">
        <v>10</v>
      </c>
    </row>
    <row r="2992" spans="1:8" x14ac:dyDescent="0.25">
      <c r="A2992" s="127">
        <v>44831</v>
      </c>
      <c r="B2992" s="128" t="s">
        <v>31113</v>
      </c>
      <c r="C2992" s="194" t="s">
        <v>17556</v>
      </c>
      <c r="D2992" s="195">
        <v>3619</v>
      </c>
      <c r="E2992" s="196">
        <v>44831</v>
      </c>
      <c r="F2992" s="195">
        <v>3619</v>
      </c>
      <c r="G2992" s="197">
        <f>Tabla110[[#This Row],[Importe]]-Tabla110[[#This Row],[Pagado]]</f>
        <v>0</v>
      </c>
      <c r="H2992" s="194" t="s">
        <v>10</v>
      </c>
    </row>
    <row r="2993" spans="1:8" x14ac:dyDescent="0.25">
      <c r="A2993" s="127">
        <v>44831</v>
      </c>
      <c r="B2993" s="128" t="s">
        <v>31114</v>
      </c>
      <c r="C2993" s="194" t="s">
        <v>131</v>
      </c>
      <c r="D2993" s="195">
        <v>4689.2</v>
      </c>
      <c r="E2993" s="196">
        <v>44831</v>
      </c>
      <c r="F2993" s="195">
        <v>4689.2</v>
      </c>
      <c r="G2993" s="197">
        <f>Tabla110[[#This Row],[Importe]]-Tabla110[[#This Row],[Pagado]]</f>
        <v>0</v>
      </c>
      <c r="H2993" s="194" t="s">
        <v>10</v>
      </c>
    </row>
    <row r="2994" spans="1:8" x14ac:dyDescent="0.25">
      <c r="A2994" s="127">
        <v>44831</v>
      </c>
      <c r="B2994" s="128" t="s">
        <v>31115</v>
      </c>
      <c r="C2994" s="194" t="s">
        <v>135</v>
      </c>
      <c r="D2994" s="195">
        <v>3427.4</v>
      </c>
      <c r="E2994" s="196">
        <v>44831</v>
      </c>
      <c r="F2994" s="195">
        <v>3427.4</v>
      </c>
      <c r="G2994" s="197">
        <f>Tabla110[[#This Row],[Importe]]-Tabla110[[#This Row],[Pagado]]</f>
        <v>0</v>
      </c>
      <c r="H2994" s="194" t="s">
        <v>10</v>
      </c>
    </row>
    <row r="2995" spans="1:8" x14ac:dyDescent="0.25">
      <c r="A2995" s="127">
        <v>44831</v>
      </c>
      <c r="B2995" s="128" t="s">
        <v>31116</v>
      </c>
      <c r="C2995" s="194" t="s">
        <v>161</v>
      </c>
      <c r="D2995" s="195">
        <v>3610</v>
      </c>
      <c r="E2995" s="196">
        <v>44831</v>
      </c>
      <c r="F2995" s="195">
        <v>3610</v>
      </c>
      <c r="G2995" s="197">
        <f>Tabla110[[#This Row],[Importe]]-Tabla110[[#This Row],[Pagado]]</f>
        <v>0</v>
      </c>
      <c r="H2995" s="194" t="s">
        <v>10</v>
      </c>
    </row>
    <row r="2996" spans="1:8" x14ac:dyDescent="0.25">
      <c r="A2996" s="127">
        <v>44831</v>
      </c>
      <c r="B2996" s="128" t="s">
        <v>31117</v>
      </c>
      <c r="C2996" s="194" t="s">
        <v>45</v>
      </c>
      <c r="D2996" s="195">
        <v>13850.8</v>
      </c>
      <c r="E2996" s="196">
        <v>44831</v>
      </c>
      <c r="F2996" s="195">
        <v>13850.8</v>
      </c>
      <c r="G2996" s="197">
        <f>Tabla110[[#This Row],[Importe]]-Tabla110[[#This Row],[Pagado]]</f>
        <v>0</v>
      </c>
      <c r="H2996" s="194" t="s">
        <v>10</v>
      </c>
    </row>
    <row r="2997" spans="1:8" x14ac:dyDescent="0.25">
      <c r="A2997" s="127">
        <v>44831</v>
      </c>
      <c r="B2997" s="128" t="s">
        <v>31118</v>
      </c>
      <c r="C2997" s="194" t="s">
        <v>698</v>
      </c>
      <c r="D2997" s="195">
        <v>7093.6</v>
      </c>
      <c r="E2997" s="196">
        <v>44831</v>
      </c>
      <c r="F2997" s="195">
        <v>7093.6</v>
      </c>
      <c r="G2997" s="197">
        <f>Tabla110[[#This Row],[Importe]]-Tabla110[[#This Row],[Pagado]]</f>
        <v>0</v>
      </c>
      <c r="H2997" s="194" t="s">
        <v>10</v>
      </c>
    </row>
    <row r="2998" spans="1:8" x14ac:dyDescent="0.25">
      <c r="A2998" s="127">
        <v>44831</v>
      </c>
      <c r="B2998" s="128" t="s">
        <v>31119</v>
      </c>
      <c r="C2998" s="194" t="s">
        <v>357</v>
      </c>
      <c r="D2998" s="195">
        <v>4073.6</v>
      </c>
      <c r="E2998" s="196">
        <v>44831</v>
      </c>
      <c r="F2998" s="195">
        <v>4073.6</v>
      </c>
      <c r="G2998" s="197">
        <f>Tabla110[[#This Row],[Importe]]-Tabla110[[#This Row],[Pagado]]</f>
        <v>0</v>
      </c>
      <c r="H2998" s="194" t="s">
        <v>10</v>
      </c>
    </row>
    <row r="2999" spans="1:8" x14ac:dyDescent="0.25">
      <c r="A2999" s="127">
        <v>44831</v>
      </c>
      <c r="B2999" s="128" t="s">
        <v>31120</v>
      </c>
      <c r="C2999" s="194" t="s">
        <v>127</v>
      </c>
      <c r="D2999" s="195">
        <v>5353</v>
      </c>
      <c r="E2999" s="196">
        <v>44831</v>
      </c>
      <c r="F2999" s="195">
        <v>5353</v>
      </c>
      <c r="G2999" s="197">
        <f>Tabla110[[#This Row],[Importe]]-Tabla110[[#This Row],[Pagado]]</f>
        <v>0</v>
      </c>
      <c r="H2999" s="194" t="s">
        <v>10</v>
      </c>
    </row>
    <row r="3000" spans="1:8" x14ac:dyDescent="0.25">
      <c r="A3000" s="127">
        <v>44831</v>
      </c>
      <c r="B3000" s="128" t="s">
        <v>31121</v>
      </c>
      <c r="C3000" s="194" t="s">
        <v>161</v>
      </c>
      <c r="D3000" s="195">
        <v>660</v>
      </c>
      <c r="E3000" s="196">
        <v>44831</v>
      </c>
      <c r="F3000" s="195">
        <v>660</v>
      </c>
      <c r="G3000" s="197">
        <f>Tabla110[[#This Row],[Importe]]-Tabla110[[#This Row],[Pagado]]</f>
        <v>0</v>
      </c>
      <c r="H3000" s="194" t="s">
        <v>10</v>
      </c>
    </row>
    <row r="3001" spans="1:8" x14ac:dyDescent="0.25">
      <c r="A3001" s="127">
        <v>44831</v>
      </c>
      <c r="B3001" s="128" t="s">
        <v>31122</v>
      </c>
      <c r="C3001" s="194" t="s">
        <v>226</v>
      </c>
      <c r="D3001" s="195">
        <v>6012</v>
      </c>
      <c r="E3001" s="196">
        <v>44831</v>
      </c>
      <c r="F3001" s="195">
        <v>6012</v>
      </c>
      <c r="G3001" s="197">
        <f>Tabla110[[#This Row],[Importe]]-Tabla110[[#This Row],[Pagado]]</f>
        <v>0</v>
      </c>
      <c r="H3001" s="194" t="s">
        <v>10</v>
      </c>
    </row>
    <row r="3002" spans="1:8" x14ac:dyDescent="0.25">
      <c r="A3002" s="127">
        <v>44831</v>
      </c>
      <c r="B3002" s="128" t="s">
        <v>31123</v>
      </c>
      <c r="C3002" s="194" t="s">
        <v>45</v>
      </c>
      <c r="D3002" s="195">
        <v>1645.8</v>
      </c>
      <c r="E3002" s="196">
        <v>44831</v>
      </c>
      <c r="F3002" s="195">
        <v>1645.8</v>
      </c>
      <c r="G3002" s="197">
        <f>Tabla110[[#This Row],[Importe]]-Tabla110[[#This Row],[Pagado]]</f>
        <v>0</v>
      </c>
      <c r="H3002" s="194" t="s">
        <v>10</v>
      </c>
    </row>
    <row r="3003" spans="1:8" x14ac:dyDescent="0.25">
      <c r="A3003" s="127">
        <v>44831</v>
      </c>
      <c r="B3003" s="128" t="s">
        <v>31124</v>
      </c>
      <c r="C3003" s="194" t="s">
        <v>18</v>
      </c>
      <c r="D3003" s="195">
        <v>1692.6</v>
      </c>
      <c r="E3003" s="196">
        <v>44831</v>
      </c>
      <c r="F3003" s="195">
        <v>1692.6</v>
      </c>
      <c r="G3003" s="197">
        <f>Tabla110[[#This Row],[Importe]]-Tabla110[[#This Row],[Pagado]]</f>
        <v>0</v>
      </c>
      <c r="H3003" s="194" t="s">
        <v>10</v>
      </c>
    </row>
    <row r="3004" spans="1:8" x14ac:dyDescent="0.25">
      <c r="A3004" s="127">
        <v>44831</v>
      </c>
      <c r="B3004" s="128" t="s">
        <v>31125</v>
      </c>
      <c r="C3004" s="194" t="s">
        <v>49</v>
      </c>
      <c r="D3004" s="195">
        <v>3651.6</v>
      </c>
      <c r="E3004" s="196">
        <v>44831</v>
      </c>
      <c r="F3004" s="195">
        <v>3651.6</v>
      </c>
      <c r="G3004" s="197">
        <f>Tabla110[[#This Row],[Importe]]-Tabla110[[#This Row],[Pagado]]</f>
        <v>0</v>
      </c>
      <c r="H3004" s="194" t="s">
        <v>10</v>
      </c>
    </row>
    <row r="3005" spans="1:8" x14ac:dyDescent="0.25">
      <c r="A3005" s="127">
        <v>44831</v>
      </c>
      <c r="B3005" s="128" t="s">
        <v>31126</v>
      </c>
      <c r="C3005" s="194" t="s">
        <v>31</v>
      </c>
      <c r="D3005" s="195">
        <v>615.6</v>
      </c>
      <c r="E3005" s="196">
        <v>44831</v>
      </c>
      <c r="F3005" s="195">
        <v>615.6</v>
      </c>
      <c r="G3005" s="197">
        <f>Tabla110[[#This Row],[Importe]]-Tabla110[[#This Row],[Pagado]]</f>
        <v>0</v>
      </c>
      <c r="H3005" s="194" t="s">
        <v>10</v>
      </c>
    </row>
    <row r="3006" spans="1:8" x14ac:dyDescent="0.25">
      <c r="A3006" s="127">
        <v>44831</v>
      </c>
      <c r="B3006" s="128" t="s">
        <v>31127</v>
      </c>
      <c r="C3006" s="194" t="s">
        <v>214</v>
      </c>
      <c r="D3006" s="195">
        <v>2211.6</v>
      </c>
      <c r="E3006" s="196">
        <v>44831</v>
      </c>
      <c r="F3006" s="195">
        <v>2211.6</v>
      </c>
      <c r="G3006" s="197">
        <f>Tabla110[[#This Row],[Importe]]-Tabla110[[#This Row],[Pagado]]</f>
        <v>0</v>
      </c>
      <c r="H3006" s="194" t="s">
        <v>10</v>
      </c>
    </row>
    <row r="3007" spans="1:8" x14ac:dyDescent="0.25">
      <c r="A3007" s="127">
        <v>44831</v>
      </c>
      <c r="B3007" s="128" t="s">
        <v>31128</v>
      </c>
      <c r="C3007" s="194" t="s">
        <v>191</v>
      </c>
      <c r="D3007" s="195">
        <v>1723.8</v>
      </c>
      <c r="E3007" s="196">
        <v>44831</v>
      </c>
      <c r="F3007" s="195">
        <v>1723.8</v>
      </c>
      <c r="G3007" s="197">
        <f>Tabla110[[#This Row],[Importe]]-Tabla110[[#This Row],[Pagado]]</f>
        <v>0</v>
      </c>
      <c r="H3007" s="194" t="s">
        <v>10</v>
      </c>
    </row>
    <row r="3008" spans="1:8" x14ac:dyDescent="0.25">
      <c r="A3008" s="127">
        <v>44831</v>
      </c>
      <c r="B3008" s="128" t="s">
        <v>31129</v>
      </c>
      <c r="C3008" s="194" t="s">
        <v>24</v>
      </c>
      <c r="D3008" s="195">
        <v>4469.8</v>
      </c>
      <c r="E3008" s="196">
        <v>44831</v>
      </c>
      <c r="F3008" s="195">
        <v>4469.8</v>
      </c>
      <c r="G3008" s="197">
        <f>Tabla110[[#This Row],[Importe]]-Tabla110[[#This Row],[Pagado]]</f>
        <v>0</v>
      </c>
      <c r="H3008" s="194" t="s">
        <v>10</v>
      </c>
    </row>
    <row r="3009" spans="1:8" x14ac:dyDescent="0.25">
      <c r="A3009" s="127">
        <v>44831</v>
      </c>
      <c r="B3009" s="128" t="s">
        <v>31130</v>
      </c>
      <c r="C3009" s="194" t="s">
        <v>2151</v>
      </c>
      <c r="D3009" s="195">
        <v>10123.799999999999</v>
      </c>
      <c r="E3009" s="196">
        <v>44831</v>
      </c>
      <c r="F3009" s="195">
        <v>10123.799999999999</v>
      </c>
      <c r="G3009" s="197">
        <f>Tabla110[[#This Row],[Importe]]-Tabla110[[#This Row],[Pagado]]</f>
        <v>0</v>
      </c>
      <c r="H3009" s="194" t="s">
        <v>10</v>
      </c>
    </row>
    <row r="3010" spans="1:8" x14ac:dyDescent="0.25">
      <c r="A3010" s="127">
        <v>44831</v>
      </c>
      <c r="B3010" s="128" t="s">
        <v>31131</v>
      </c>
      <c r="C3010" s="194" t="s">
        <v>392</v>
      </c>
      <c r="D3010" s="195">
        <v>2014</v>
      </c>
      <c r="E3010" s="196">
        <v>44831</v>
      </c>
      <c r="F3010" s="195">
        <v>2014</v>
      </c>
      <c r="G3010" s="197">
        <f>Tabla110[[#This Row],[Importe]]-Tabla110[[#This Row],[Pagado]]</f>
        <v>0</v>
      </c>
      <c r="H3010" s="194" t="s">
        <v>10</v>
      </c>
    </row>
    <row r="3011" spans="1:8" x14ac:dyDescent="0.25">
      <c r="A3011" s="127">
        <v>44831</v>
      </c>
      <c r="B3011" s="128" t="s">
        <v>31132</v>
      </c>
      <c r="C3011" s="194" t="s">
        <v>296</v>
      </c>
      <c r="D3011" s="195">
        <v>4037.6</v>
      </c>
      <c r="E3011" s="196">
        <v>44831</v>
      </c>
      <c r="F3011" s="195">
        <v>4037.6</v>
      </c>
      <c r="G3011" s="197">
        <f>Tabla110[[#This Row],[Importe]]-Tabla110[[#This Row],[Pagado]]</f>
        <v>0</v>
      </c>
      <c r="H3011" s="194" t="s">
        <v>10</v>
      </c>
    </row>
    <row r="3012" spans="1:8" x14ac:dyDescent="0.25">
      <c r="A3012" s="127">
        <v>44831</v>
      </c>
      <c r="B3012" s="128" t="s">
        <v>31133</v>
      </c>
      <c r="C3012" s="194" t="s">
        <v>233</v>
      </c>
      <c r="D3012" s="195">
        <v>6342.2</v>
      </c>
      <c r="E3012" s="196">
        <v>44831</v>
      </c>
      <c r="F3012" s="195">
        <v>6342.2</v>
      </c>
      <c r="G3012" s="197">
        <f>Tabla110[[#This Row],[Importe]]-Tabla110[[#This Row],[Pagado]]</f>
        <v>0</v>
      </c>
      <c r="H3012" s="194" t="s">
        <v>10</v>
      </c>
    </row>
    <row r="3013" spans="1:8" x14ac:dyDescent="0.25">
      <c r="A3013" s="127">
        <v>44831</v>
      </c>
      <c r="B3013" s="128" t="s">
        <v>31134</v>
      </c>
      <c r="C3013" s="194" t="s">
        <v>1265</v>
      </c>
      <c r="D3013" s="195">
        <v>534.6</v>
      </c>
      <c r="E3013" s="196">
        <v>44831</v>
      </c>
      <c r="F3013" s="195">
        <v>534.6</v>
      </c>
      <c r="G3013" s="197">
        <f>Tabla110[[#This Row],[Importe]]-Tabla110[[#This Row],[Pagado]]</f>
        <v>0</v>
      </c>
      <c r="H3013" s="194" t="s">
        <v>10</v>
      </c>
    </row>
    <row r="3014" spans="1:8" x14ac:dyDescent="0.25">
      <c r="A3014" s="127">
        <v>44831</v>
      </c>
      <c r="B3014" s="128" t="s">
        <v>31135</v>
      </c>
      <c r="C3014" s="194" t="s">
        <v>365</v>
      </c>
      <c r="D3014" s="195">
        <v>880</v>
      </c>
      <c r="E3014" s="196">
        <v>44831</v>
      </c>
      <c r="F3014" s="195">
        <v>880</v>
      </c>
      <c r="G3014" s="197">
        <f>Tabla110[[#This Row],[Importe]]-Tabla110[[#This Row],[Pagado]]</f>
        <v>0</v>
      </c>
      <c r="H3014" s="194" t="s">
        <v>10</v>
      </c>
    </row>
    <row r="3015" spans="1:8" x14ac:dyDescent="0.25">
      <c r="A3015" s="127">
        <v>44831</v>
      </c>
      <c r="B3015" s="128" t="s">
        <v>31136</v>
      </c>
      <c r="C3015" s="194" t="s">
        <v>875</v>
      </c>
      <c r="D3015" s="195">
        <v>53200.3</v>
      </c>
      <c r="E3015" s="196">
        <v>44831</v>
      </c>
      <c r="F3015" s="195">
        <v>53200.3</v>
      </c>
      <c r="G3015" s="197">
        <f>Tabla110[[#This Row],[Importe]]-Tabla110[[#This Row],[Pagado]]</f>
        <v>0</v>
      </c>
      <c r="H3015" s="194" t="s">
        <v>10</v>
      </c>
    </row>
    <row r="3016" spans="1:8" x14ac:dyDescent="0.25">
      <c r="A3016" s="127">
        <v>44831</v>
      </c>
      <c r="B3016" s="128" t="s">
        <v>31137</v>
      </c>
      <c r="C3016" s="194" t="s">
        <v>849</v>
      </c>
      <c r="D3016" s="195">
        <v>656</v>
      </c>
      <c r="E3016" s="196">
        <v>44831</v>
      </c>
      <c r="F3016" s="195">
        <v>656</v>
      </c>
      <c r="G3016" s="197">
        <f>Tabla110[[#This Row],[Importe]]-Tabla110[[#This Row],[Pagado]]</f>
        <v>0</v>
      </c>
      <c r="H3016" s="194" t="s">
        <v>10</v>
      </c>
    </row>
    <row r="3017" spans="1:8" x14ac:dyDescent="0.25">
      <c r="A3017" s="127">
        <v>44831</v>
      </c>
      <c r="B3017" s="128" t="s">
        <v>31138</v>
      </c>
      <c r="C3017" s="194" t="s">
        <v>7745</v>
      </c>
      <c r="D3017" s="195">
        <v>24981</v>
      </c>
      <c r="E3017" s="196">
        <v>44831</v>
      </c>
      <c r="F3017" s="195">
        <v>24981</v>
      </c>
      <c r="G3017" s="197">
        <f>Tabla110[[#This Row],[Importe]]-Tabla110[[#This Row],[Pagado]]</f>
        <v>0</v>
      </c>
      <c r="H3017" s="194" t="s">
        <v>10</v>
      </c>
    </row>
    <row r="3018" spans="1:8" x14ac:dyDescent="0.25">
      <c r="A3018" s="127">
        <v>44831</v>
      </c>
      <c r="B3018" s="128" t="s">
        <v>31139</v>
      </c>
      <c r="C3018" s="194" t="s">
        <v>426</v>
      </c>
      <c r="D3018" s="195">
        <v>3798</v>
      </c>
      <c r="E3018" s="196">
        <v>44831</v>
      </c>
      <c r="F3018" s="195">
        <v>3798</v>
      </c>
      <c r="G3018" s="197">
        <f>Tabla110[[#This Row],[Importe]]-Tabla110[[#This Row],[Pagado]]</f>
        <v>0</v>
      </c>
      <c r="H3018" s="194" t="s">
        <v>10</v>
      </c>
    </row>
    <row r="3019" spans="1:8" x14ac:dyDescent="0.25">
      <c r="A3019" s="127">
        <v>44831</v>
      </c>
      <c r="B3019" s="128" t="s">
        <v>31140</v>
      </c>
      <c r="C3019" s="194" t="s">
        <v>28087</v>
      </c>
      <c r="D3019" s="195">
        <v>114279</v>
      </c>
      <c r="E3019" s="196">
        <v>44831</v>
      </c>
      <c r="F3019" s="195">
        <v>114279</v>
      </c>
      <c r="G3019" s="197">
        <f>Tabla110[[#This Row],[Importe]]-Tabla110[[#This Row],[Pagado]]</f>
        <v>0</v>
      </c>
      <c r="H3019" s="194" t="s">
        <v>10</v>
      </c>
    </row>
    <row r="3020" spans="1:8" x14ac:dyDescent="0.25">
      <c r="A3020" s="127">
        <v>44831</v>
      </c>
      <c r="B3020" s="128" t="s">
        <v>31141</v>
      </c>
      <c r="C3020" s="194" t="s">
        <v>107</v>
      </c>
      <c r="D3020" s="195">
        <v>17366.400000000001</v>
      </c>
      <c r="E3020" s="196">
        <v>44831</v>
      </c>
      <c r="F3020" s="195">
        <v>17366.400000000001</v>
      </c>
      <c r="G3020" s="197">
        <f>Tabla110[[#This Row],[Importe]]-Tabla110[[#This Row],[Pagado]]</f>
        <v>0</v>
      </c>
      <c r="H3020" s="194" t="s">
        <v>10</v>
      </c>
    </row>
    <row r="3021" spans="1:8" x14ac:dyDescent="0.25">
      <c r="A3021" s="127">
        <v>44831</v>
      </c>
      <c r="B3021" s="128" t="s">
        <v>31142</v>
      </c>
      <c r="C3021" s="194" t="s">
        <v>359</v>
      </c>
      <c r="D3021" s="195">
        <v>1540.3</v>
      </c>
      <c r="E3021" s="196">
        <v>44831</v>
      </c>
      <c r="F3021" s="195">
        <v>1540.3</v>
      </c>
      <c r="G3021" s="197">
        <f>Tabla110[[#This Row],[Importe]]-Tabla110[[#This Row],[Pagado]]</f>
        <v>0</v>
      </c>
      <c r="H3021" s="194" t="s">
        <v>10</v>
      </c>
    </row>
    <row r="3022" spans="1:8" x14ac:dyDescent="0.25">
      <c r="A3022" s="127">
        <v>44831</v>
      </c>
      <c r="B3022" s="128" t="s">
        <v>31143</v>
      </c>
      <c r="C3022" s="194" t="s">
        <v>31</v>
      </c>
      <c r="D3022" s="195">
        <v>1261.5999999999999</v>
      </c>
      <c r="E3022" s="196">
        <v>44831</v>
      </c>
      <c r="F3022" s="195">
        <v>1261.5999999999999</v>
      </c>
      <c r="G3022" s="197">
        <f>Tabla110[[#This Row],[Importe]]-Tabla110[[#This Row],[Pagado]]</f>
        <v>0</v>
      </c>
      <c r="H3022" s="194" t="s">
        <v>10</v>
      </c>
    </row>
    <row r="3023" spans="1:8" x14ac:dyDescent="0.25">
      <c r="A3023" s="127">
        <v>44831</v>
      </c>
      <c r="B3023" s="128" t="s">
        <v>31144</v>
      </c>
      <c r="C3023" s="194" t="s">
        <v>196</v>
      </c>
      <c r="D3023" s="195">
        <v>74115.039999999994</v>
      </c>
      <c r="E3023" s="196">
        <v>44834</v>
      </c>
      <c r="F3023" s="195">
        <v>74115.039999999994</v>
      </c>
      <c r="G3023" s="197">
        <f>Tabla110[[#This Row],[Importe]]-Tabla110[[#This Row],[Pagado]]</f>
        <v>0</v>
      </c>
      <c r="H3023" s="194" t="s">
        <v>10</v>
      </c>
    </row>
    <row r="3024" spans="1:8" x14ac:dyDescent="0.25">
      <c r="A3024" s="127">
        <v>44831</v>
      </c>
      <c r="B3024" s="128" t="s">
        <v>31145</v>
      </c>
      <c r="C3024" s="194" t="s">
        <v>146</v>
      </c>
      <c r="D3024" s="195">
        <v>5018.3999999999996</v>
      </c>
      <c r="E3024" s="196">
        <v>44831</v>
      </c>
      <c r="F3024" s="195">
        <v>5018.3999999999996</v>
      </c>
      <c r="G3024" s="197">
        <f>Tabla110[[#This Row],[Importe]]-Tabla110[[#This Row],[Pagado]]</f>
        <v>0</v>
      </c>
      <c r="H3024" s="194" t="s">
        <v>10</v>
      </c>
    </row>
    <row r="3025" spans="1:8" x14ac:dyDescent="0.25">
      <c r="A3025" s="127">
        <v>44831</v>
      </c>
      <c r="B3025" s="128" t="s">
        <v>31146</v>
      </c>
      <c r="C3025" s="194" t="s">
        <v>214</v>
      </c>
      <c r="D3025" s="195">
        <v>6666.8</v>
      </c>
      <c r="E3025" s="196">
        <v>44831</v>
      </c>
      <c r="F3025" s="195">
        <v>6666.8</v>
      </c>
      <c r="G3025" s="197">
        <f>Tabla110[[#This Row],[Importe]]-Tabla110[[#This Row],[Pagado]]</f>
        <v>0</v>
      </c>
      <c r="H3025" s="194" t="s">
        <v>10</v>
      </c>
    </row>
    <row r="3026" spans="1:8" x14ac:dyDescent="0.25">
      <c r="A3026" s="127">
        <v>44831</v>
      </c>
      <c r="B3026" s="128" t="s">
        <v>31147</v>
      </c>
      <c r="C3026" s="194" t="s">
        <v>7801</v>
      </c>
      <c r="D3026" s="195">
        <v>10640</v>
      </c>
      <c r="E3026" s="196">
        <v>44831</v>
      </c>
      <c r="F3026" s="195">
        <v>10640</v>
      </c>
      <c r="G3026" s="197">
        <f>Tabla110[[#This Row],[Importe]]-Tabla110[[#This Row],[Pagado]]</f>
        <v>0</v>
      </c>
      <c r="H3026" s="194" t="s">
        <v>10</v>
      </c>
    </row>
    <row r="3027" spans="1:8" x14ac:dyDescent="0.25">
      <c r="A3027" s="127">
        <v>44831</v>
      </c>
      <c r="B3027" s="128" t="s">
        <v>31148</v>
      </c>
      <c r="C3027" s="194" t="s">
        <v>654</v>
      </c>
      <c r="D3027" s="195">
        <v>4453.6000000000004</v>
      </c>
      <c r="E3027" s="196">
        <v>44848</v>
      </c>
      <c r="F3027" s="195">
        <v>4453.6000000000004</v>
      </c>
      <c r="G3027" s="197">
        <f>Tabla110[[#This Row],[Importe]]-Tabla110[[#This Row],[Pagado]]</f>
        <v>0</v>
      </c>
      <c r="H3027" s="194" t="s">
        <v>10</v>
      </c>
    </row>
    <row r="3028" spans="1:8" x14ac:dyDescent="0.25">
      <c r="A3028" s="127">
        <v>44831</v>
      </c>
      <c r="B3028" s="128" t="s">
        <v>31149</v>
      </c>
      <c r="C3028" s="194" t="s">
        <v>612</v>
      </c>
      <c r="D3028" s="195">
        <v>210</v>
      </c>
      <c r="E3028" s="196">
        <v>44831</v>
      </c>
      <c r="F3028" s="195">
        <v>210</v>
      </c>
      <c r="G3028" s="197">
        <f>Tabla110[[#This Row],[Importe]]-Tabla110[[#This Row],[Pagado]]</f>
        <v>0</v>
      </c>
      <c r="H3028" s="194" t="s">
        <v>10</v>
      </c>
    </row>
    <row r="3029" spans="1:8" x14ac:dyDescent="0.25">
      <c r="A3029" s="127">
        <v>44831</v>
      </c>
      <c r="B3029" s="128" t="s">
        <v>31150</v>
      </c>
      <c r="C3029" s="194" t="s">
        <v>670</v>
      </c>
      <c r="D3029" s="195">
        <v>3705</v>
      </c>
      <c r="E3029" s="196">
        <v>44831</v>
      </c>
      <c r="F3029" s="195">
        <v>3705</v>
      </c>
      <c r="G3029" s="197">
        <f>Tabla110[[#This Row],[Importe]]-Tabla110[[#This Row],[Pagado]]</f>
        <v>0</v>
      </c>
      <c r="H3029" s="194" t="s">
        <v>10</v>
      </c>
    </row>
    <row r="3030" spans="1:8" x14ac:dyDescent="0.25">
      <c r="A3030" s="127">
        <v>44831</v>
      </c>
      <c r="B3030" s="128" t="s">
        <v>31151</v>
      </c>
      <c r="C3030" s="194" t="s">
        <v>450</v>
      </c>
      <c r="D3030" s="195">
        <v>9356.2000000000007</v>
      </c>
      <c r="E3030" s="196">
        <v>44831</v>
      </c>
      <c r="F3030" s="195">
        <v>9356.2000000000007</v>
      </c>
      <c r="G3030" s="197">
        <f>Tabla110[[#This Row],[Importe]]-Tabla110[[#This Row],[Pagado]]</f>
        <v>0</v>
      </c>
      <c r="H3030" s="194" t="s">
        <v>10</v>
      </c>
    </row>
    <row r="3031" spans="1:8" x14ac:dyDescent="0.25">
      <c r="A3031" s="127">
        <v>44831</v>
      </c>
      <c r="B3031" s="128" t="s">
        <v>31152</v>
      </c>
      <c r="C3031" s="194" t="s">
        <v>371</v>
      </c>
      <c r="D3031" s="195">
        <v>6250.2</v>
      </c>
      <c r="E3031" s="196">
        <v>44831</v>
      </c>
      <c r="F3031" s="195">
        <v>6250.2</v>
      </c>
      <c r="G3031" s="197">
        <f>Tabla110[[#This Row],[Importe]]-Tabla110[[#This Row],[Pagado]]</f>
        <v>0</v>
      </c>
      <c r="H3031" s="194" t="s">
        <v>10</v>
      </c>
    </row>
    <row r="3032" spans="1:8" x14ac:dyDescent="0.25">
      <c r="A3032" s="127">
        <v>44831</v>
      </c>
      <c r="B3032" s="128" t="s">
        <v>31153</v>
      </c>
      <c r="C3032" s="194" t="s">
        <v>67</v>
      </c>
      <c r="D3032" s="195">
        <v>1930.4</v>
      </c>
      <c r="E3032" s="196">
        <v>44831</v>
      </c>
      <c r="F3032" s="195">
        <v>1930.4</v>
      </c>
      <c r="G3032" s="197">
        <f>Tabla110[[#This Row],[Importe]]-Tabla110[[#This Row],[Pagado]]</f>
        <v>0</v>
      </c>
      <c r="H3032" s="194" t="s">
        <v>10</v>
      </c>
    </row>
    <row r="3033" spans="1:8" x14ac:dyDescent="0.25">
      <c r="A3033" s="127">
        <v>44831</v>
      </c>
      <c r="B3033" s="128" t="s">
        <v>31154</v>
      </c>
      <c r="C3033" s="194" t="s">
        <v>407</v>
      </c>
      <c r="D3033" s="195">
        <v>3300</v>
      </c>
      <c r="E3033" s="196">
        <v>44865</v>
      </c>
      <c r="F3033" s="195">
        <v>3300</v>
      </c>
      <c r="G3033" s="197">
        <f>Tabla110[[#This Row],[Importe]]-Tabla110[[#This Row],[Pagado]]</f>
        <v>0</v>
      </c>
      <c r="H3033" s="194" t="s">
        <v>10</v>
      </c>
    </row>
    <row r="3034" spans="1:8" x14ac:dyDescent="0.25">
      <c r="A3034" s="127">
        <v>44831</v>
      </c>
      <c r="B3034" s="128" t="s">
        <v>31155</v>
      </c>
      <c r="C3034" s="194" t="s">
        <v>296</v>
      </c>
      <c r="D3034" s="195">
        <v>2027</v>
      </c>
      <c r="E3034" s="196">
        <v>44831</v>
      </c>
      <c r="F3034" s="195">
        <v>2027</v>
      </c>
      <c r="G3034" s="197">
        <f>Tabla110[[#This Row],[Importe]]-Tabla110[[#This Row],[Pagado]]</f>
        <v>0</v>
      </c>
      <c r="H3034" s="194" t="s">
        <v>10</v>
      </c>
    </row>
    <row r="3035" spans="1:8" x14ac:dyDescent="0.25">
      <c r="A3035" s="127">
        <v>44831</v>
      </c>
      <c r="B3035" s="128" t="s">
        <v>31156</v>
      </c>
      <c r="C3035" s="194" t="s">
        <v>10324</v>
      </c>
      <c r="D3035" s="195">
        <v>4019.4</v>
      </c>
      <c r="E3035" s="196">
        <v>44831</v>
      </c>
      <c r="F3035" s="195">
        <v>4019.4</v>
      </c>
      <c r="G3035" s="197">
        <f>Tabla110[[#This Row],[Importe]]-Tabla110[[#This Row],[Pagado]]</f>
        <v>0</v>
      </c>
      <c r="H3035" s="194" t="s">
        <v>10</v>
      </c>
    </row>
    <row r="3036" spans="1:8" x14ac:dyDescent="0.25">
      <c r="A3036" s="127">
        <v>44831</v>
      </c>
      <c r="B3036" s="128" t="s">
        <v>31157</v>
      </c>
      <c r="C3036" s="194" t="s">
        <v>26310</v>
      </c>
      <c r="D3036" s="195">
        <v>0</v>
      </c>
      <c r="E3036" s="199" t="s">
        <v>189</v>
      </c>
      <c r="F3036" s="195">
        <v>0</v>
      </c>
      <c r="G3036" s="197">
        <f>Tabla110[[#This Row],[Importe]]-Tabla110[[#This Row],[Pagado]]</f>
        <v>0</v>
      </c>
      <c r="H3036" s="200" t="s">
        <v>31158</v>
      </c>
    </row>
    <row r="3037" spans="1:8" x14ac:dyDescent="0.25">
      <c r="A3037" s="127">
        <v>44831</v>
      </c>
      <c r="B3037" s="128" t="s">
        <v>31159</v>
      </c>
      <c r="C3037" s="194" t="s">
        <v>296</v>
      </c>
      <c r="D3037" s="195">
        <v>352</v>
      </c>
      <c r="E3037" s="196">
        <v>44831</v>
      </c>
      <c r="F3037" s="195">
        <v>352</v>
      </c>
      <c r="G3037" s="197">
        <f>Tabla110[[#This Row],[Importe]]-Tabla110[[#This Row],[Pagado]]</f>
        <v>0</v>
      </c>
      <c r="H3037" s="194" t="s">
        <v>10</v>
      </c>
    </row>
    <row r="3038" spans="1:8" x14ac:dyDescent="0.25">
      <c r="A3038" s="127">
        <v>44831</v>
      </c>
      <c r="B3038" s="128" t="s">
        <v>31160</v>
      </c>
      <c r="C3038" s="194" t="s">
        <v>31</v>
      </c>
      <c r="D3038" s="195">
        <v>366</v>
      </c>
      <c r="E3038" s="196">
        <v>44831</v>
      </c>
      <c r="F3038" s="195">
        <v>366</v>
      </c>
      <c r="G3038" s="197">
        <f>Tabla110[[#This Row],[Importe]]-Tabla110[[#This Row],[Pagado]]</f>
        <v>0</v>
      </c>
      <c r="H3038" s="194" t="s">
        <v>10</v>
      </c>
    </row>
    <row r="3039" spans="1:8" x14ac:dyDescent="0.25">
      <c r="A3039" s="127">
        <v>44831</v>
      </c>
      <c r="B3039" s="128" t="s">
        <v>31161</v>
      </c>
      <c r="C3039" s="194" t="s">
        <v>10190</v>
      </c>
      <c r="D3039" s="195">
        <v>21001.8</v>
      </c>
      <c r="E3039" s="196">
        <v>44831</v>
      </c>
      <c r="F3039" s="195">
        <v>21001.8</v>
      </c>
      <c r="G3039" s="197">
        <f>Tabla110[[#This Row],[Importe]]-Tabla110[[#This Row],[Pagado]]</f>
        <v>0</v>
      </c>
      <c r="H3039" s="194" t="s">
        <v>10</v>
      </c>
    </row>
    <row r="3040" spans="1:8" x14ac:dyDescent="0.25">
      <c r="A3040" s="127">
        <v>44831</v>
      </c>
      <c r="B3040" s="128" t="s">
        <v>31162</v>
      </c>
      <c r="C3040" s="194" t="s">
        <v>433</v>
      </c>
      <c r="D3040" s="195">
        <v>22800</v>
      </c>
      <c r="E3040" s="196">
        <v>44831</v>
      </c>
      <c r="F3040" s="195">
        <v>22800</v>
      </c>
      <c r="G3040" s="197">
        <f>Tabla110[[#This Row],[Importe]]-Tabla110[[#This Row],[Pagado]]</f>
        <v>0</v>
      </c>
      <c r="H3040" s="194" t="s">
        <v>10</v>
      </c>
    </row>
    <row r="3041" spans="1:8" x14ac:dyDescent="0.25">
      <c r="A3041" s="127">
        <v>44831</v>
      </c>
      <c r="B3041" s="128" t="s">
        <v>31163</v>
      </c>
      <c r="C3041" s="194" t="s">
        <v>681</v>
      </c>
      <c r="D3041" s="195">
        <v>2.06</v>
      </c>
      <c r="E3041" s="196">
        <v>44835</v>
      </c>
      <c r="F3041" s="195">
        <v>2.06</v>
      </c>
      <c r="G3041" s="197">
        <f>Tabla110[[#This Row],[Importe]]-Tabla110[[#This Row],[Pagado]]</f>
        <v>0</v>
      </c>
      <c r="H3041" s="194" t="s">
        <v>10</v>
      </c>
    </row>
    <row r="3042" spans="1:8" x14ac:dyDescent="0.25">
      <c r="A3042" s="127">
        <v>44831</v>
      </c>
      <c r="B3042" s="128" t="s">
        <v>31164</v>
      </c>
      <c r="C3042" s="194" t="s">
        <v>6405</v>
      </c>
      <c r="D3042" s="195">
        <v>4.0199999999999996</v>
      </c>
      <c r="E3042" s="196">
        <v>44845</v>
      </c>
      <c r="F3042" s="195">
        <v>4.0199999999999996</v>
      </c>
      <c r="G3042" s="197">
        <f>Tabla110[[#This Row],[Importe]]-Tabla110[[#This Row],[Pagado]]</f>
        <v>0</v>
      </c>
      <c r="H3042" s="194" t="s">
        <v>10</v>
      </c>
    </row>
    <row r="3043" spans="1:8" x14ac:dyDescent="0.25">
      <c r="A3043" s="127">
        <v>44831</v>
      </c>
      <c r="B3043" s="128" t="s">
        <v>31165</v>
      </c>
      <c r="C3043" s="194" t="s">
        <v>654</v>
      </c>
      <c r="D3043" s="195">
        <v>3997.6</v>
      </c>
      <c r="E3043" s="196">
        <v>44831</v>
      </c>
      <c r="F3043" s="195">
        <v>3997.6</v>
      </c>
      <c r="G3043" s="197">
        <f>Tabla110[[#This Row],[Importe]]-Tabla110[[#This Row],[Pagado]]</f>
        <v>0</v>
      </c>
      <c r="H3043" s="194" t="s">
        <v>10</v>
      </c>
    </row>
    <row r="3044" spans="1:8" x14ac:dyDescent="0.25">
      <c r="A3044" s="127">
        <v>44831</v>
      </c>
      <c r="B3044" s="128" t="s">
        <v>31166</v>
      </c>
      <c r="C3044" s="194" t="s">
        <v>448</v>
      </c>
      <c r="D3044" s="195">
        <v>23161.599999999999</v>
      </c>
      <c r="E3044" s="196">
        <v>44831</v>
      </c>
      <c r="F3044" s="195">
        <v>23161.599999999999</v>
      </c>
      <c r="G3044" s="197">
        <f>Tabla110[[#This Row],[Importe]]-Tabla110[[#This Row],[Pagado]]</f>
        <v>0</v>
      </c>
      <c r="H3044" s="194" t="s">
        <v>10</v>
      </c>
    </row>
    <row r="3045" spans="1:8" x14ac:dyDescent="0.25">
      <c r="A3045" s="127">
        <v>44831</v>
      </c>
      <c r="B3045" s="128" t="s">
        <v>31167</v>
      </c>
      <c r="C3045" s="194" t="s">
        <v>31168</v>
      </c>
      <c r="D3045" s="195">
        <v>7246</v>
      </c>
      <c r="E3045" s="196">
        <v>44831</v>
      </c>
      <c r="F3045" s="195">
        <v>7246</v>
      </c>
      <c r="G3045" s="197">
        <f>Tabla110[[#This Row],[Importe]]-Tabla110[[#This Row],[Pagado]]</f>
        <v>0</v>
      </c>
      <c r="H3045" s="194" t="s">
        <v>10</v>
      </c>
    </row>
    <row r="3046" spans="1:8" x14ac:dyDescent="0.25">
      <c r="A3046" s="127">
        <v>44831</v>
      </c>
      <c r="B3046" s="128" t="s">
        <v>31169</v>
      </c>
      <c r="C3046" s="194" t="s">
        <v>419</v>
      </c>
      <c r="D3046" s="195">
        <v>5039.7</v>
      </c>
      <c r="E3046" s="196">
        <v>44831</v>
      </c>
      <c r="F3046" s="195">
        <v>5039.7</v>
      </c>
      <c r="G3046" s="197">
        <f>Tabla110[[#This Row],[Importe]]-Tabla110[[#This Row],[Pagado]]</f>
        <v>0</v>
      </c>
      <c r="H3046" s="194" t="s">
        <v>10</v>
      </c>
    </row>
    <row r="3047" spans="1:8" x14ac:dyDescent="0.25">
      <c r="A3047" s="127">
        <v>44831</v>
      </c>
      <c r="B3047" s="128" t="s">
        <v>31170</v>
      </c>
      <c r="C3047" s="194" t="s">
        <v>280</v>
      </c>
      <c r="D3047" s="195">
        <v>706.8</v>
      </c>
      <c r="E3047" s="196">
        <v>44832</v>
      </c>
      <c r="F3047" s="195">
        <v>706.8</v>
      </c>
      <c r="G3047" s="197">
        <f>Tabla110[[#This Row],[Importe]]-Tabla110[[#This Row],[Pagado]]</f>
        <v>0</v>
      </c>
      <c r="H3047" s="194" t="s">
        <v>10</v>
      </c>
    </row>
    <row r="3048" spans="1:8" x14ac:dyDescent="0.25">
      <c r="A3048" s="127">
        <v>44831</v>
      </c>
      <c r="B3048" s="128" t="s">
        <v>31171</v>
      </c>
      <c r="C3048" s="194" t="s">
        <v>5345</v>
      </c>
      <c r="D3048" s="195">
        <v>2181.1999999999998</v>
      </c>
      <c r="E3048" s="196">
        <v>44832</v>
      </c>
      <c r="F3048" s="195">
        <v>2181.1999999999998</v>
      </c>
      <c r="G3048" s="197">
        <f>Tabla110[[#This Row],[Importe]]-Tabla110[[#This Row],[Pagado]]</f>
        <v>0</v>
      </c>
      <c r="H3048" s="194" t="s">
        <v>10</v>
      </c>
    </row>
    <row r="3049" spans="1:8" x14ac:dyDescent="0.25">
      <c r="A3049" s="127">
        <v>44831</v>
      </c>
      <c r="B3049" s="128" t="s">
        <v>31172</v>
      </c>
      <c r="C3049" s="194" t="s">
        <v>282</v>
      </c>
      <c r="D3049" s="195">
        <v>3199.6</v>
      </c>
      <c r="E3049" s="196">
        <v>44832</v>
      </c>
      <c r="F3049" s="195">
        <v>3199.6</v>
      </c>
      <c r="G3049" s="197">
        <f>Tabla110[[#This Row],[Importe]]-Tabla110[[#This Row],[Pagado]]</f>
        <v>0</v>
      </c>
      <c r="H3049" s="194" t="s">
        <v>10</v>
      </c>
    </row>
    <row r="3050" spans="1:8" x14ac:dyDescent="0.25">
      <c r="A3050" s="127">
        <v>44831</v>
      </c>
      <c r="B3050" s="128" t="s">
        <v>31173</v>
      </c>
      <c r="C3050" s="194" t="s">
        <v>284</v>
      </c>
      <c r="D3050" s="195">
        <v>9424</v>
      </c>
      <c r="E3050" s="196">
        <v>44832</v>
      </c>
      <c r="F3050" s="195">
        <v>9424</v>
      </c>
      <c r="G3050" s="197">
        <f>Tabla110[[#This Row],[Importe]]-Tabla110[[#This Row],[Pagado]]</f>
        <v>0</v>
      </c>
      <c r="H3050" s="194" t="s">
        <v>10</v>
      </c>
    </row>
    <row r="3051" spans="1:8" x14ac:dyDescent="0.25">
      <c r="A3051" s="127">
        <v>44831</v>
      </c>
      <c r="B3051" s="128" t="s">
        <v>31174</v>
      </c>
      <c r="C3051" s="194" t="s">
        <v>10819</v>
      </c>
      <c r="D3051" s="195">
        <v>1633</v>
      </c>
      <c r="E3051" s="196">
        <v>44832</v>
      </c>
      <c r="F3051" s="195">
        <v>1633</v>
      </c>
      <c r="G3051" s="197">
        <f>Tabla110[[#This Row],[Importe]]-Tabla110[[#This Row],[Pagado]]</f>
        <v>0</v>
      </c>
      <c r="H3051" s="194" t="s">
        <v>10</v>
      </c>
    </row>
    <row r="3052" spans="1:8" x14ac:dyDescent="0.25">
      <c r="A3052" s="127">
        <v>44831</v>
      </c>
      <c r="B3052" s="128" t="s">
        <v>31175</v>
      </c>
      <c r="C3052" s="194" t="s">
        <v>31</v>
      </c>
      <c r="D3052" s="195">
        <v>95</v>
      </c>
      <c r="E3052" s="196">
        <v>44831</v>
      </c>
      <c r="F3052" s="195">
        <v>95</v>
      </c>
      <c r="G3052" s="197">
        <f>Tabla110[[#This Row],[Importe]]-Tabla110[[#This Row],[Pagado]]</f>
        <v>0</v>
      </c>
      <c r="H3052" s="194" t="s">
        <v>10</v>
      </c>
    </row>
    <row r="3053" spans="1:8" x14ac:dyDescent="0.25">
      <c r="A3053" s="127">
        <v>44831</v>
      </c>
      <c r="B3053" s="128" t="s">
        <v>31176</v>
      </c>
      <c r="C3053" s="194" t="s">
        <v>31</v>
      </c>
      <c r="D3053" s="195">
        <v>84</v>
      </c>
      <c r="E3053" s="196">
        <v>44831</v>
      </c>
      <c r="F3053" s="195">
        <v>84</v>
      </c>
      <c r="G3053" s="197">
        <f>Tabla110[[#This Row],[Importe]]-Tabla110[[#This Row],[Pagado]]</f>
        <v>0</v>
      </c>
      <c r="H3053" s="194" t="s">
        <v>10</v>
      </c>
    </row>
    <row r="3054" spans="1:8" x14ac:dyDescent="0.25">
      <c r="A3054" s="127">
        <v>44831</v>
      </c>
      <c r="B3054" s="128" t="s">
        <v>31177</v>
      </c>
      <c r="C3054" s="194" t="s">
        <v>1706</v>
      </c>
      <c r="D3054" s="195">
        <v>15955.2</v>
      </c>
      <c r="E3054" s="196">
        <v>44831</v>
      </c>
      <c r="F3054" s="195">
        <v>15955.2</v>
      </c>
      <c r="G3054" s="197">
        <f>Tabla110[[#This Row],[Importe]]-Tabla110[[#This Row],[Pagado]]</f>
        <v>0</v>
      </c>
      <c r="H3054" s="194" t="s">
        <v>10</v>
      </c>
    </row>
    <row r="3055" spans="1:8" x14ac:dyDescent="0.25">
      <c r="A3055" s="127">
        <v>44831</v>
      </c>
      <c r="B3055" s="128" t="s">
        <v>31178</v>
      </c>
      <c r="C3055" s="194" t="s">
        <v>400</v>
      </c>
      <c r="D3055" s="195">
        <v>7563.1</v>
      </c>
      <c r="E3055" s="196">
        <v>44840</v>
      </c>
      <c r="F3055" s="195">
        <v>7563.1</v>
      </c>
      <c r="G3055" s="197">
        <f>Tabla110[[#This Row],[Importe]]-Tabla110[[#This Row],[Pagado]]</f>
        <v>0</v>
      </c>
      <c r="H3055" s="194" t="s">
        <v>10</v>
      </c>
    </row>
    <row r="3056" spans="1:8" x14ac:dyDescent="0.25">
      <c r="A3056" s="127">
        <v>44831</v>
      </c>
      <c r="B3056" s="128" t="s">
        <v>31179</v>
      </c>
      <c r="C3056" s="194" t="s">
        <v>402</v>
      </c>
      <c r="D3056" s="195">
        <v>21788</v>
      </c>
      <c r="E3056" s="196">
        <v>44840</v>
      </c>
      <c r="F3056" s="195">
        <v>21788</v>
      </c>
      <c r="G3056" s="197">
        <f>Tabla110[[#This Row],[Importe]]-Tabla110[[#This Row],[Pagado]]</f>
        <v>0</v>
      </c>
      <c r="H3056" s="194" t="s">
        <v>10</v>
      </c>
    </row>
    <row r="3057" spans="1:8" x14ac:dyDescent="0.25">
      <c r="A3057" s="127">
        <v>44831</v>
      </c>
      <c r="B3057" s="128" t="s">
        <v>31180</v>
      </c>
      <c r="C3057" s="194" t="s">
        <v>31</v>
      </c>
      <c r="D3057" s="195">
        <v>108</v>
      </c>
      <c r="E3057" s="196">
        <v>44831</v>
      </c>
      <c r="F3057" s="195">
        <v>108</v>
      </c>
      <c r="G3057" s="197">
        <f>Tabla110[[#This Row],[Importe]]-Tabla110[[#This Row],[Pagado]]</f>
        <v>0</v>
      </c>
      <c r="H3057" s="194" t="s">
        <v>10</v>
      </c>
    </row>
    <row r="3058" spans="1:8" x14ac:dyDescent="0.25">
      <c r="A3058" s="127">
        <v>44831</v>
      </c>
      <c r="B3058" s="128" t="s">
        <v>31181</v>
      </c>
      <c r="C3058" s="194" t="s">
        <v>30416</v>
      </c>
      <c r="D3058" s="195">
        <v>7664</v>
      </c>
      <c r="E3058" s="196">
        <v>44831</v>
      </c>
      <c r="F3058" s="195">
        <v>7664</v>
      </c>
      <c r="G3058" s="197">
        <f>Tabla110[[#This Row],[Importe]]-Tabla110[[#This Row],[Pagado]]</f>
        <v>0</v>
      </c>
      <c r="H3058" s="194" t="s">
        <v>10</v>
      </c>
    </row>
    <row r="3059" spans="1:8" x14ac:dyDescent="0.25">
      <c r="A3059" s="127">
        <v>44831</v>
      </c>
      <c r="B3059" s="128" t="s">
        <v>31182</v>
      </c>
      <c r="C3059" s="194" t="s">
        <v>583</v>
      </c>
      <c r="D3059" s="195">
        <v>2420</v>
      </c>
      <c r="E3059" s="196">
        <v>44831</v>
      </c>
      <c r="F3059" s="195">
        <v>2420</v>
      </c>
      <c r="G3059" s="197">
        <f>Tabla110[[#This Row],[Importe]]-Tabla110[[#This Row],[Pagado]]</f>
        <v>0</v>
      </c>
      <c r="H3059" s="194" t="s">
        <v>10</v>
      </c>
    </row>
    <row r="3060" spans="1:8" x14ac:dyDescent="0.25">
      <c r="A3060" s="127">
        <v>44831</v>
      </c>
      <c r="B3060" s="128" t="s">
        <v>31183</v>
      </c>
      <c r="C3060" s="194" t="s">
        <v>31</v>
      </c>
      <c r="D3060" s="195">
        <v>1232.4000000000001</v>
      </c>
      <c r="E3060" s="196">
        <v>44831</v>
      </c>
      <c r="F3060" s="195">
        <v>1232.4000000000001</v>
      </c>
      <c r="G3060" s="197">
        <f>Tabla110[[#This Row],[Importe]]-Tabla110[[#This Row],[Pagado]]</f>
        <v>0</v>
      </c>
      <c r="H3060" s="194" t="s">
        <v>10</v>
      </c>
    </row>
    <row r="3061" spans="1:8" x14ac:dyDescent="0.25">
      <c r="A3061" s="127">
        <v>44832</v>
      </c>
      <c r="B3061" s="128" t="s">
        <v>31184</v>
      </c>
      <c r="C3061" s="194" t="s">
        <v>887</v>
      </c>
      <c r="D3061" s="195">
        <v>14525.6</v>
      </c>
      <c r="E3061" s="196">
        <v>44832</v>
      </c>
      <c r="F3061" s="195">
        <v>14525.6</v>
      </c>
      <c r="G3061" s="197">
        <f>Tabla110[[#This Row],[Importe]]-Tabla110[[#This Row],[Pagado]]</f>
        <v>0</v>
      </c>
      <c r="H3061" s="194" t="s">
        <v>10</v>
      </c>
    </row>
    <row r="3062" spans="1:8" x14ac:dyDescent="0.25">
      <c r="A3062" s="127">
        <v>44832</v>
      </c>
      <c r="B3062" s="128" t="s">
        <v>31185</v>
      </c>
      <c r="C3062" s="194" t="s">
        <v>475</v>
      </c>
      <c r="D3062" s="195">
        <v>95686.399999999994</v>
      </c>
      <c r="E3062" s="196">
        <v>44833</v>
      </c>
      <c r="F3062" s="195">
        <v>95686.399999999994</v>
      </c>
      <c r="G3062" s="197">
        <f>Tabla110[[#This Row],[Importe]]-Tabla110[[#This Row],[Pagado]]</f>
        <v>0</v>
      </c>
      <c r="H3062" s="194" t="s">
        <v>10</v>
      </c>
    </row>
    <row r="3063" spans="1:8" x14ac:dyDescent="0.25">
      <c r="A3063" s="127">
        <v>44832</v>
      </c>
      <c r="B3063" s="128" t="s">
        <v>31186</v>
      </c>
      <c r="C3063" s="194" t="s">
        <v>12</v>
      </c>
      <c r="D3063" s="195">
        <v>16648.55</v>
      </c>
      <c r="E3063" s="196">
        <v>44833</v>
      </c>
      <c r="F3063" s="195">
        <v>16648.55</v>
      </c>
      <c r="G3063" s="197">
        <f>Tabla110[[#This Row],[Importe]]-Tabla110[[#This Row],[Pagado]]</f>
        <v>0</v>
      </c>
      <c r="H3063" s="194" t="s">
        <v>10</v>
      </c>
    </row>
    <row r="3064" spans="1:8" x14ac:dyDescent="0.25">
      <c r="A3064" s="127">
        <v>44832</v>
      </c>
      <c r="B3064" s="128" t="s">
        <v>31187</v>
      </c>
      <c r="C3064" s="194" t="s">
        <v>481</v>
      </c>
      <c r="D3064" s="195">
        <v>1398</v>
      </c>
      <c r="E3064" s="196">
        <v>44832</v>
      </c>
      <c r="F3064" s="195">
        <v>1398</v>
      </c>
      <c r="G3064" s="197">
        <f>Tabla110[[#This Row],[Importe]]-Tabla110[[#This Row],[Pagado]]</f>
        <v>0</v>
      </c>
      <c r="H3064" s="194" t="s">
        <v>10</v>
      </c>
    </row>
    <row r="3065" spans="1:8" x14ac:dyDescent="0.25">
      <c r="A3065" s="127">
        <v>44832</v>
      </c>
      <c r="B3065" s="128" t="s">
        <v>31188</v>
      </c>
      <c r="C3065" s="194" t="s">
        <v>93</v>
      </c>
      <c r="D3065" s="195">
        <v>10072.299999999999</v>
      </c>
      <c r="E3065" s="196">
        <v>44835</v>
      </c>
      <c r="F3065" s="195">
        <v>10072.299999999999</v>
      </c>
      <c r="G3065" s="197">
        <f>Tabla110[[#This Row],[Importe]]-Tabla110[[#This Row],[Pagado]]</f>
        <v>0</v>
      </c>
      <c r="H3065" s="194" t="s">
        <v>10</v>
      </c>
    </row>
    <row r="3066" spans="1:8" x14ac:dyDescent="0.25">
      <c r="A3066" s="127">
        <v>44832</v>
      </c>
      <c r="B3066" s="128" t="s">
        <v>31189</v>
      </c>
      <c r="C3066" s="194" t="s">
        <v>120</v>
      </c>
      <c r="D3066" s="195">
        <v>608.29999999999995</v>
      </c>
      <c r="E3066" s="196">
        <v>44832</v>
      </c>
      <c r="F3066" s="195">
        <v>608.29999999999995</v>
      </c>
      <c r="G3066" s="197">
        <f>Tabla110[[#This Row],[Importe]]-Tabla110[[#This Row],[Pagado]]</f>
        <v>0</v>
      </c>
      <c r="H3066" s="194" t="s">
        <v>10</v>
      </c>
    </row>
    <row r="3067" spans="1:8" x14ac:dyDescent="0.25">
      <c r="A3067" s="127">
        <v>44832</v>
      </c>
      <c r="B3067" s="128" t="s">
        <v>31190</v>
      </c>
      <c r="C3067" s="194" t="s">
        <v>31</v>
      </c>
      <c r="D3067" s="195">
        <v>13815</v>
      </c>
      <c r="E3067" s="196">
        <v>44832</v>
      </c>
      <c r="F3067" s="195">
        <v>13815</v>
      </c>
      <c r="G3067" s="197">
        <f>Tabla110[[#This Row],[Importe]]-Tabla110[[#This Row],[Pagado]]</f>
        <v>0</v>
      </c>
      <c r="H3067" s="194" t="s">
        <v>10</v>
      </c>
    </row>
    <row r="3068" spans="1:8" x14ac:dyDescent="0.25">
      <c r="A3068" s="127">
        <v>44832</v>
      </c>
      <c r="B3068" s="128" t="s">
        <v>31191</v>
      </c>
      <c r="C3068" s="194" t="s">
        <v>87</v>
      </c>
      <c r="D3068" s="195">
        <v>2775</v>
      </c>
      <c r="E3068" s="196">
        <v>44832</v>
      </c>
      <c r="F3068" s="195">
        <v>2775</v>
      </c>
      <c r="G3068" s="197">
        <f>Tabla110[[#This Row],[Importe]]-Tabla110[[#This Row],[Pagado]]</f>
        <v>0</v>
      </c>
      <c r="H3068" s="194" t="s">
        <v>10</v>
      </c>
    </row>
    <row r="3069" spans="1:8" x14ac:dyDescent="0.25">
      <c r="A3069" s="127">
        <v>44832</v>
      </c>
      <c r="B3069" s="128" t="s">
        <v>31192</v>
      </c>
      <c r="C3069" s="194" t="s">
        <v>9</v>
      </c>
      <c r="D3069" s="195">
        <v>10970.5</v>
      </c>
      <c r="E3069" s="196">
        <v>44832</v>
      </c>
      <c r="F3069" s="195">
        <v>10970.5</v>
      </c>
      <c r="G3069" s="197">
        <f>Tabla110[[#This Row],[Importe]]-Tabla110[[#This Row],[Pagado]]</f>
        <v>0</v>
      </c>
      <c r="H3069" s="194" t="s">
        <v>10</v>
      </c>
    </row>
    <row r="3070" spans="1:8" x14ac:dyDescent="0.25">
      <c r="A3070" s="127">
        <v>44832</v>
      </c>
      <c r="B3070" s="128" t="s">
        <v>31193</v>
      </c>
      <c r="C3070" s="194" t="s">
        <v>111</v>
      </c>
      <c r="D3070" s="195">
        <v>5570.5</v>
      </c>
      <c r="E3070" s="196">
        <v>44833</v>
      </c>
      <c r="F3070" s="195">
        <v>5570.5</v>
      </c>
      <c r="G3070" s="197">
        <f>Tabla110[[#This Row],[Importe]]-Tabla110[[#This Row],[Pagado]]</f>
        <v>0</v>
      </c>
      <c r="H3070" s="194" t="s">
        <v>10</v>
      </c>
    </row>
    <row r="3071" spans="1:8" x14ac:dyDescent="0.25">
      <c r="A3071" s="127">
        <v>44832</v>
      </c>
      <c r="B3071" s="128" t="s">
        <v>31194</v>
      </c>
      <c r="C3071" s="194" t="s">
        <v>79</v>
      </c>
      <c r="D3071" s="195">
        <v>7736.8</v>
      </c>
      <c r="E3071" s="196">
        <v>44832</v>
      </c>
      <c r="F3071" s="195">
        <v>7736.8</v>
      </c>
      <c r="G3071" s="197">
        <f>Tabla110[[#This Row],[Importe]]-Tabla110[[#This Row],[Pagado]]</f>
        <v>0</v>
      </c>
      <c r="H3071" s="194" t="s">
        <v>10</v>
      </c>
    </row>
    <row r="3072" spans="1:8" x14ac:dyDescent="0.25">
      <c r="A3072" s="127">
        <v>44832</v>
      </c>
      <c r="B3072" s="128" t="s">
        <v>31195</v>
      </c>
      <c r="C3072" s="194" t="s">
        <v>326</v>
      </c>
      <c r="D3072" s="195">
        <v>5165.7</v>
      </c>
      <c r="E3072" s="196">
        <v>44833</v>
      </c>
      <c r="F3072" s="195">
        <v>5165.7</v>
      </c>
      <c r="G3072" s="197">
        <f>Tabla110[[#This Row],[Importe]]-Tabla110[[#This Row],[Pagado]]</f>
        <v>0</v>
      </c>
      <c r="H3072" s="194" t="s">
        <v>10</v>
      </c>
    </row>
    <row r="3073" spans="1:8" x14ac:dyDescent="0.25">
      <c r="A3073" s="127">
        <v>44832</v>
      </c>
      <c r="B3073" s="128" t="s">
        <v>31196</v>
      </c>
      <c r="C3073" s="194" t="s">
        <v>348</v>
      </c>
      <c r="D3073" s="195">
        <v>3926.4</v>
      </c>
      <c r="E3073" s="196">
        <v>44832</v>
      </c>
      <c r="F3073" s="195">
        <v>3926.4</v>
      </c>
      <c r="G3073" s="197">
        <f>Tabla110[[#This Row],[Importe]]-Tabla110[[#This Row],[Pagado]]</f>
        <v>0</v>
      </c>
      <c r="H3073" s="194" t="s">
        <v>10</v>
      </c>
    </row>
    <row r="3074" spans="1:8" x14ac:dyDescent="0.25">
      <c r="A3074" s="127">
        <v>44832</v>
      </c>
      <c r="B3074" s="128" t="s">
        <v>31197</v>
      </c>
      <c r="C3074" s="194" t="s">
        <v>97</v>
      </c>
      <c r="D3074" s="195">
        <v>7108.7</v>
      </c>
      <c r="E3074" s="196">
        <v>44833</v>
      </c>
      <c r="F3074" s="195">
        <v>7108.7</v>
      </c>
      <c r="G3074" s="197">
        <f>Tabla110[[#This Row],[Importe]]-Tabla110[[#This Row],[Pagado]]</f>
        <v>0</v>
      </c>
      <c r="H3074" s="194" t="s">
        <v>10</v>
      </c>
    </row>
    <row r="3075" spans="1:8" x14ac:dyDescent="0.25">
      <c r="A3075" s="127">
        <v>44832</v>
      </c>
      <c r="B3075" s="128" t="s">
        <v>31198</v>
      </c>
      <c r="C3075" s="194" t="s">
        <v>2151</v>
      </c>
      <c r="D3075" s="195">
        <v>15648.3</v>
      </c>
      <c r="E3075" s="196">
        <v>44832</v>
      </c>
      <c r="F3075" s="195">
        <v>15648.3</v>
      </c>
      <c r="G3075" s="197">
        <f>Tabla110[[#This Row],[Importe]]-Tabla110[[#This Row],[Pagado]]</f>
        <v>0</v>
      </c>
      <c r="H3075" s="194" t="s">
        <v>10</v>
      </c>
    </row>
    <row r="3076" spans="1:8" x14ac:dyDescent="0.25">
      <c r="A3076" s="127">
        <v>44832</v>
      </c>
      <c r="B3076" s="128" t="s">
        <v>31199</v>
      </c>
      <c r="C3076" s="194" t="s">
        <v>105</v>
      </c>
      <c r="D3076" s="195">
        <v>11707.5</v>
      </c>
      <c r="E3076" s="196">
        <v>44833</v>
      </c>
      <c r="F3076" s="195">
        <v>11707.5</v>
      </c>
      <c r="G3076" s="197">
        <f>Tabla110[[#This Row],[Importe]]-Tabla110[[#This Row],[Pagado]]</f>
        <v>0</v>
      </c>
      <c r="H3076" s="194" t="s">
        <v>10</v>
      </c>
    </row>
    <row r="3077" spans="1:8" x14ac:dyDescent="0.25">
      <c r="A3077" s="127">
        <v>44832</v>
      </c>
      <c r="B3077" s="128" t="s">
        <v>31200</v>
      </c>
      <c r="C3077" s="194" t="s">
        <v>2151</v>
      </c>
      <c r="D3077" s="195">
        <v>654</v>
      </c>
      <c r="E3077" s="196">
        <v>44832</v>
      </c>
      <c r="F3077" s="195">
        <v>654</v>
      </c>
      <c r="G3077" s="197">
        <f>Tabla110[[#This Row],[Importe]]-Tabla110[[#This Row],[Pagado]]</f>
        <v>0</v>
      </c>
      <c r="H3077" s="194" t="s">
        <v>10</v>
      </c>
    </row>
    <row r="3078" spans="1:8" x14ac:dyDescent="0.25">
      <c r="A3078" s="127">
        <v>44832</v>
      </c>
      <c r="B3078" s="128" t="s">
        <v>31201</v>
      </c>
      <c r="C3078" s="194" t="s">
        <v>75</v>
      </c>
      <c r="D3078" s="195">
        <v>4461.2</v>
      </c>
      <c r="E3078" s="196">
        <v>44832</v>
      </c>
      <c r="F3078" s="195">
        <v>4461.2</v>
      </c>
      <c r="G3078" s="197">
        <f>Tabla110[[#This Row],[Importe]]-Tabla110[[#This Row],[Pagado]]</f>
        <v>0</v>
      </c>
      <c r="H3078" s="194" t="s">
        <v>10</v>
      </c>
    </row>
    <row r="3079" spans="1:8" ht="31.5" x14ac:dyDescent="0.25">
      <c r="A3079" s="127">
        <v>44832</v>
      </c>
      <c r="B3079" s="128" t="s">
        <v>31202</v>
      </c>
      <c r="C3079" s="194" t="s">
        <v>39</v>
      </c>
      <c r="D3079" s="195">
        <v>6821.1</v>
      </c>
      <c r="E3079" s="198" t="s">
        <v>30021</v>
      </c>
      <c r="F3079" s="195">
        <f>3000+3821.1</f>
        <v>6821.1</v>
      </c>
      <c r="G3079" s="197">
        <f>Tabla110[[#This Row],[Importe]]-Tabla110[[#This Row],[Pagado]]</f>
        <v>0</v>
      </c>
      <c r="H3079" s="194" t="s">
        <v>10</v>
      </c>
    </row>
    <row r="3080" spans="1:8" ht="31.5" x14ac:dyDescent="0.25">
      <c r="A3080" s="127">
        <v>44832</v>
      </c>
      <c r="B3080" s="128" t="s">
        <v>31203</v>
      </c>
      <c r="C3080" s="194" t="s">
        <v>30029</v>
      </c>
      <c r="D3080" s="195">
        <v>6921.5</v>
      </c>
      <c r="E3080" s="198" t="s">
        <v>30969</v>
      </c>
      <c r="F3080" s="195">
        <f>4600+2321.5</f>
        <v>6921.5</v>
      </c>
      <c r="G3080" s="197">
        <f>Tabla110[[#This Row],[Importe]]-Tabla110[[#This Row],[Pagado]]</f>
        <v>0</v>
      </c>
      <c r="H3080" s="194" t="s">
        <v>10</v>
      </c>
    </row>
    <row r="3081" spans="1:8" x14ac:dyDescent="0.25">
      <c r="A3081" s="127">
        <v>44832</v>
      </c>
      <c r="B3081" s="128" t="s">
        <v>31204</v>
      </c>
      <c r="C3081" s="194" t="s">
        <v>109</v>
      </c>
      <c r="D3081" s="195">
        <v>4797</v>
      </c>
      <c r="E3081" s="196">
        <v>44833</v>
      </c>
      <c r="F3081" s="195">
        <v>4797</v>
      </c>
      <c r="G3081" s="197">
        <f>Tabla110[[#This Row],[Importe]]-Tabla110[[#This Row],[Pagado]]</f>
        <v>0</v>
      </c>
      <c r="H3081" s="194" t="s">
        <v>10</v>
      </c>
    </row>
    <row r="3082" spans="1:8" x14ac:dyDescent="0.25">
      <c r="A3082" s="127">
        <v>44832</v>
      </c>
      <c r="B3082" s="128" t="s">
        <v>31205</v>
      </c>
      <c r="C3082" s="194" t="s">
        <v>22</v>
      </c>
      <c r="D3082" s="195">
        <v>59087.3</v>
      </c>
      <c r="E3082" s="196">
        <v>44833</v>
      </c>
      <c r="F3082" s="195">
        <v>59087.3</v>
      </c>
      <c r="G3082" s="197">
        <f>Tabla110[[#This Row],[Importe]]-Tabla110[[#This Row],[Pagado]]</f>
        <v>0</v>
      </c>
      <c r="H3082" s="194" t="s">
        <v>10</v>
      </c>
    </row>
    <row r="3083" spans="1:8" x14ac:dyDescent="0.25">
      <c r="A3083" s="127">
        <v>44832</v>
      </c>
      <c r="B3083" s="128" t="s">
        <v>31206</v>
      </c>
      <c r="C3083" s="194" t="s">
        <v>918</v>
      </c>
      <c r="D3083" s="195">
        <v>352</v>
      </c>
      <c r="E3083" s="196">
        <v>44833</v>
      </c>
      <c r="F3083" s="195">
        <v>352</v>
      </c>
      <c r="G3083" s="197">
        <f>Tabla110[[#This Row],[Importe]]-Tabla110[[#This Row],[Pagado]]</f>
        <v>0</v>
      </c>
      <c r="H3083" s="194" t="s">
        <v>10</v>
      </c>
    </row>
    <row r="3084" spans="1:8" x14ac:dyDescent="0.25">
      <c r="A3084" s="127">
        <v>44832</v>
      </c>
      <c r="B3084" s="128" t="s">
        <v>31207</v>
      </c>
      <c r="C3084" s="194" t="s">
        <v>89</v>
      </c>
      <c r="D3084" s="195">
        <v>8148</v>
      </c>
      <c r="E3084" s="196">
        <v>44833</v>
      </c>
      <c r="F3084" s="195">
        <v>8148</v>
      </c>
      <c r="G3084" s="197">
        <f>Tabla110[[#This Row],[Importe]]-Tabla110[[#This Row],[Pagado]]</f>
        <v>0</v>
      </c>
      <c r="H3084" s="194" t="s">
        <v>10</v>
      </c>
    </row>
    <row r="3085" spans="1:8" x14ac:dyDescent="0.25">
      <c r="A3085" s="127">
        <v>44832</v>
      </c>
      <c r="B3085" s="128" t="s">
        <v>31208</v>
      </c>
      <c r="C3085" s="194" t="s">
        <v>17556</v>
      </c>
      <c r="D3085" s="195">
        <v>3441.9</v>
      </c>
      <c r="E3085" s="196">
        <v>44832</v>
      </c>
      <c r="F3085" s="195">
        <v>3441.9</v>
      </c>
      <c r="G3085" s="197">
        <f>Tabla110[[#This Row],[Importe]]-Tabla110[[#This Row],[Pagado]]</f>
        <v>0</v>
      </c>
      <c r="H3085" s="194" t="s">
        <v>10</v>
      </c>
    </row>
    <row r="3086" spans="1:8" x14ac:dyDescent="0.25">
      <c r="A3086" s="127">
        <v>44832</v>
      </c>
      <c r="B3086" s="128" t="s">
        <v>31209</v>
      </c>
      <c r="C3086" s="194" t="s">
        <v>83</v>
      </c>
      <c r="D3086" s="195">
        <v>17436.8</v>
      </c>
      <c r="E3086" s="196">
        <v>44832</v>
      </c>
      <c r="F3086" s="195">
        <v>17436.8</v>
      </c>
      <c r="G3086" s="197">
        <f>Tabla110[[#This Row],[Importe]]-Tabla110[[#This Row],[Pagado]]</f>
        <v>0</v>
      </c>
      <c r="H3086" s="194" t="s">
        <v>10</v>
      </c>
    </row>
    <row r="3087" spans="1:8" x14ac:dyDescent="0.25">
      <c r="A3087" s="127">
        <v>44832</v>
      </c>
      <c r="B3087" s="128" t="s">
        <v>31210</v>
      </c>
      <c r="C3087" s="194" t="s">
        <v>414</v>
      </c>
      <c r="D3087" s="195">
        <v>42546</v>
      </c>
      <c r="E3087" s="196">
        <v>44837</v>
      </c>
      <c r="F3087" s="195">
        <v>42546</v>
      </c>
      <c r="G3087" s="197">
        <f>Tabla110[[#This Row],[Importe]]-Tabla110[[#This Row],[Pagado]]</f>
        <v>0</v>
      </c>
      <c r="H3087" s="194" t="s">
        <v>10</v>
      </c>
    </row>
    <row r="3088" spans="1:8" x14ac:dyDescent="0.25">
      <c r="A3088" s="127">
        <v>44832</v>
      </c>
      <c r="B3088" s="128" t="s">
        <v>31211</v>
      </c>
      <c r="C3088" s="194" t="s">
        <v>16</v>
      </c>
      <c r="D3088" s="195">
        <v>5114.7</v>
      </c>
      <c r="E3088" s="196">
        <v>44832</v>
      </c>
      <c r="F3088" s="195">
        <v>5114.7</v>
      </c>
      <c r="G3088" s="197">
        <f>Tabla110[[#This Row],[Importe]]-Tabla110[[#This Row],[Pagado]]</f>
        <v>0</v>
      </c>
      <c r="H3088" s="194" t="s">
        <v>10</v>
      </c>
    </row>
    <row r="3089" spans="1:8" x14ac:dyDescent="0.25">
      <c r="A3089" s="127">
        <v>44832</v>
      </c>
      <c r="B3089" s="128" t="s">
        <v>31212</v>
      </c>
      <c r="C3089" s="194" t="s">
        <v>357</v>
      </c>
      <c r="D3089" s="195">
        <v>694.2</v>
      </c>
      <c r="E3089" s="196">
        <v>44832</v>
      </c>
      <c r="F3089" s="195">
        <v>694.2</v>
      </c>
      <c r="G3089" s="197">
        <f>Tabla110[[#This Row],[Importe]]-Tabla110[[#This Row],[Pagado]]</f>
        <v>0</v>
      </c>
      <c r="H3089" s="194" t="s">
        <v>10</v>
      </c>
    </row>
    <row r="3090" spans="1:8" x14ac:dyDescent="0.25">
      <c r="A3090" s="127">
        <v>44832</v>
      </c>
      <c r="B3090" s="128" t="s">
        <v>31213</v>
      </c>
      <c r="C3090" s="194" t="s">
        <v>140</v>
      </c>
      <c r="D3090" s="195">
        <v>2165.3000000000002</v>
      </c>
      <c r="E3090" s="196">
        <v>44832</v>
      </c>
      <c r="F3090" s="195">
        <v>2165.3000000000002</v>
      </c>
      <c r="G3090" s="197">
        <f>Tabla110[[#This Row],[Importe]]-Tabla110[[#This Row],[Pagado]]</f>
        <v>0</v>
      </c>
      <c r="H3090" s="194" t="s">
        <v>10</v>
      </c>
    </row>
    <row r="3091" spans="1:8" x14ac:dyDescent="0.25">
      <c r="A3091" s="127">
        <v>44832</v>
      </c>
      <c r="B3091" s="128" t="s">
        <v>31214</v>
      </c>
      <c r="C3091" s="194" t="s">
        <v>452</v>
      </c>
      <c r="D3091" s="195">
        <v>3591.6</v>
      </c>
      <c r="E3091" s="196">
        <v>44832</v>
      </c>
      <c r="F3091" s="195">
        <v>3591.6</v>
      </c>
      <c r="G3091" s="197">
        <f>Tabla110[[#This Row],[Importe]]-Tabla110[[#This Row],[Pagado]]</f>
        <v>0</v>
      </c>
      <c r="H3091" s="194" t="s">
        <v>10</v>
      </c>
    </row>
    <row r="3092" spans="1:8" x14ac:dyDescent="0.25">
      <c r="A3092" s="127">
        <v>44832</v>
      </c>
      <c r="B3092" s="128" t="s">
        <v>31215</v>
      </c>
      <c r="C3092" s="194" t="s">
        <v>127</v>
      </c>
      <c r="D3092" s="195">
        <v>1615.5</v>
      </c>
      <c r="E3092" s="196">
        <v>44832</v>
      </c>
      <c r="F3092" s="195">
        <v>1615.5</v>
      </c>
      <c r="G3092" s="197">
        <f>Tabla110[[#This Row],[Importe]]-Tabla110[[#This Row],[Pagado]]</f>
        <v>0</v>
      </c>
      <c r="H3092" s="194" t="s">
        <v>10</v>
      </c>
    </row>
    <row r="3093" spans="1:8" x14ac:dyDescent="0.25">
      <c r="A3093" s="127">
        <v>44832</v>
      </c>
      <c r="B3093" s="128" t="s">
        <v>31216</v>
      </c>
      <c r="C3093" s="194" t="s">
        <v>129</v>
      </c>
      <c r="D3093" s="195">
        <v>1318.2</v>
      </c>
      <c r="E3093" s="196">
        <v>44832</v>
      </c>
      <c r="F3093" s="195">
        <v>1318.2</v>
      </c>
      <c r="G3093" s="197">
        <f>Tabla110[[#This Row],[Importe]]-Tabla110[[#This Row],[Pagado]]</f>
        <v>0</v>
      </c>
      <c r="H3093" s="194" t="s">
        <v>10</v>
      </c>
    </row>
    <row r="3094" spans="1:8" x14ac:dyDescent="0.25">
      <c r="A3094" s="127">
        <v>44832</v>
      </c>
      <c r="B3094" s="128" t="s">
        <v>31217</v>
      </c>
      <c r="C3094" s="194" t="s">
        <v>142</v>
      </c>
      <c r="D3094" s="195">
        <v>90739.06</v>
      </c>
      <c r="E3094" s="196">
        <v>44860</v>
      </c>
      <c r="F3094" s="195">
        <v>90739.06</v>
      </c>
      <c r="G3094" s="197">
        <f>Tabla110[[#This Row],[Importe]]-Tabla110[[#This Row],[Pagado]]</f>
        <v>0</v>
      </c>
      <c r="H3094" s="194" t="s">
        <v>10</v>
      </c>
    </row>
    <row r="3095" spans="1:8" x14ac:dyDescent="0.25">
      <c r="A3095" s="127">
        <v>44832</v>
      </c>
      <c r="B3095" s="128" t="s">
        <v>31218</v>
      </c>
      <c r="C3095" s="194" t="s">
        <v>333</v>
      </c>
      <c r="D3095" s="195">
        <v>1872</v>
      </c>
      <c r="E3095" s="196">
        <v>44832</v>
      </c>
      <c r="F3095" s="195">
        <v>1872</v>
      </c>
      <c r="G3095" s="197">
        <f>Tabla110[[#This Row],[Importe]]-Tabla110[[#This Row],[Pagado]]</f>
        <v>0</v>
      </c>
      <c r="H3095" s="194" t="s">
        <v>10</v>
      </c>
    </row>
    <row r="3096" spans="1:8" x14ac:dyDescent="0.25">
      <c r="A3096" s="127">
        <v>44832</v>
      </c>
      <c r="B3096" s="128" t="s">
        <v>31219</v>
      </c>
      <c r="C3096" s="194" t="s">
        <v>206</v>
      </c>
      <c r="D3096" s="195">
        <v>18798.099999999999</v>
      </c>
      <c r="E3096" s="196">
        <v>44834</v>
      </c>
      <c r="F3096" s="195">
        <v>18798.099999999999</v>
      </c>
      <c r="G3096" s="197">
        <f>Tabla110[[#This Row],[Importe]]-Tabla110[[#This Row],[Pagado]]</f>
        <v>0</v>
      </c>
      <c r="H3096" s="194" t="s">
        <v>10</v>
      </c>
    </row>
    <row r="3097" spans="1:8" x14ac:dyDescent="0.25">
      <c r="A3097" s="127">
        <v>44832</v>
      </c>
      <c r="B3097" s="128" t="s">
        <v>31220</v>
      </c>
      <c r="C3097" s="194" t="s">
        <v>218</v>
      </c>
      <c r="D3097" s="195">
        <v>14573.4</v>
      </c>
      <c r="E3097" s="196">
        <v>44835</v>
      </c>
      <c r="F3097" s="195">
        <v>14573.4</v>
      </c>
      <c r="G3097" s="197">
        <f>Tabla110[[#This Row],[Importe]]-Tabla110[[#This Row],[Pagado]]</f>
        <v>0</v>
      </c>
      <c r="H3097" s="194" t="s">
        <v>10</v>
      </c>
    </row>
    <row r="3098" spans="1:8" x14ac:dyDescent="0.25">
      <c r="A3098" s="127">
        <v>44832</v>
      </c>
      <c r="B3098" s="128" t="s">
        <v>31221</v>
      </c>
      <c r="C3098" s="194" t="s">
        <v>212</v>
      </c>
      <c r="D3098" s="195">
        <v>34410.400000000001</v>
      </c>
      <c r="E3098" s="196">
        <v>44835</v>
      </c>
      <c r="F3098" s="195">
        <v>34410.400000000001</v>
      </c>
      <c r="G3098" s="197">
        <f>Tabla110[[#This Row],[Importe]]-Tabla110[[#This Row],[Pagado]]</f>
        <v>0</v>
      </c>
      <c r="H3098" s="194" t="s">
        <v>10</v>
      </c>
    </row>
    <row r="3099" spans="1:8" x14ac:dyDescent="0.25">
      <c r="A3099" s="127">
        <v>44832</v>
      </c>
      <c r="B3099" s="128" t="s">
        <v>31222</v>
      </c>
      <c r="C3099" s="194" t="s">
        <v>45</v>
      </c>
      <c r="D3099" s="195">
        <v>11982.4</v>
      </c>
      <c r="E3099" s="196">
        <v>44832</v>
      </c>
      <c r="F3099" s="195">
        <v>11982.4</v>
      </c>
      <c r="G3099" s="197">
        <f>Tabla110[[#This Row],[Importe]]-Tabla110[[#This Row],[Pagado]]</f>
        <v>0</v>
      </c>
      <c r="H3099" s="194" t="s">
        <v>10</v>
      </c>
    </row>
    <row r="3100" spans="1:8" x14ac:dyDescent="0.25">
      <c r="A3100" s="127">
        <v>44832</v>
      </c>
      <c r="B3100" s="128" t="s">
        <v>31223</v>
      </c>
      <c r="C3100" s="194" t="s">
        <v>4136</v>
      </c>
      <c r="D3100" s="195">
        <v>1621.9</v>
      </c>
      <c r="E3100" s="196">
        <v>44832</v>
      </c>
      <c r="F3100" s="195">
        <v>1621.9</v>
      </c>
      <c r="G3100" s="197">
        <f>Tabla110[[#This Row],[Importe]]-Tabla110[[#This Row],[Pagado]]</f>
        <v>0</v>
      </c>
      <c r="H3100" s="194" t="s">
        <v>10</v>
      </c>
    </row>
    <row r="3101" spans="1:8" x14ac:dyDescent="0.25">
      <c r="A3101" s="127">
        <v>44832</v>
      </c>
      <c r="B3101" s="128" t="s">
        <v>31224</v>
      </c>
      <c r="C3101" s="194" t="s">
        <v>14944</v>
      </c>
      <c r="D3101" s="195">
        <v>2076.8000000000002</v>
      </c>
      <c r="E3101" s="196">
        <v>44832</v>
      </c>
      <c r="F3101" s="195">
        <v>2076.8000000000002</v>
      </c>
      <c r="G3101" s="197">
        <f>Tabla110[[#This Row],[Importe]]-Tabla110[[#This Row],[Pagado]]</f>
        <v>0</v>
      </c>
      <c r="H3101" s="194" t="s">
        <v>10</v>
      </c>
    </row>
    <row r="3102" spans="1:8" x14ac:dyDescent="0.25">
      <c r="A3102" s="127">
        <v>44832</v>
      </c>
      <c r="B3102" s="128" t="s">
        <v>31225</v>
      </c>
      <c r="C3102" s="194" t="s">
        <v>24284</v>
      </c>
      <c r="D3102" s="195">
        <v>1238.8</v>
      </c>
      <c r="E3102" s="196">
        <v>44832</v>
      </c>
      <c r="F3102" s="195">
        <v>1238.8</v>
      </c>
      <c r="G3102" s="197">
        <f>Tabla110[[#This Row],[Importe]]-Tabla110[[#This Row],[Pagado]]</f>
        <v>0</v>
      </c>
      <c r="H3102" s="194" t="s">
        <v>10</v>
      </c>
    </row>
    <row r="3103" spans="1:8" x14ac:dyDescent="0.25">
      <c r="A3103" s="127">
        <v>44832</v>
      </c>
      <c r="B3103" s="128" t="s">
        <v>31226</v>
      </c>
      <c r="C3103" s="194" t="s">
        <v>133</v>
      </c>
      <c r="D3103" s="195">
        <v>27633.599999999999</v>
      </c>
      <c r="E3103" s="196">
        <v>44840</v>
      </c>
      <c r="F3103" s="195">
        <v>27633.599999999999</v>
      </c>
      <c r="G3103" s="197">
        <f>Tabla110[[#This Row],[Importe]]-Tabla110[[#This Row],[Pagado]]</f>
        <v>0</v>
      </c>
      <c r="H3103" s="194" t="s">
        <v>10</v>
      </c>
    </row>
    <row r="3104" spans="1:8" x14ac:dyDescent="0.25">
      <c r="A3104" s="127">
        <v>44832</v>
      </c>
      <c r="B3104" s="128" t="s">
        <v>31227</v>
      </c>
      <c r="C3104" s="194" t="s">
        <v>1644</v>
      </c>
      <c r="D3104" s="195">
        <v>15209.6</v>
      </c>
      <c r="E3104" s="196">
        <v>44835</v>
      </c>
      <c r="F3104" s="195">
        <v>15209.6</v>
      </c>
      <c r="G3104" s="197">
        <f>Tabla110[[#This Row],[Importe]]-Tabla110[[#This Row],[Pagado]]</f>
        <v>0</v>
      </c>
      <c r="H3104" s="194" t="s">
        <v>10</v>
      </c>
    </row>
    <row r="3105" spans="1:8" x14ac:dyDescent="0.25">
      <c r="A3105" s="127">
        <v>44832</v>
      </c>
      <c r="B3105" s="128" t="s">
        <v>31228</v>
      </c>
      <c r="C3105" s="194" t="s">
        <v>541</v>
      </c>
      <c r="D3105" s="195">
        <v>18432</v>
      </c>
      <c r="E3105" s="196">
        <v>44832</v>
      </c>
      <c r="F3105" s="195">
        <v>18432</v>
      </c>
      <c r="G3105" s="197">
        <f>Tabla110[[#This Row],[Importe]]-Tabla110[[#This Row],[Pagado]]</f>
        <v>0</v>
      </c>
      <c r="H3105" s="194" t="s">
        <v>10</v>
      </c>
    </row>
    <row r="3106" spans="1:8" x14ac:dyDescent="0.25">
      <c r="A3106" s="127">
        <v>44832</v>
      </c>
      <c r="B3106" s="128" t="s">
        <v>31229</v>
      </c>
      <c r="C3106" s="194" t="s">
        <v>154</v>
      </c>
      <c r="D3106" s="195">
        <v>44210.400000000001</v>
      </c>
      <c r="E3106" s="196">
        <v>44835</v>
      </c>
      <c r="F3106" s="195">
        <v>44210.400000000001</v>
      </c>
      <c r="G3106" s="197">
        <f>Tabla110[[#This Row],[Importe]]-Tabla110[[#This Row],[Pagado]]</f>
        <v>0</v>
      </c>
      <c r="H3106" s="194" t="s">
        <v>10</v>
      </c>
    </row>
    <row r="3107" spans="1:8" x14ac:dyDescent="0.25">
      <c r="A3107" s="127">
        <v>44832</v>
      </c>
      <c r="B3107" s="128" t="s">
        <v>31230</v>
      </c>
      <c r="C3107" s="194" t="s">
        <v>226</v>
      </c>
      <c r="D3107" s="195">
        <v>6847.6</v>
      </c>
      <c r="E3107" s="196">
        <v>44832</v>
      </c>
      <c r="F3107" s="195">
        <v>6847.6</v>
      </c>
      <c r="G3107" s="197">
        <f>Tabla110[[#This Row],[Importe]]-Tabla110[[#This Row],[Pagado]]</f>
        <v>0</v>
      </c>
      <c r="H3107" s="194" t="s">
        <v>10</v>
      </c>
    </row>
    <row r="3108" spans="1:8" x14ac:dyDescent="0.25">
      <c r="A3108" s="127">
        <v>44832</v>
      </c>
      <c r="B3108" s="128" t="s">
        <v>31231</v>
      </c>
      <c r="C3108" s="194" t="s">
        <v>11383</v>
      </c>
      <c r="D3108" s="195">
        <v>24752</v>
      </c>
      <c r="E3108" s="196">
        <v>44832</v>
      </c>
      <c r="F3108" s="195">
        <v>24752</v>
      </c>
      <c r="G3108" s="197">
        <f>Tabla110[[#This Row],[Importe]]-Tabla110[[#This Row],[Pagado]]</f>
        <v>0</v>
      </c>
      <c r="H3108" s="194" t="s">
        <v>10</v>
      </c>
    </row>
    <row r="3109" spans="1:8" x14ac:dyDescent="0.25">
      <c r="A3109" s="127">
        <v>44832</v>
      </c>
      <c r="B3109" s="128" t="s">
        <v>31232</v>
      </c>
      <c r="C3109" s="194" t="s">
        <v>11383</v>
      </c>
      <c r="D3109" s="195">
        <v>936</v>
      </c>
      <c r="E3109" s="196">
        <v>44832</v>
      </c>
      <c r="F3109" s="195">
        <v>936</v>
      </c>
      <c r="G3109" s="197">
        <f>Tabla110[[#This Row],[Importe]]-Tabla110[[#This Row],[Pagado]]</f>
        <v>0</v>
      </c>
      <c r="H3109" s="194" t="s">
        <v>10</v>
      </c>
    </row>
    <row r="3110" spans="1:8" x14ac:dyDescent="0.25">
      <c r="A3110" s="127">
        <v>44832</v>
      </c>
      <c r="B3110" s="128" t="s">
        <v>31233</v>
      </c>
      <c r="C3110" s="194" t="s">
        <v>230</v>
      </c>
      <c r="D3110" s="195">
        <v>3750</v>
      </c>
      <c r="E3110" s="196">
        <v>44832</v>
      </c>
      <c r="F3110" s="195">
        <v>3750</v>
      </c>
      <c r="G3110" s="197">
        <f>Tabla110[[#This Row],[Importe]]-Tabla110[[#This Row],[Pagado]]</f>
        <v>0</v>
      </c>
      <c r="H3110" s="194" t="s">
        <v>10</v>
      </c>
    </row>
    <row r="3111" spans="1:8" x14ac:dyDescent="0.25">
      <c r="A3111" s="127">
        <v>44832</v>
      </c>
      <c r="B3111" s="128" t="s">
        <v>31234</v>
      </c>
      <c r="C3111" s="194" t="s">
        <v>56</v>
      </c>
      <c r="D3111" s="195">
        <v>8692.7999999999993</v>
      </c>
      <c r="E3111" s="196">
        <v>44832</v>
      </c>
      <c r="F3111" s="195">
        <v>8692.7999999999993</v>
      </c>
      <c r="G3111" s="197">
        <f>Tabla110[[#This Row],[Importe]]-Tabla110[[#This Row],[Pagado]]</f>
        <v>0</v>
      </c>
      <c r="H3111" s="194" t="s">
        <v>10</v>
      </c>
    </row>
    <row r="3112" spans="1:8" x14ac:dyDescent="0.25">
      <c r="A3112" s="127">
        <v>44832</v>
      </c>
      <c r="B3112" s="128" t="s">
        <v>31235</v>
      </c>
      <c r="C3112" s="194" t="s">
        <v>49</v>
      </c>
      <c r="D3112" s="195">
        <v>3372.1</v>
      </c>
      <c r="E3112" s="196">
        <v>44832</v>
      </c>
      <c r="F3112" s="195">
        <v>3372.1</v>
      </c>
      <c r="G3112" s="197">
        <f>Tabla110[[#This Row],[Importe]]-Tabla110[[#This Row],[Pagado]]</f>
        <v>0</v>
      </c>
      <c r="H3112" s="194" t="s">
        <v>10</v>
      </c>
    </row>
    <row r="3113" spans="1:8" x14ac:dyDescent="0.25">
      <c r="A3113" s="127">
        <v>44832</v>
      </c>
      <c r="B3113" s="128" t="s">
        <v>31236</v>
      </c>
      <c r="C3113" s="194" t="s">
        <v>204</v>
      </c>
      <c r="D3113" s="195">
        <v>3488.8</v>
      </c>
      <c r="E3113" s="196">
        <v>44832</v>
      </c>
      <c r="F3113" s="195">
        <v>3488.8</v>
      </c>
      <c r="G3113" s="197">
        <f>Tabla110[[#This Row],[Importe]]-Tabla110[[#This Row],[Pagado]]</f>
        <v>0</v>
      </c>
      <c r="H3113" s="194" t="s">
        <v>10</v>
      </c>
    </row>
    <row r="3114" spans="1:8" x14ac:dyDescent="0.25">
      <c r="A3114" s="127">
        <v>44832</v>
      </c>
      <c r="B3114" s="128" t="s">
        <v>31237</v>
      </c>
      <c r="C3114" s="194" t="s">
        <v>562</v>
      </c>
      <c r="D3114" s="195">
        <v>3385.8</v>
      </c>
      <c r="E3114" s="196">
        <v>44832</v>
      </c>
      <c r="F3114" s="195">
        <v>3385.8</v>
      </c>
      <c r="G3114" s="197">
        <f>Tabla110[[#This Row],[Importe]]-Tabla110[[#This Row],[Pagado]]</f>
        <v>0</v>
      </c>
      <c r="H3114" s="194" t="s">
        <v>10</v>
      </c>
    </row>
    <row r="3115" spans="1:8" x14ac:dyDescent="0.25">
      <c r="A3115" s="127">
        <v>44832</v>
      </c>
      <c r="B3115" s="128" t="s">
        <v>31238</v>
      </c>
      <c r="C3115" s="194" t="s">
        <v>181</v>
      </c>
      <c r="D3115" s="195">
        <v>15655.6</v>
      </c>
      <c r="E3115" s="196">
        <v>44832</v>
      </c>
      <c r="F3115" s="195">
        <v>15655.6</v>
      </c>
      <c r="G3115" s="197">
        <f>Tabla110[[#This Row],[Importe]]-Tabla110[[#This Row],[Pagado]]</f>
        <v>0</v>
      </c>
      <c r="H3115" s="194" t="s">
        <v>10</v>
      </c>
    </row>
    <row r="3116" spans="1:8" x14ac:dyDescent="0.25">
      <c r="A3116" s="127">
        <v>44832</v>
      </c>
      <c r="B3116" s="128" t="s">
        <v>31239</v>
      </c>
      <c r="C3116" s="194" t="s">
        <v>29426</v>
      </c>
      <c r="D3116" s="195">
        <v>0</v>
      </c>
      <c r="E3116" s="199" t="s">
        <v>189</v>
      </c>
      <c r="F3116" s="195">
        <v>0</v>
      </c>
      <c r="G3116" s="197">
        <f>Tabla110[[#This Row],[Importe]]-Tabla110[[#This Row],[Pagado]]</f>
        <v>0</v>
      </c>
      <c r="H3116" s="200" t="s">
        <v>31240</v>
      </c>
    </row>
    <row r="3117" spans="1:8" x14ac:dyDescent="0.25">
      <c r="A3117" s="127">
        <v>44832</v>
      </c>
      <c r="B3117" s="128" t="s">
        <v>31241</v>
      </c>
      <c r="C3117" s="194" t="s">
        <v>296</v>
      </c>
      <c r="D3117" s="195">
        <v>4304.3</v>
      </c>
      <c r="E3117" s="196">
        <v>44832</v>
      </c>
      <c r="F3117" s="195">
        <v>4304.3</v>
      </c>
      <c r="G3117" s="197">
        <f>Tabla110[[#This Row],[Importe]]-Tabla110[[#This Row],[Pagado]]</f>
        <v>0</v>
      </c>
      <c r="H3117" s="194" t="s">
        <v>10</v>
      </c>
    </row>
    <row r="3118" spans="1:8" x14ac:dyDescent="0.25">
      <c r="A3118" s="127">
        <v>44832</v>
      </c>
      <c r="B3118" s="128" t="s">
        <v>31242</v>
      </c>
      <c r="C3118" s="194" t="s">
        <v>857</v>
      </c>
      <c r="D3118" s="195">
        <v>357.2</v>
      </c>
      <c r="E3118" s="196">
        <v>44832</v>
      </c>
      <c r="F3118" s="195">
        <v>357.2</v>
      </c>
      <c r="G3118" s="197">
        <f>Tabla110[[#This Row],[Importe]]-Tabla110[[#This Row],[Pagado]]</f>
        <v>0</v>
      </c>
      <c r="H3118" s="194" t="s">
        <v>10</v>
      </c>
    </row>
    <row r="3119" spans="1:8" x14ac:dyDescent="0.25">
      <c r="A3119" s="127">
        <v>44832</v>
      </c>
      <c r="B3119" s="128" t="s">
        <v>31243</v>
      </c>
      <c r="C3119" s="194" t="s">
        <v>196</v>
      </c>
      <c r="D3119" s="195">
        <v>120675.35</v>
      </c>
      <c r="E3119" s="196">
        <v>44834</v>
      </c>
      <c r="F3119" s="195">
        <v>120675.35</v>
      </c>
      <c r="G3119" s="197">
        <f>Tabla110[[#This Row],[Importe]]-Tabla110[[#This Row],[Pagado]]</f>
        <v>0</v>
      </c>
      <c r="H3119" s="194" t="s">
        <v>10</v>
      </c>
    </row>
    <row r="3120" spans="1:8" x14ac:dyDescent="0.25">
      <c r="A3120" s="127">
        <v>44832</v>
      </c>
      <c r="B3120" s="128" t="s">
        <v>31244</v>
      </c>
      <c r="C3120" s="194" t="s">
        <v>555</v>
      </c>
      <c r="D3120" s="195">
        <v>17379.2</v>
      </c>
      <c r="E3120" s="196">
        <v>44832</v>
      </c>
      <c r="F3120" s="195">
        <v>17379.2</v>
      </c>
      <c r="G3120" s="197">
        <f>Tabla110[[#This Row],[Importe]]-Tabla110[[#This Row],[Pagado]]</f>
        <v>0</v>
      </c>
      <c r="H3120" s="194" t="s">
        <v>10</v>
      </c>
    </row>
    <row r="3121" spans="1:8" x14ac:dyDescent="0.25">
      <c r="A3121" s="127">
        <v>44832</v>
      </c>
      <c r="B3121" s="128" t="s">
        <v>31245</v>
      </c>
      <c r="C3121" s="194" t="s">
        <v>31</v>
      </c>
      <c r="D3121" s="195">
        <v>2725.8</v>
      </c>
      <c r="E3121" s="196">
        <v>44832</v>
      </c>
      <c r="F3121" s="195">
        <v>2725.8</v>
      </c>
      <c r="G3121" s="197">
        <f>Tabla110[[#This Row],[Importe]]-Tabla110[[#This Row],[Pagado]]</f>
        <v>0</v>
      </c>
      <c r="H3121" s="194" t="s">
        <v>10</v>
      </c>
    </row>
    <row r="3122" spans="1:8" x14ac:dyDescent="0.25">
      <c r="A3122" s="127">
        <v>44832</v>
      </c>
      <c r="B3122" s="128" t="s">
        <v>31246</v>
      </c>
      <c r="C3122" s="194" t="s">
        <v>698</v>
      </c>
      <c r="D3122" s="195">
        <v>8884.4</v>
      </c>
      <c r="E3122" s="196">
        <v>44832</v>
      </c>
      <c r="F3122" s="195">
        <v>8884.4</v>
      </c>
      <c r="G3122" s="197">
        <f>Tabla110[[#This Row],[Importe]]-Tabla110[[#This Row],[Pagado]]</f>
        <v>0</v>
      </c>
      <c r="H3122" s="194" t="s">
        <v>10</v>
      </c>
    </row>
    <row r="3123" spans="1:8" x14ac:dyDescent="0.25">
      <c r="A3123" s="127">
        <v>44832</v>
      </c>
      <c r="B3123" s="128" t="s">
        <v>31247</v>
      </c>
      <c r="C3123" s="194" t="s">
        <v>2383</v>
      </c>
      <c r="D3123" s="195">
        <v>3600</v>
      </c>
      <c r="E3123" s="196">
        <v>44832</v>
      </c>
      <c r="F3123" s="195">
        <v>3600</v>
      </c>
      <c r="G3123" s="197">
        <f>Tabla110[[#This Row],[Importe]]-Tabla110[[#This Row],[Pagado]]</f>
        <v>0</v>
      </c>
      <c r="H3123" s="194" t="s">
        <v>10</v>
      </c>
    </row>
    <row r="3124" spans="1:8" x14ac:dyDescent="0.25">
      <c r="A3124" s="127">
        <v>44832</v>
      </c>
      <c r="B3124" s="128" t="s">
        <v>31248</v>
      </c>
      <c r="C3124" s="194" t="s">
        <v>9827</v>
      </c>
      <c r="D3124" s="195">
        <v>3959.6</v>
      </c>
      <c r="E3124" s="196">
        <v>44832</v>
      </c>
      <c r="F3124" s="195">
        <v>3959.6</v>
      </c>
      <c r="G3124" s="197">
        <f>Tabla110[[#This Row],[Importe]]-Tabla110[[#This Row],[Pagado]]</f>
        <v>0</v>
      </c>
      <c r="H3124" s="194" t="s">
        <v>10</v>
      </c>
    </row>
    <row r="3125" spans="1:8" x14ac:dyDescent="0.25">
      <c r="A3125" s="127">
        <v>44832</v>
      </c>
      <c r="B3125" s="128" t="s">
        <v>31249</v>
      </c>
      <c r="C3125" s="194" t="s">
        <v>7444</v>
      </c>
      <c r="D3125" s="195">
        <v>3192</v>
      </c>
      <c r="E3125" s="196">
        <v>44832</v>
      </c>
      <c r="F3125" s="195">
        <v>3192</v>
      </c>
      <c r="G3125" s="197">
        <f>Tabla110[[#This Row],[Importe]]-Tabla110[[#This Row],[Pagado]]</f>
        <v>0</v>
      </c>
      <c r="H3125" s="194" t="s">
        <v>10</v>
      </c>
    </row>
    <row r="3126" spans="1:8" x14ac:dyDescent="0.25">
      <c r="A3126" s="127">
        <v>44832</v>
      </c>
      <c r="B3126" s="128" t="s">
        <v>31250</v>
      </c>
      <c r="C3126" s="194" t="s">
        <v>19637</v>
      </c>
      <c r="D3126" s="195">
        <v>8291.5</v>
      </c>
      <c r="E3126" s="196">
        <v>44840</v>
      </c>
      <c r="F3126" s="195">
        <v>8291.5</v>
      </c>
      <c r="G3126" s="197">
        <f>Tabla110[[#This Row],[Importe]]-Tabla110[[#This Row],[Pagado]]</f>
        <v>0</v>
      </c>
      <c r="H3126" s="194" t="s">
        <v>10</v>
      </c>
    </row>
    <row r="3127" spans="1:8" x14ac:dyDescent="0.25">
      <c r="A3127" s="127">
        <v>44832</v>
      </c>
      <c r="B3127" s="128" t="s">
        <v>31251</v>
      </c>
      <c r="C3127" s="194" t="s">
        <v>175</v>
      </c>
      <c r="D3127" s="195">
        <v>12992.4</v>
      </c>
      <c r="E3127" s="196">
        <v>44832</v>
      </c>
      <c r="F3127" s="195">
        <v>12992.4</v>
      </c>
      <c r="G3127" s="197">
        <f>Tabla110[[#This Row],[Importe]]-Tabla110[[#This Row],[Pagado]]</f>
        <v>0</v>
      </c>
      <c r="H3127" s="194" t="s">
        <v>10</v>
      </c>
    </row>
    <row r="3128" spans="1:8" x14ac:dyDescent="0.25">
      <c r="A3128" s="127">
        <v>44832</v>
      </c>
      <c r="B3128" s="128" t="s">
        <v>31252</v>
      </c>
      <c r="C3128" s="194" t="s">
        <v>587</v>
      </c>
      <c r="D3128" s="195">
        <v>6319.28</v>
      </c>
      <c r="E3128" s="196">
        <v>44832</v>
      </c>
      <c r="F3128" s="195">
        <v>6319.28</v>
      </c>
      <c r="G3128" s="197">
        <f>Tabla110[[#This Row],[Importe]]-Tabla110[[#This Row],[Pagado]]</f>
        <v>0</v>
      </c>
      <c r="H3128" s="194" t="s">
        <v>10</v>
      </c>
    </row>
    <row r="3129" spans="1:8" x14ac:dyDescent="0.25">
      <c r="A3129" s="127">
        <v>44832</v>
      </c>
      <c r="B3129" s="128" t="s">
        <v>31253</v>
      </c>
      <c r="C3129" s="194" t="s">
        <v>284</v>
      </c>
      <c r="D3129" s="195">
        <v>9074.4</v>
      </c>
      <c r="E3129" s="196">
        <v>44832</v>
      </c>
      <c r="F3129" s="195">
        <v>9074.4</v>
      </c>
      <c r="G3129" s="197">
        <f>Tabla110[[#This Row],[Importe]]-Tabla110[[#This Row],[Pagado]]</f>
        <v>0</v>
      </c>
      <c r="H3129" s="194" t="s">
        <v>10</v>
      </c>
    </row>
    <row r="3130" spans="1:8" x14ac:dyDescent="0.25">
      <c r="A3130" s="127">
        <v>44832</v>
      </c>
      <c r="B3130" s="128" t="s">
        <v>31254</v>
      </c>
      <c r="C3130" s="194" t="s">
        <v>10819</v>
      </c>
      <c r="D3130" s="195">
        <v>1322.4</v>
      </c>
      <c r="E3130" s="196">
        <v>44832</v>
      </c>
      <c r="F3130" s="195">
        <v>1322.4</v>
      </c>
      <c r="G3130" s="197">
        <f>Tabla110[[#This Row],[Importe]]-Tabla110[[#This Row],[Pagado]]</f>
        <v>0</v>
      </c>
      <c r="H3130" s="194" t="s">
        <v>10</v>
      </c>
    </row>
    <row r="3131" spans="1:8" x14ac:dyDescent="0.25">
      <c r="A3131" s="127">
        <v>44832</v>
      </c>
      <c r="B3131" s="128" t="s">
        <v>31255</v>
      </c>
      <c r="C3131" s="194" t="s">
        <v>280</v>
      </c>
      <c r="D3131" s="195">
        <v>1915.2</v>
      </c>
      <c r="E3131" s="196">
        <v>44832</v>
      </c>
      <c r="F3131" s="195">
        <v>1915.2</v>
      </c>
      <c r="G3131" s="197">
        <f>Tabla110[[#This Row],[Importe]]-Tabla110[[#This Row],[Pagado]]</f>
        <v>0</v>
      </c>
      <c r="H3131" s="194" t="s">
        <v>10</v>
      </c>
    </row>
    <row r="3132" spans="1:8" x14ac:dyDescent="0.25">
      <c r="A3132" s="127">
        <v>44832</v>
      </c>
      <c r="B3132" s="128" t="s">
        <v>31256</v>
      </c>
      <c r="C3132" s="194" t="s">
        <v>870</v>
      </c>
      <c r="D3132" s="195">
        <v>29374.799999999999</v>
      </c>
      <c r="E3132" s="196">
        <v>44832</v>
      </c>
      <c r="F3132" s="195">
        <v>29374.799999999999</v>
      </c>
      <c r="G3132" s="197">
        <f>Tabla110[[#This Row],[Importe]]-Tabla110[[#This Row],[Pagado]]</f>
        <v>0</v>
      </c>
      <c r="H3132" s="194" t="s">
        <v>10</v>
      </c>
    </row>
    <row r="3133" spans="1:8" x14ac:dyDescent="0.25">
      <c r="A3133" s="127">
        <v>44832</v>
      </c>
      <c r="B3133" s="128" t="s">
        <v>31257</v>
      </c>
      <c r="C3133" s="194" t="s">
        <v>282</v>
      </c>
      <c r="D3133" s="195">
        <v>1846.8</v>
      </c>
      <c r="E3133" s="196">
        <v>44832</v>
      </c>
      <c r="F3133" s="195">
        <v>1846.8</v>
      </c>
      <c r="G3133" s="197">
        <f>Tabla110[[#This Row],[Importe]]-Tabla110[[#This Row],[Pagado]]</f>
        <v>0</v>
      </c>
      <c r="H3133" s="194" t="s">
        <v>10</v>
      </c>
    </row>
    <row r="3134" spans="1:8" x14ac:dyDescent="0.25">
      <c r="A3134" s="127">
        <v>44832</v>
      </c>
      <c r="B3134" s="128" t="s">
        <v>31258</v>
      </c>
      <c r="C3134" s="194" t="s">
        <v>31</v>
      </c>
      <c r="D3134" s="195">
        <v>8702.5</v>
      </c>
      <c r="E3134" s="196">
        <v>44832</v>
      </c>
      <c r="F3134" s="195">
        <v>8702.5</v>
      </c>
      <c r="G3134" s="197">
        <f>Tabla110[[#This Row],[Importe]]-Tabla110[[#This Row],[Pagado]]</f>
        <v>0</v>
      </c>
      <c r="H3134" s="194" t="s">
        <v>10</v>
      </c>
    </row>
    <row r="3135" spans="1:8" x14ac:dyDescent="0.25">
      <c r="A3135" s="127">
        <v>44832</v>
      </c>
      <c r="B3135" s="128" t="s">
        <v>31259</v>
      </c>
      <c r="C3135" s="194" t="s">
        <v>31</v>
      </c>
      <c r="D3135" s="195">
        <v>6627.2</v>
      </c>
      <c r="E3135" s="196">
        <v>44832</v>
      </c>
      <c r="F3135" s="195">
        <v>6627.2</v>
      </c>
      <c r="G3135" s="197">
        <f>Tabla110[[#This Row],[Importe]]-Tabla110[[#This Row],[Pagado]]</f>
        <v>0</v>
      </c>
      <c r="H3135" s="194" t="s">
        <v>10</v>
      </c>
    </row>
    <row r="3136" spans="1:8" x14ac:dyDescent="0.25">
      <c r="A3136" s="127">
        <v>44832</v>
      </c>
      <c r="B3136" s="128" t="s">
        <v>31260</v>
      </c>
      <c r="C3136" s="194" t="s">
        <v>31</v>
      </c>
      <c r="D3136" s="195">
        <v>203</v>
      </c>
      <c r="E3136" s="196">
        <v>44832</v>
      </c>
      <c r="F3136" s="195">
        <v>203</v>
      </c>
      <c r="G3136" s="197">
        <f>Tabla110[[#This Row],[Importe]]-Tabla110[[#This Row],[Pagado]]</f>
        <v>0</v>
      </c>
      <c r="H3136" s="194" t="s">
        <v>10</v>
      </c>
    </row>
    <row r="3137" spans="1:8" x14ac:dyDescent="0.25">
      <c r="A3137" s="127">
        <v>44832</v>
      </c>
      <c r="B3137" s="128" t="s">
        <v>31261</v>
      </c>
      <c r="C3137" s="194" t="s">
        <v>31</v>
      </c>
      <c r="D3137" s="195">
        <v>672.6</v>
      </c>
      <c r="E3137" s="196">
        <v>44832</v>
      </c>
      <c r="F3137" s="195">
        <v>672.6</v>
      </c>
      <c r="G3137" s="197">
        <f>Tabla110[[#This Row],[Importe]]-Tabla110[[#This Row],[Pagado]]</f>
        <v>0</v>
      </c>
      <c r="H3137" s="194" t="s">
        <v>10</v>
      </c>
    </row>
    <row r="3138" spans="1:8" x14ac:dyDescent="0.25">
      <c r="A3138" s="127">
        <v>44832</v>
      </c>
      <c r="B3138" s="128" t="s">
        <v>31262</v>
      </c>
      <c r="C3138" s="194" t="s">
        <v>214</v>
      </c>
      <c r="D3138" s="195">
        <v>1345.2</v>
      </c>
      <c r="E3138" s="196">
        <v>44832</v>
      </c>
      <c r="F3138" s="195">
        <v>1345.2</v>
      </c>
      <c r="G3138" s="197">
        <f>Tabla110[[#This Row],[Importe]]-Tabla110[[#This Row],[Pagado]]</f>
        <v>0</v>
      </c>
      <c r="H3138" s="194" t="s">
        <v>10</v>
      </c>
    </row>
    <row r="3139" spans="1:8" x14ac:dyDescent="0.25">
      <c r="A3139" s="127">
        <v>44832</v>
      </c>
      <c r="B3139" s="128" t="s">
        <v>31263</v>
      </c>
      <c r="C3139" s="194" t="s">
        <v>31</v>
      </c>
      <c r="D3139" s="195">
        <v>420</v>
      </c>
      <c r="E3139" s="196">
        <v>44832</v>
      </c>
      <c r="F3139" s="195">
        <v>420</v>
      </c>
      <c r="G3139" s="197">
        <f>Tabla110[[#This Row],[Importe]]-Tabla110[[#This Row],[Pagado]]</f>
        <v>0</v>
      </c>
      <c r="H3139" s="194" t="s">
        <v>10</v>
      </c>
    </row>
    <row r="3140" spans="1:8" x14ac:dyDescent="0.25">
      <c r="A3140" s="127">
        <v>44832</v>
      </c>
      <c r="B3140" s="128" t="s">
        <v>31264</v>
      </c>
      <c r="C3140" s="194" t="s">
        <v>146</v>
      </c>
      <c r="D3140" s="195">
        <v>5182.3999999999996</v>
      </c>
      <c r="E3140" s="196">
        <v>44833</v>
      </c>
      <c r="F3140" s="195">
        <v>5182.3999999999996</v>
      </c>
      <c r="G3140" s="197">
        <f>Tabla110[[#This Row],[Importe]]-Tabla110[[#This Row],[Pagado]]</f>
        <v>0</v>
      </c>
      <c r="H3140" s="194" t="s">
        <v>10</v>
      </c>
    </row>
    <row r="3141" spans="1:8" x14ac:dyDescent="0.25">
      <c r="A3141" s="127">
        <v>44832</v>
      </c>
      <c r="B3141" s="128" t="s">
        <v>31265</v>
      </c>
      <c r="C3141" s="194" t="s">
        <v>107</v>
      </c>
      <c r="D3141" s="195">
        <v>5045.1000000000004</v>
      </c>
      <c r="E3141" s="196">
        <v>44832</v>
      </c>
      <c r="F3141" s="195">
        <v>5045.1000000000004</v>
      </c>
      <c r="G3141" s="197">
        <f>Tabla110[[#This Row],[Importe]]-Tabla110[[#This Row],[Pagado]]</f>
        <v>0</v>
      </c>
      <c r="H3141" s="194" t="s">
        <v>10</v>
      </c>
    </row>
    <row r="3142" spans="1:8" x14ac:dyDescent="0.25">
      <c r="A3142" s="127">
        <v>44832</v>
      </c>
      <c r="B3142" s="128" t="s">
        <v>31266</v>
      </c>
      <c r="C3142" s="194" t="s">
        <v>28087</v>
      </c>
      <c r="D3142" s="195">
        <v>23385.040000000001</v>
      </c>
      <c r="E3142" s="196">
        <v>44833</v>
      </c>
      <c r="F3142" s="195">
        <v>23385.040000000001</v>
      </c>
      <c r="G3142" s="197">
        <f>Tabla110[[#This Row],[Importe]]-Tabla110[[#This Row],[Pagado]]</f>
        <v>0</v>
      </c>
      <c r="H3142" s="194" t="s">
        <v>10</v>
      </c>
    </row>
    <row r="3143" spans="1:8" x14ac:dyDescent="0.25">
      <c r="A3143" s="127">
        <v>44832</v>
      </c>
      <c r="B3143" s="128" t="s">
        <v>31267</v>
      </c>
      <c r="C3143" s="194" t="s">
        <v>670</v>
      </c>
      <c r="D3143" s="195">
        <v>4290</v>
      </c>
      <c r="E3143" s="196">
        <v>44832</v>
      </c>
      <c r="F3143" s="195">
        <v>4290</v>
      </c>
      <c r="G3143" s="197">
        <f>Tabla110[[#This Row],[Importe]]-Tabla110[[#This Row],[Pagado]]</f>
        <v>0</v>
      </c>
      <c r="H3143" s="194" t="s">
        <v>10</v>
      </c>
    </row>
    <row r="3144" spans="1:8" x14ac:dyDescent="0.25">
      <c r="A3144" s="127">
        <v>44832</v>
      </c>
      <c r="B3144" s="128" t="s">
        <v>31268</v>
      </c>
      <c r="C3144" s="194" t="s">
        <v>409</v>
      </c>
      <c r="D3144" s="195">
        <v>10400.4</v>
      </c>
      <c r="E3144" s="196">
        <v>44840</v>
      </c>
      <c r="F3144" s="195">
        <v>10400.4</v>
      </c>
      <c r="G3144" s="197">
        <f>Tabla110[[#This Row],[Importe]]-Tabla110[[#This Row],[Pagado]]</f>
        <v>0</v>
      </c>
      <c r="H3144" s="194" t="s">
        <v>10</v>
      </c>
    </row>
    <row r="3145" spans="1:8" x14ac:dyDescent="0.25">
      <c r="A3145" s="127">
        <v>44832</v>
      </c>
      <c r="B3145" s="128" t="s">
        <v>31269</v>
      </c>
      <c r="C3145" s="194" t="s">
        <v>1362</v>
      </c>
      <c r="D3145" s="195">
        <v>6756.8</v>
      </c>
      <c r="E3145" s="196">
        <v>44833</v>
      </c>
      <c r="F3145" s="195">
        <v>6756.8</v>
      </c>
      <c r="G3145" s="197">
        <f>Tabla110[[#This Row],[Importe]]-Tabla110[[#This Row],[Pagado]]</f>
        <v>0</v>
      </c>
      <c r="H3145" s="194" t="s">
        <v>10</v>
      </c>
    </row>
    <row r="3146" spans="1:8" x14ac:dyDescent="0.25">
      <c r="A3146" s="127">
        <v>44832</v>
      </c>
      <c r="B3146" s="128" t="s">
        <v>31270</v>
      </c>
      <c r="C3146" s="194" t="s">
        <v>16</v>
      </c>
      <c r="D3146" s="195">
        <v>2757</v>
      </c>
      <c r="E3146" s="196">
        <v>44832</v>
      </c>
      <c r="F3146" s="195">
        <v>2757</v>
      </c>
      <c r="G3146" s="197">
        <f>Tabla110[[#This Row],[Importe]]-Tabla110[[#This Row],[Pagado]]</f>
        <v>0</v>
      </c>
      <c r="H3146" s="194" t="s">
        <v>10</v>
      </c>
    </row>
    <row r="3147" spans="1:8" x14ac:dyDescent="0.25">
      <c r="A3147" s="127">
        <v>44832</v>
      </c>
      <c r="B3147" s="128" t="s">
        <v>31271</v>
      </c>
      <c r="C3147" s="194" t="s">
        <v>71</v>
      </c>
      <c r="D3147" s="195">
        <v>708</v>
      </c>
      <c r="E3147" s="196">
        <v>44832</v>
      </c>
      <c r="F3147" s="195">
        <v>708</v>
      </c>
      <c r="G3147" s="197">
        <f>Tabla110[[#This Row],[Importe]]-Tabla110[[#This Row],[Pagado]]</f>
        <v>0</v>
      </c>
      <c r="H3147" s="194" t="s">
        <v>10</v>
      </c>
    </row>
    <row r="3148" spans="1:8" x14ac:dyDescent="0.25">
      <c r="A3148" s="127">
        <v>44832</v>
      </c>
      <c r="B3148" s="128" t="s">
        <v>31272</v>
      </c>
      <c r="C3148" s="194" t="s">
        <v>24</v>
      </c>
      <c r="D3148" s="195">
        <v>1353.6</v>
      </c>
      <c r="E3148" s="196">
        <v>44832</v>
      </c>
      <c r="F3148" s="195">
        <v>1353.6</v>
      </c>
      <c r="G3148" s="197">
        <f>Tabla110[[#This Row],[Importe]]-Tabla110[[#This Row],[Pagado]]</f>
        <v>0</v>
      </c>
      <c r="H3148" s="194" t="s">
        <v>10</v>
      </c>
    </row>
    <row r="3149" spans="1:8" ht="31.5" x14ac:dyDescent="0.25">
      <c r="A3149" s="127">
        <v>44832</v>
      </c>
      <c r="B3149" s="128" t="s">
        <v>31273</v>
      </c>
      <c r="C3149" s="194" t="s">
        <v>475</v>
      </c>
      <c r="D3149" s="195">
        <v>31331.1</v>
      </c>
      <c r="E3149" s="198" t="s">
        <v>30969</v>
      </c>
      <c r="F3149" s="195">
        <f>31132.6+198.5</f>
        <v>31331.1</v>
      </c>
      <c r="G3149" s="197">
        <f>Tabla110[[#This Row],[Importe]]-Tabla110[[#This Row],[Pagado]]</f>
        <v>0</v>
      </c>
      <c r="H3149" s="194" t="s">
        <v>10</v>
      </c>
    </row>
    <row r="3150" spans="1:8" x14ac:dyDescent="0.25">
      <c r="A3150" s="127">
        <v>44832</v>
      </c>
      <c r="B3150" s="128" t="s">
        <v>31274</v>
      </c>
      <c r="C3150" s="194" t="s">
        <v>9577</v>
      </c>
      <c r="D3150" s="195">
        <v>23824.400000000001</v>
      </c>
      <c r="E3150" s="196">
        <v>44833</v>
      </c>
      <c r="F3150" s="195">
        <v>23824.400000000001</v>
      </c>
      <c r="G3150" s="197">
        <f>Tabla110[[#This Row],[Importe]]-Tabla110[[#This Row],[Pagado]]</f>
        <v>0</v>
      </c>
      <c r="H3150" s="194" t="s">
        <v>10</v>
      </c>
    </row>
    <row r="3151" spans="1:8" x14ac:dyDescent="0.25">
      <c r="A3151" s="127">
        <v>44832</v>
      </c>
      <c r="B3151" s="128" t="s">
        <v>31275</v>
      </c>
      <c r="C3151" s="194" t="s">
        <v>31</v>
      </c>
      <c r="D3151" s="195">
        <v>2228</v>
      </c>
      <c r="E3151" s="196">
        <v>44832</v>
      </c>
      <c r="F3151" s="195">
        <v>2228</v>
      </c>
      <c r="G3151" s="197">
        <f>Tabla110[[#This Row],[Importe]]-Tabla110[[#This Row],[Pagado]]</f>
        <v>0</v>
      </c>
      <c r="H3151" s="194" t="s">
        <v>10</v>
      </c>
    </row>
    <row r="3152" spans="1:8" x14ac:dyDescent="0.25">
      <c r="A3152" s="127">
        <v>44832</v>
      </c>
      <c r="B3152" s="128" t="s">
        <v>31276</v>
      </c>
      <c r="C3152" s="194" t="s">
        <v>15306</v>
      </c>
      <c r="D3152" s="195">
        <v>13567</v>
      </c>
      <c r="E3152" s="196">
        <v>44832</v>
      </c>
      <c r="F3152" s="195">
        <v>13567</v>
      </c>
      <c r="G3152" s="197">
        <f>Tabla110[[#This Row],[Importe]]-Tabla110[[#This Row],[Pagado]]</f>
        <v>0</v>
      </c>
      <c r="H3152" s="194" t="s">
        <v>10</v>
      </c>
    </row>
    <row r="3153" spans="1:8" x14ac:dyDescent="0.25">
      <c r="A3153" s="127">
        <v>44832</v>
      </c>
      <c r="B3153" s="128" t="s">
        <v>31277</v>
      </c>
      <c r="C3153" s="194" t="s">
        <v>450</v>
      </c>
      <c r="D3153" s="195">
        <v>4734.5</v>
      </c>
      <c r="E3153" s="196">
        <v>44832</v>
      </c>
      <c r="F3153" s="195">
        <v>4734.5</v>
      </c>
      <c r="G3153" s="197">
        <f>Tabla110[[#This Row],[Importe]]-Tabla110[[#This Row],[Pagado]]</f>
        <v>0</v>
      </c>
      <c r="H3153" s="194" t="s">
        <v>10</v>
      </c>
    </row>
    <row r="3154" spans="1:8" x14ac:dyDescent="0.25">
      <c r="A3154" s="127">
        <v>44832</v>
      </c>
      <c r="B3154" s="128" t="s">
        <v>31278</v>
      </c>
      <c r="C3154" s="194" t="s">
        <v>1421</v>
      </c>
      <c r="D3154" s="195">
        <v>53572.2</v>
      </c>
      <c r="E3154" s="196">
        <v>44832</v>
      </c>
      <c r="F3154" s="195">
        <v>53572.2</v>
      </c>
      <c r="G3154" s="197">
        <f>Tabla110[[#This Row],[Importe]]-Tabla110[[#This Row],[Pagado]]</f>
        <v>0</v>
      </c>
      <c r="H3154" s="194" t="s">
        <v>10</v>
      </c>
    </row>
    <row r="3155" spans="1:8" x14ac:dyDescent="0.25">
      <c r="A3155" s="127">
        <v>44832</v>
      </c>
      <c r="B3155" s="128" t="s">
        <v>31279</v>
      </c>
      <c r="C3155" s="194" t="s">
        <v>1008</v>
      </c>
      <c r="D3155" s="195">
        <v>3404.8</v>
      </c>
      <c r="E3155" s="196">
        <v>44832</v>
      </c>
      <c r="F3155" s="195">
        <v>3404.8</v>
      </c>
      <c r="G3155" s="197">
        <f>Tabla110[[#This Row],[Importe]]-Tabla110[[#This Row],[Pagado]]</f>
        <v>0</v>
      </c>
      <c r="H3155" s="194" t="s">
        <v>10</v>
      </c>
    </row>
    <row r="3156" spans="1:8" x14ac:dyDescent="0.25">
      <c r="A3156" s="127">
        <v>44832</v>
      </c>
      <c r="B3156" s="128" t="s">
        <v>31280</v>
      </c>
      <c r="C3156" s="194" t="s">
        <v>53</v>
      </c>
      <c r="D3156" s="195">
        <v>2035.8</v>
      </c>
      <c r="E3156" s="196">
        <v>44832</v>
      </c>
      <c r="F3156" s="195">
        <v>2035.8</v>
      </c>
      <c r="G3156" s="197">
        <f>Tabla110[[#This Row],[Importe]]-Tabla110[[#This Row],[Pagado]]</f>
        <v>0</v>
      </c>
      <c r="H3156" s="194" t="s">
        <v>10</v>
      </c>
    </row>
    <row r="3157" spans="1:8" x14ac:dyDescent="0.25">
      <c r="A3157" s="127">
        <v>44832</v>
      </c>
      <c r="B3157" s="128" t="s">
        <v>31281</v>
      </c>
      <c r="C3157" s="194" t="s">
        <v>681</v>
      </c>
      <c r="D3157" s="195">
        <v>2.0699999999999998</v>
      </c>
      <c r="E3157" s="196">
        <v>44840</v>
      </c>
      <c r="F3157" s="195">
        <v>2.0699999999999998</v>
      </c>
      <c r="G3157" s="197">
        <f>Tabla110[[#This Row],[Importe]]-Tabla110[[#This Row],[Pagado]]</f>
        <v>0</v>
      </c>
      <c r="H3157" s="194" t="s">
        <v>10</v>
      </c>
    </row>
    <row r="3158" spans="1:8" x14ac:dyDescent="0.25">
      <c r="A3158" s="127">
        <v>44832</v>
      </c>
      <c r="B3158" s="128" t="s">
        <v>31282</v>
      </c>
      <c r="C3158" s="194" t="s">
        <v>296</v>
      </c>
      <c r="D3158" s="195">
        <v>4674.2</v>
      </c>
      <c r="E3158" s="196">
        <v>44832</v>
      </c>
      <c r="F3158" s="195">
        <v>4674.2</v>
      </c>
      <c r="G3158" s="197">
        <f>Tabla110[[#This Row],[Importe]]-Tabla110[[#This Row],[Pagado]]</f>
        <v>0</v>
      </c>
      <c r="H3158" s="194" t="s">
        <v>10</v>
      </c>
    </row>
    <row r="3159" spans="1:8" x14ac:dyDescent="0.25">
      <c r="A3159" s="127">
        <v>44832</v>
      </c>
      <c r="B3159" s="128" t="s">
        <v>31283</v>
      </c>
      <c r="C3159" s="194" t="s">
        <v>31</v>
      </c>
      <c r="D3159" s="195">
        <v>1192</v>
      </c>
      <c r="E3159" s="196">
        <v>44832</v>
      </c>
      <c r="F3159" s="195">
        <v>1192</v>
      </c>
      <c r="G3159" s="197">
        <f>Tabla110[[#This Row],[Importe]]-Tabla110[[#This Row],[Pagado]]</f>
        <v>0</v>
      </c>
      <c r="H3159" s="194" t="s">
        <v>10</v>
      </c>
    </row>
    <row r="3160" spans="1:8" x14ac:dyDescent="0.25">
      <c r="A3160" s="127">
        <v>44832</v>
      </c>
      <c r="B3160" s="128" t="s">
        <v>31284</v>
      </c>
      <c r="C3160" s="194" t="s">
        <v>610</v>
      </c>
      <c r="D3160" s="195">
        <v>29244.799999999999</v>
      </c>
      <c r="E3160" s="196">
        <v>44832</v>
      </c>
      <c r="F3160" s="195">
        <v>29244.799999999999</v>
      </c>
      <c r="G3160" s="197">
        <f>Tabla110[[#This Row],[Importe]]-Tabla110[[#This Row],[Pagado]]</f>
        <v>0</v>
      </c>
      <c r="H3160" s="194" t="s">
        <v>10</v>
      </c>
    </row>
    <row r="3161" spans="1:8" x14ac:dyDescent="0.25">
      <c r="A3161" s="127">
        <v>44833</v>
      </c>
      <c r="B3161" s="128" t="s">
        <v>31285</v>
      </c>
      <c r="C3161" s="194" t="s">
        <v>887</v>
      </c>
      <c r="D3161" s="195">
        <v>10075</v>
      </c>
      <c r="E3161" s="196">
        <v>44833</v>
      </c>
      <c r="F3161" s="195">
        <v>10075</v>
      </c>
      <c r="G3161" s="197">
        <f>Tabla110[[#This Row],[Importe]]-Tabla110[[#This Row],[Pagado]]</f>
        <v>0</v>
      </c>
      <c r="H3161" s="194" t="s">
        <v>10</v>
      </c>
    </row>
    <row r="3162" spans="1:8" x14ac:dyDescent="0.25">
      <c r="A3162" s="127">
        <v>44833</v>
      </c>
      <c r="B3162" s="128" t="s">
        <v>31286</v>
      </c>
      <c r="C3162" s="194" t="s">
        <v>79</v>
      </c>
      <c r="D3162" s="195">
        <v>8147.2</v>
      </c>
      <c r="E3162" s="196">
        <v>44833</v>
      </c>
      <c r="F3162" s="195">
        <v>8147.2</v>
      </c>
      <c r="G3162" s="197">
        <f>Tabla110[[#This Row],[Importe]]-Tabla110[[#This Row],[Pagado]]</f>
        <v>0</v>
      </c>
      <c r="H3162" s="194" t="s">
        <v>10</v>
      </c>
    </row>
    <row r="3163" spans="1:8" x14ac:dyDescent="0.25">
      <c r="A3163" s="127">
        <v>44833</v>
      </c>
      <c r="B3163" s="128" t="s">
        <v>31287</v>
      </c>
      <c r="C3163" s="194" t="s">
        <v>475</v>
      </c>
      <c r="D3163" s="195">
        <v>78584.600000000006</v>
      </c>
      <c r="E3163" s="196">
        <v>44834</v>
      </c>
      <c r="F3163" s="195">
        <v>78584.600000000006</v>
      </c>
      <c r="G3163" s="197">
        <f>Tabla110[[#This Row],[Importe]]-Tabla110[[#This Row],[Pagado]]</f>
        <v>0</v>
      </c>
      <c r="H3163" s="194" t="s">
        <v>10</v>
      </c>
    </row>
    <row r="3164" spans="1:8" x14ac:dyDescent="0.25">
      <c r="A3164" s="127">
        <v>44833</v>
      </c>
      <c r="B3164" s="128" t="s">
        <v>31288</v>
      </c>
      <c r="C3164" s="194" t="s">
        <v>12</v>
      </c>
      <c r="D3164" s="195">
        <v>19151.900000000001</v>
      </c>
      <c r="E3164" s="196">
        <v>44834</v>
      </c>
      <c r="F3164" s="195">
        <v>19151.900000000001</v>
      </c>
      <c r="G3164" s="197">
        <f>Tabla110[[#This Row],[Importe]]-Tabla110[[#This Row],[Pagado]]</f>
        <v>0</v>
      </c>
      <c r="H3164" s="194" t="s">
        <v>10</v>
      </c>
    </row>
    <row r="3165" spans="1:8" x14ac:dyDescent="0.25">
      <c r="A3165" s="127">
        <v>44833</v>
      </c>
      <c r="B3165" s="128" t="s">
        <v>31289</v>
      </c>
      <c r="C3165" s="194" t="s">
        <v>1187</v>
      </c>
      <c r="D3165" s="195">
        <v>2417.6999999999998</v>
      </c>
      <c r="E3165" s="196">
        <v>44833</v>
      </c>
      <c r="F3165" s="195">
        <v>2417.6999999999998</v>
      </c>
      <c r="G3165" s="197">
        <f>Tabla110[[#This Row],[Importe]]-Tabla110[[#This Row],[Pagado]]</f>
        <v>0</v>
      </c>
      <c r="H3165" s="194" t="s">
        <v>10</v>
      </c>
    </row>
    <row r="3166" spans="1:8" x14ac:dyDescent="0.25">
      <c r="A3166" s="127">
        <v>44833</v>
      </c>
      <c r="B3166" s="128" t="s">
        <v>31290</v>
      </c>
      <c r="C3166" s="194" t="s">
        <v>95</v>
      </c>
      <c r="D3166" s="195">
        <v>28650</v>
      </c>
      <c r="E3166" s="196">
        <v>44833</v>
      </c>
      <c r="F3166" s="195">
        <v>28650</v>
      </c>
      <c r="G3166" s="197">
        <f>Tabla110[[#This Row],[Importe]]-Tabla110[[#This Row],[Pagado]]</f>
        <v>0</v>
      </c>
      <c r="H3166" s="194" t="s">
        <v>10</v>
      </c>
    </row>
    <row r="3167" spans="1:8" x14ac:dyDescent="0.25">
      <c r="A3167" s="127">
        <v>44833</v>
      </c>
      <c r="B3167" s="128" t="s">
        <v>31291</v>
      </c>
      <c r="C3167" s="194" t="s">
        <v>75</v>
      </c>
      <c r="D3167" s="195">
        <v>6308</v>
      </c>
      <c r="E3167" s="196">
        <v>44833</v>
      </c>
      <c r="F3167" s="195">
        <v>6308</v>
      </c>
      <c r="G3167" s="197">
        <f>Tabla110[[#This Row],[Importe]]-Tabla110[[#This Row],[Pagado]]</f>
        <v>0</v>
      </c>
      <c r="H3167" s="194" t="s">
        <v>10</v>
      </c>
    </row>
    <row r="3168" spans="1:8" x14ac:dyDescent="0.25">
      <c r="A3168" s="127">
        <v>44833</v>
      </c>
      <c r="B3168" s="128" t="s">
        <v>31292</v>
      </c>
      <c r="C3168" s="194" t="s">
        <v>481</v>
      </c>
      <c r="D3168" s="195">
        <v>1187.5</v>
      </c>
      <c r="E3168" s="196">
        <v>44833</v>
      </c>
      <c r="F3168" s="195">
        <v>1187.5</v>
      </c>
      <c r="G3168" s="197">
        <f>Tabla110[[#This Row],[Importe]]-Tabla110[[#This Row],[Pagado]]</f>
        <v>0</v>
      </c>
      <c r="H3168" s="194" t="s">
        <v>10</v>
      </c>
    </row>
    <row r="3169" spans="1:8" x14ac:dyDescent="0.25">
      <c r="A3169" s="127">
        <v>44833</v>
      </c>
      <c r="B3169" s="128" t="s">
        <v>31293</v>
      </c>
      <c r="C3169" s="194" t="s">
        <v>9</v>
      </c>
      <c r="D3169" s="195">
        <v>6330.4</v>
      </c>
      <c r="E3169" s="196">
        <v>44833</v>
      </c>
      <c r="F3169" s="195">
        <v>6330.4</v>
      </c>
      <c r="G3169" s="197">
        <f>Tabla110[[#This Row],[Importe]]-Tabla110[[#This Row],[Pagado]]</f>
        <v>0</v>
      </c>
      <c r="H3169" s="194" t="s">
        <v>10</v>
      </c>
    </row>
    <row r="3170" spans="1:8" x14ac:dyDescent="0.25">
      <c r="A3170" s="127">
        <v>44833</v>
      </c>
      <c r="B3170" s="128" t="s">
        <v>31294</v>
      </c>
      <c r="C3170" s="194" t="s">
        <v>105</v>
      </c>
      <c r="D3170" s="195">
        <v>8647.2000000000007</v>
      </c>
      <c r="E3170" s="196">
        <v>44834</v>
      </c>
      <c r="F3170" s="195">
        <v>8647.2000000000007</v>
      </c>
      <c r="G3170" s="197">
        <f>Tabla110[[#This Row],[Importe]]-Tabla110[[#This Row],[Pagado]]</f>
        <v>0</v>
      </c>
      <c r="H3170" s="194" t="s">
        <v>10</v>
      </c>
    </row>
    <row r="3171" spans="1:8" x14ac:dyDescent="0.25">
      <c r="A3171" s="127">
        <v>44833</v>
      </c>
      <c r="B3171" s="128" t="s">
        <v>31295</v>
      </c>
      <c r="C3171" s="194" t="s">
        <v>64</v>
      </c>
      <c r="D3171" s="195">
        <v>4985.5</v>
      </c>
      <c r="E3171" s="196">
        <v>44834</v>
      </c>
      <c r="F3171" s="195">
        <v>4985.5</v>
      </c>
      <c r="G3171" s="197">
        <f>Tabla110[[#This Row],[Importe]]-Tabla110[[#This Row],[Pagado]]</f>
        <v>0</v>
      </c>
      <c r="H3171" s="194" t="s">
        <v>10</v>
      </c>
    </row>
    <row r="3172" spans="1:8" x14ac:dyDescent="0.25">
      <c r="A3172" s="127">
        <v>44833</v>
      </c>
      <c r="B3172" s="128" t="s">
        <v>31296</v>
      </c>
      <c r="C3172" s="194" t="s">
        <v>97</v>
      </c>
      <c r="D3172" s="195">
        <v>8380.1</v>
      </c>
      <c r="E3172" s="196">
        <v>44834</v>
      </c>
      <c r="F3172" s="195">
        <v>8380.1</v>
      </c>
      <c r="G3172" s="197">
        <f>Tabla110[[#This Row],[Importe]]-Tabla110[[#This Row],[Pagado]]</f>
        <v>0</v>
      </c>
      <c r="H3172" s="194" t="s">
        <v>10</v>
      </c>
    </row>
    <row r="3173" spans="1:8" x14ac:dyDescent="0.25">
      <c r="A3173" s="127">
        <v>44833</v>
      </c>
      <c r="B3173" s="128" t="s">
        <v>31297</v>
      </c>
      <c r="C3173" s="194" t="s">
        <v>114</v>
      </c>
      <c r="D3173" s="195">
        <v>6457.4</v>
      </c>
      <c r="E3173" s="196">
        <v>44834</v>
      </c>
      <c r="F3173" s="195">
        <v>6457.4</v>
      </c>
      <c r="G3173" s="197">
        <f>Tabla110[[#This Row],[Importe]]-Tabla110[[#This Row],[Pagado]]</f>
        <v>0</v>
      </c>
      <c r="H3173" s="194" t="s">
        <v>10</v>
      </c>
    </row>
    <row r="3174" spans="1:8" x14ac:dyDescent="0.25">
      <c r="A3174" s="127">
        <v>44833</v>
      </c>
      <c r="B3174" s="128" t="s">
        <v>31298</v>
      </c>
      <c r="C3174" s="194" t="s">
        <v>111</v>
      </c>
      <c r="D3174" s="195">
        <v>5570.5</v>
      </c>
      <c r="E3174" s="196">
        <v>44834</v>
      </c>
      <c r="F3174" s="195">
        <v>5570.5</v>
      </c>
      <c r="G3174" s="197">
        <f>Tabla110[[#This Row],[Importe]]-Tabla110[[#This Row],[Pagado]]</f>
        <v>0</v>
      </c>
      <c r="H3174" s="194" t="s">
        <v>10</v>
      </c>
    </row>
    <row r="3175" spans="1:8" x14ac:dyDescent="0.25">
      <c r="A3175" s="127">
        <v>44833</v>
      </c>
      <c r="B3175" s="128" t="s">
        <v>31299</v>
      </c>
      <c r="C3175" s="194" t="s">
        <v>39</v>
      </c>
      <c r="D3175" s="195">
        <v>7134.2</v>
      </c>
      <c r="E3175" s="196">
        <v>44834</v>
      </c>
      <c r="F3175" s="195">
        <v>7134.2</v>
      </c>
      <c r="G3175" s="197">
        <f>Tabla110[[#This Row],[Importe]]-Tabla110[[#This Row],[Pagado]]</f>
        <v>0</v>
      </c>
      <c r="H3175" s="194" t="s">
        <v>10</v>
      </c>
    </row>
    <row r="3176" spans="1:8" x14ac:dyDescent="0.25">
      <c r="A3176" s="127">
        <v>44833</v>
      </c>
      <c r="B3176" s="128" t="s">
        <v>31300</v>
      </c>
      <c r="C3176" s="194" t="s">
        <v>326</v>
      </c>
      <c r="D3176" s="195">
        <v>2466.1999999999998</v>
      </c>
      <c r="E3176" s="196">
        <v>44834</v>
      </c>
      <c r="F3176" s="195">
        <v>2466.1999999999998</v>
      </c>
      <c r="G3176" s="197">
        <f>Tabla110[[#This Row],[Importe]]-Tabla110[[#This Row],[Pagado]]</f>
        <v>0</v>
      </c>
      <c r="H3176" s="194" t="s">
        <v>10</v>
      </c>
    </row>
    <row r="3177" spans="1:8" x14ac:dyDescent="0.25">
      <c r="A3177" s="127">
        <v>44833</v>
      </c>
      <c r="B3177" s="128" t="s">
        <v>31301</v>
      </c>
      <c r="C3177" s="194" t="s">
        <v>89</v>
      </c>
      <c r="D3177" s="195">
        <v>12118.6</v>
      </c>
      <c r="E3177" s="196">
        <v>44834</v>
      </c>
      <c r="F3177" s="195">
        <v>12118.6</v>
      </c>
      <c r="G3177" s="197">
        <f>Tabla110[[#This Row],[Importe]]-Tabla110[[#This Row],[Pagado]]</f>
        <v>0</v>
      </c>
      <c r="H3177" s="194" t="s">
        <v>10</v>
      </c>
    </row>
    <row r="3178" spans="1:8" x14ac:dyDescent="0.25">
      <c r="A3178" s="127">
        <v>44833</v>
      </c>
      <c r="B3178" s="128" t="s">
        <v>31302</v>
      </c>
      <c r="C3178" s="194" t="s">
        <v>22</v>
      </c>
      <c r="D3178" s="195">
        <v>31772.9</v>
      </c>
      <c r="E3178" s="196">
        <v>44834</v>
      </c>
      <c r="F3178" s="195">
        <v>31772.9</v>
      </c>
      <c r="G3178" s="197">
        <f>Tabla110[[#This Row],[Importe]]-Tabla110[[#This Row],[Pagado]]</f>
        <v>0</v>
      </c>
      <c r="H3178" s="194" t="s">
        <v>10</v>
      </c>
    </row>
    <row r="3179" spans="1:8" ht="31.5" x14ac:dyDescent="0.25">
      <c r="A3179" s="127">
        <v>44833</v>
      </c>
      <c r="B3179" s="128" t="s">
        <v>31303</v>
      </c>
      <c r="C3179" s="194" t="s">
        <v>30029</v>
      </c>
      <c r="D3179" s="195">
        <v>6508.5</v>
      </c>
      <c r="E3179" s="198" t="s">
        <v>31539</v>
      </c>
      <c r="F3179" s="195">
        <f>3000+3508.5</f>
        <v>6508.5</v>
      </c>
      <c r="G3179" s="197">
        <f>Tabla110[[#This Row],[Importe]]-Tabla110[[#This Row],[Pagado]]</f>
        <v>0</v>
      </c>
      <c r="H3179" s="194" t="s">
        <v>10</v>
      </c>
    </row>
    <row r="3180" spans="1:8" x14ac:dyDescent="0.25">
      <c r="A3180" s="127">
        <v>44833</v>
      </c>
      <c r="B3180" s="128" t="s">
        <v>31304</v>
      </c>
      <c r="C3180" s="194" t="s">
        <v>918</v>
      </c>
      <c r="D3180" s="195">
        <v>1666</v>
      </c>
      <c r="E3180" s="196">
        <v>44833</v>
      </c>
      <c r="F3180" s="195">
        <v>1666</v>
      </c>
      <c r="G3180" s="197">
        <f>Tabla110[[#This Row],[Importe]]-Tabla110[[#This Row],[Pagado]]</f>
        <v>0</v>
      </c>
      <c r="H3180" s="194" t="s">
        <v>10</v>
      </c>
    </row>
    <row r="3181" spans="1:8" x14ac:dyDescent="0.25">
      <c r="A3181" s="127">
        <v>44833</v>
      </c>
      <c r="B3181" s="128" t="s">
        <v>31305</v>
      </c>
      <c r="C3181" s="194" t="s">
        <v>348</v>
      </c>
      <c r="D3181" s="195">
        <v>4256.2</v>
      </c>
      <c r="E3181" s="196">
        <v>44833</v>
      </c>
      <c r="F3181" s="195">
        <v>4256.2</v>
      </c>
      <c r="G3181" s="197">
        <f>Tabla110[[#This Row],[Importe]]-Tabla110[[#This Row],[Pagado]]</f>
        <v>0</v>
      </c>
      <c r="H3181" s="194" t="s">
        <v>10</v>
      </c>
    </row>
    <row r="3182" spans="1:8" x14ac:dyDescent="0.25">
      <c r="A3182" s="127">
        <v>44833</v>
      </c>
      <c r="B3182" s="128" t="s">
        <v>31306</v>
      </c>
      <c r="C3182" s="194" t="s">
        <v>93</v>
      </c>
      <c r="D3182" s="195">
        <v>1641.2</v>
      </c>
      <c r="E3182" s="196">
        <v>44833</v>
      </c>
      <c r="F3182" s="195">
        <v>1641.2</v>
      </c>
      <c r="G3182" s="197">
        <f>Tabla110[[#This Row],[Importe]]-Tabla110[[#This Row],[Pagado]]</f>
        <v>0</v>
      </c>
      <c r="H3182" s="194" t="s">
        <v>10</v>
      </c>
    </row>
    <row r="3183" spans="1:8" x14ac:dyDescent="0.25">
      <c r="A3183" s="127">
        <v>44833</v>
      </c>
      <c r="B3183" s="128" t="s">
        <v>31307</v>
      </c>
      <c r="C3183" s="194" t="s">
        <v>83</v>
      </c>
      <c r="D3183" s="195">
        <v>10448.200000000001</v>
      </c>
      <c r="E3183" s="196">
        <v>44833</v>
      </c>
      <c r="F3183" s="195">
        <v>10448.200000000001</v>
      </c>
      <c r="G3183" s="197">
        <f>Tabla110[[#This Row],[Importe]]-Tabla110[[#This Row],[Pagado]]</f>
        <v>0</v>
      </c>
      <c r="H3183" s="194" t="s">
        <v>10</v>
      </c>
    </row>
    <row r="3184" spans="1:8" x14ac:dyDescent="0.25">
      <c r="A3184" s="127">
        <v>44833</v>
      </c>
      <c r="B3184" s="128" t="s">
        <v>31308</v>
      </c>
      <c r="C3184" s="194" t="s">
        <v>20</v>
      </c>
      <c r="D3184" s="195">
        <v>2652.2</v>
      </c>
      <c r="E3184" s="196">
        <v>44833</v>
      </c>
      <c r="F3184" s="195">
        <v>2652.2</v>
      </c>
      <c r="G3184" s="197">
        <f>Tabla110[[#This Row],[Importe]]-Tabla110[[#This Row],[Pagado]]</f>
        <v>0</v>
      </c>
      <c r="H3184" s="194" t="s">
        <v>10</v>
      </c>
    </row>
    <row r="3185" spans="1:8" x14ac:dyDescent="0.25">
      <c r="A3185" s="127">
        <v>44833</v>
      </c>
      <c r="B3185" s="128" t="s">
        <v>31309</v>
      </c>
      <c r="C3185" s="194" t="s">
        <v>87</v>
      </c>
      <c r="D3185" s="195">
        <v>2843.2</v>
      </c>
      <c r="E3185" s="196">
        <v>44833</v>
      </c>
      <c r="F3185" s="195">
        <v>2843.2</v>
      </c>
      <c r="G3185" s="197">
        <f>Tabla110[[#This Row],[Importe]]-Tabla110[[#This Row],[Pagado]]</f>
        <v>0</v>
      </c>
      <c r="H3185" s="194" t="s">
        <v>10</v>
      </c>
    </row>
    <row r="3186" spans="1:8" x14ac:dyDescent="0.25">
      <c r="A3186" s="127">
        <v>44833</v>
      </c>
      <c r="B3186" s="128" t="s">
        <v>31310</v>
      </c>
      <c r="C3186" s="194" t="s">
        <v>2114</v>
      </c>
      <c r="D3186" s="195">
        <v>8916.6</v>
      </c>
      <c r="E3186" s="196">
        <v>44833</v>
      </c>
      <c r="F3186" s="195">
        <v>8916.6</v>
      </c>
      <c r="G3186" s="197">
        <f>Tabla110[[#This Row],[Importe]]-Tabla110[[#This Row],[Pagado]]</f>
        <v>0</v>
      </c>
      <c r="H3186" s="194" t="s">
        <v>10</v>
      </c>
    </row>
    <row r="3187" spans="1:8" x14ac:dyDescent="0.25">
      <c r="A3187" s="127">
        <v>44833</v>
      </c>
      <c r="B3187" s="128" t="s">
        <v>31311</v>
      </c>
      <c r="C3187" s="194" t="s">
        <v>131</v>
      </c>
      <c r="D3187" s="195">
        <v>6500</v>
      </c>
      <c r="E3187" s="196">
        <v>44833</v>
      </c>
      <c r="F3187" s="195">
        <v>6500</v>
      </c>
      <c r="G3187" s="197">
        <f>Tabla110[[#This Row],[Importe]]-Tabla110[[#This Row],[Pagado]]</f>
        <v>0</v>
      </c>
      <c r="H3187" s="194" t="s">
        <v>10</v>
      </c>
    </row>
    <row r="3188" spans="1:8" x14ac:dyDescent="0.25">
      <c r="A3188" s="127">
        <v>44833</v>
      </c>
      <c r="B3188" s="128" t="s">
        <v>31312</v>
      </c>
      <c r="C3188" s="194" t="s">
        <v>146</v>
      </c>
      <c r="D3188" s="195">
        <v>5248</v>
      </c>
      <c r="E3188" s="196">
        <v>44833</v>
      </c>
      <c r="F3188" s="195">
        <v>5248</v>
      </c>
      <c r="G3188" s="197">
        <f>Tabla110[[#This Row],[Importe]]-Tabla110[[#This Row],[Pagado]]</f>
        <v>0</v>
      </c>
      <c r="H3188" s="194" t="s">
        <v>10</v>
      </c>
    </row>
    <row r="3189" spans="1:8" x14ac:dyDescent="0.25">
      <c r="A3189" s="127">
        <v>44833</v>
      </c>
      <c r="B3189" s="128" t="s">
        <v>31313</v>
      </c>
      <c r="C3189" s="194" t="s">
        <v>484</v>
      </c>
      <c r="D3189" s="195">
        <v>3777.2</v>
      </c>
      <c r="E3189" s="196">
        <v>44833</v>
      </c>
      <c r="F3189" s="195">
        <v>3777.2</v>
      </c>
      <c r="G3189" s="197">
        <f>Tabla110[[#This Row],[Importe]]-Tabla110[[#This Row],[Pagado]]</f>
        <v>0</v>
      </c>
      <c r="H3189" s="194" t="s">
        <v>10</v>
      </c>
    </row>
    <row r="3190" spans="1:8" x14ac:dyDescent="0.25">
      <c r="A3190" s="127">
        <v>44833</v>
      </c>
      <c r="B3190" s="128" t="s">
        <v>31314</v>
      </c>
      <c r="C3190" s="194" t="s">
        <v>31315</v>
      </c>
      <c r="D3190" s="195">
        <v>0</v>
      </c>
      <c r="E3190" s="199" t="s">
        <v>189</v>
      </c>
      <c r="F3190" s="195">
        <v>0</v>
      </c>
      <c r="G3190" s="197">
        <f>Tabla110[[#This Row],[Importe]]-Tabla110[[#This Row],[Pagado]]</f>
        <v>0</v>
      </c>
      <c r="H3190" s="194" t="s">
        <v>189</v>
      </c>
    </row>
    <row r="3191" spans="1:8" x14ac:dyDescent="0.25">
      <c r="A3191" s="127">
        <v>44833</v>
      </c>
      <c r="B3191" s="128" t="s">
        <v>31316</v>
      </c>
      <c r="C3191" s="194" t="s">
        <v>9415</v>
      </c>
      <c r="D3191" s="195">
        <v>25350</v>
      </c>
      <c r="E3191" s="196">
        <v>44836</v>
      </c>
      <c r="F3191" s="195">
        <v>25350</v>
      </c>
      <c r="G3191" s="197">
        <f>Tabla110[[#This Row],[Importe]]-Tabla110[[#This Row],[Pagado]]</f>
        <v>0</v>
      </c>
      <c r="H3191" s="194" t="s">
        <v>10</v>
      </c>
    </row>
    <row r="3192" spans="1:8" x14ac:dyDescent="0.25">
      <c r="A3192" s="127">
        <v>44833</v>
      </c>
      <c r="B3192" s="128" t="s">
        <v>31317</v>
      </c>
      <c r="C3192" s="194" t="s">
        <v>24768</v>
      </c>
      <c r="D3192" s="195">
        <v>4800.8</v>
      </c>
      <c r="E3192" s="196">
        <v>44833</v>
      </c>
      <c r="F3192" s="195">
        <v>4800.8</v>
      </c>
      <c r="G3192" s="197">
        <f>Tabla110[[#This Row],[Importe]]-Tabla110[[#This Row],[Pagado]]</f>
        <v>0</v>
      </c>
      <c r="H3192" s="194" t="s">
        <v>10</v>
      </c>
    </row>
    <row r="3193" spans="1:8" x14ac:dyDescent="0.25">
      <c r="A3193" s="127">
        <v>44833</v>
      </c>
      <c r="B3193" s="128" t="s">
        <v>31318</v>
      </c>
      <c r="C3193" s="194" t="s">
        <v>56</v>
      </c>
      <c r="D3193" s="195">
        <v>6203.6</v>
      </c>
      <c r="E3193" s="196">
        <v>44833</v>
      </c>
      <c r="F3193" s="195">
        <v>6203.6</v>
      </c>
      <c r="G3193" s="197">
        <f>Tabla110[[#This Row],[Importe]]-Tabla110[[#This Row],[Pagado]]</f>
        <v>0</v>
      </c>
      <c r="H3193" s="194" t="s">
        <v>10</v>
      </c>
    </row>
    <row r="3194" spans="1:8" x14ac:dyDescent="0.25">
      <c r="A3194" s="127">
        <v>44833</v>
      </c>
      <c r="B3194" s="128" t="s">
        <v>31319</v>
      </c>
      <c r="C3194" s="194" t="s">
        <v>49</v>
      </c>
      <c r="D3194" s="195">
        <v>4212</v>
      </c>
      <c r="E3194" s="196">
        <v>44833</v>
      </c>
      <c r="F3194" s="195">
        <v>4212</v>
      </c>
      <c r="G3194" s="197">
        <f>Tabla110[[#This Row],[Importe]]-Tabla110[[#This Row],[Pagado]]</f>
        <v>0</v>
      </c>
      <c r="H3194" s="194" t="s">
        <v>10</v>
      </c>
    </row>
    <row r="3195" spans="1:8" x14ac:dyDescent="0.25">
      <c r="A3195" s="127">
        <v>44833</v>
      </c>
      <c r="B3195" s="128" t="s">
        <v>31320</v>
      </c>
      <c r="C3195" s="194" t="s">
        <v>24</v>
      </c>
      <c r="D3195" s="195">
        <v>4834.2</v>
      </c>
      <c r="E3195" s="196">
        <v>44833</v>
      </c>
      <c r="F3195" s="195">
        <v>4834.2</v>
      </c>
      <c r="G3195" s="197">
        <f>Tabla110[[#This Row],[Importe]]-Tabla110[[#This Row],[Pagado]]</f>
        <v>0</v>
      </c>
      <c r="H3195" s="194" t="s">
        <v>10</v>
      </c>
    </row>
    <row r="3196" spans="1:8" x14ac:dyDescent="0.25">
      <c r="A3196" s="127">
        <v>44833</v>
      </c>
      <c r="B3196" s="128" t="s">
        <v>31321</v>
      </c>
      <c r="C3196" s="194" t="s">
        <v>618</v>
      </c>
      <c r="D3196" s="195">
        <v>12344</v>
      </c>
      <c r="E3196" s="196">
        <v>44833</v>
      </c>
      <c r="F3196" s="195">
        <v>12344</v>
      </c>
      <c r="G3196" s="197">
        <f>Tabla110[[#This Row],[Importe]]-Tabla110[[#This Row],[Pagado]]</f>
        <v>0</v>
      </c>
      <c r="H3196" s="194" t="s">
        <v>10</v>
      </c>
    </row>
    <row r="3197" spans="1:8" x14ac:dyDescent="0.25">
      <c r="A3197" s="127">
        <v>44833</v>
      </c>
      <c r="B3197" s="128" t="s">
        <v>31322</v>
      </c>
      <c r="C3197" s="194" t="s">
        <v>31323</v>
      </c>
      <c r="D3197" s="195">
        <v>4005.2</v>
      </c>
      <c r="E3197" s="196">
        <v>44833</v>
      </c>
      <c r="F3197" s="195">
        <v>4005.2</v>
      </c>
      <c r="G3197" s="197">
        <f>Tabla110[[#This Row],[Importe]]-Tabla110[[#This Row],[Pagado]]</f>
        <v>0</v>
      </c>
      <c r="H3197" s="194" t="s">
        <v>10</v>
      </c>
    </row>
    <row r="3198" spans="1:8" x14ac:dyDescent="0.25">
      <c r="A3198" s="127">
        <v>44833</v>
      </c>
      <c r="B3198" s="128" t="s">
        <v>31324</v>
      </c>
      <c r="C3198" s="194" t="s">
        <v>149</v>
      </c>
      <c r="D3198" s="195">
        <v>1125</v>
      </c>
      <c r="E3198" s="196">
        <v>44833</v>
      </c>
      <c r="F3198" s="195">
        <v>1125</v>
      </c>
      <c r="G3198" s="197">
        <f>Tabla110[[#This Row],[Importe]]-Tabla110[[#This Row],[Pagado]]</f>
        <v>0</v>
      </c>
      <c r="H3198" s="194" t="s">
        <v>10</v>
      </c>
    </row>
    <row r="3199" spans="1:8" x14ac:dyDescent="0.25">
      <c r="A3199" s="127">
        <v>44833</v>
      </c>
      <c r="B3199" s="128" t="s">
        <v>31325</v>
      </c>
      <c r="C3199" s="194" t="s">
        <v>647</v>
      </c>
      <c r="D3199" s="195">
        <v>6485.6</v>
      </c>
      <c r="E3199" s="196">
        <v>44833</v>
      </c>
      <c r="F3199" s="195">
        <v>6485.6</v>
      </c>
      <c r="G3199" s="197">
        <f>Tabla110[[#This Row],[Importe]]-Tabla110[[#This Row],[Pagado]]</f>
        <v>0</v>
      </c>
      <c r="H3199" s="194" t="s">
        <v>10</v>
      </c>
    </row>
    <row r="3200" spans="1:8" x14ac:dyDescent="0.25">
      <c r="A3200" s="127">
        <v>44833</v>
      </c>
      <c r="B3200" s="128" t="s">
        <v>31326</v>
      </c>
      <c r="C3200" s="194" t="s">
        <v>230</v>
      </c>
      <c r="D3200" s="195">
        <v>7910</v>
      </c>
      <c r="E3200" s="196">
        <v>44833</v>
      </c>
      <c r="F3200" s="195">
        <v>7910</v>
      </c>
      <c r="G3200" s="197">
        <f>Tabla110[[#This Row],[Importe]]-Tabla110[[#This Row],[Pagado]]</f>
        <v>0</v>
      </c>
      <c r="H3200" s="194" t="s">
        <v>10</v>
      </c>
    </row>
    <row r="3201" spans="1:8" x14ac:dyDescent="0.25">
      <c r="A3201" s="127">
        <v>44833</v>
      </c>
      <c r="B3201" s="128" t="s">
        <v>31327</v>
      </c>
      <c r="C3201" s="194" t="s">
        <v>45</v>
      </c>
      <c r="D3201" s="195">
        <v>15017.4</v>
      </c>
      <c r="E3201" s="196">
        <v>44833</v>
      </c>
      <c r="F3201" s="195">
        <v>15017.4</v>
      </c>
      <c r="G3201" s="197">
        <f>Tabla110[[#This Row],[Importe]]-Tabla110[[#This Row],[Pagado]]</f>
        <v>0</v>
      </c>
      <c r="H3201" s="194" t="s">
        <v>10</v>
      </c>
    </row>
    <row r="3202" spans="1:8" x14ac:dyDescent="0.25">
      <c r="A3202" s="127">
        <v>44833</v>
      </c>
      <c r="B3202" s="128" t="s">
        <v>31328</v>
      </c>
      <c r="C3202" s="194" t="s">
        <v>157</v>
      </c>
      <c r="D3202" s="195">
        <v>7207.9</v>
      </c>
      <c r="E3202" s="196">
        <v>44833</v>
      </c>
      <c r="F3202" s="195">
        <v>7207.9</v>
      </c>
      <c r="G3202" s="197">
        <f>Tabla110[[#This Row],[Importe]]-Tabla110[[#This Row],[Pagado]]</f>
        <v>0</v>
      </c>
      <c r="H3202" s="194" t="s">
        <v>10</v>
      </c>
    </row>
    <row r="3203" spans="1:8" x14ac:dyDescent="0.25">
      <c r="A3203" s="127">
        <v>44833</v>
      </c>
      <c r="B3203" s="128" t="s">
        <v>31329</v>
      </c>
      <c r="C3203" s="194" t="s">
        <v>698</v>
      </c>
      <c r="D3203" s="195">
        <v>6566.4</v>
      </c>
      <c r="E3203" s="196">
        <v>44833</v>
      </c>
      <c r="F3203" s="195">
        <v>6566.4</v>
      </c>
      <c r="G3203" s="197">
        <f>Tabla110[[#This Row],[Importe]]-Tabla110[[#This Row],[Pagado]]</f>
        <v>0</v>
      </c>
      <c r="H3203" s="194" t="s">
        <v>10</v>
      </c>
    </row>
    <row r="3204" spans="1:8" x14ac:dyDescent="0.25">
      <c r="A3204" s="127">
        <v>44833</v>
      </c>
      <c r="B3204" s="128" t="s">
        <v>31330</v>
      </c>
      <c r="C3204" s="194" t="s">
        <v>31</v>
      </c>
      <c r="D3204" s="195">
        <v>1270.4000000000001</v>
      </c>
      <c r="E3204" s="196">
        <v>44833</v>
      </c>
      <c r="F3204" s="195">
        <v>1270.4000000000001</v>
      </c>
      <c r="G3204" s="197">
        <f>Tabla110[[#This Row],[Importe]]-Tabla110[[#This Row],[Pagado]]</f>
        <v>0</v>
      </c>
      <c r="H3204" s="194" t="s">
        <v>10</v>
      </c>
    </row>
    <row r="3205" spans="1:8" x14ac:dyDescent="0.25">
      <c r="A3205" s="127">
        <v>44833</v>
      </c>
      <c r="B3205" s="128" t="s">
        <v>31331</v>
      </c>
      <c r="C3205" s="194" t="s">
        <v>357</v>
      </c>
      <c r="D3205" s="195">
        <v>1064.0999999999999</v>
      </c>
      <c r="E3205" s="196">
        <v>44833</v>
      </c>
      <c r="F3205" s="195">
        <v>1064.0999999999999</v>
      </c>
      <c r="G3205" s="197">
        <f>Tabla110[[#This Row],[Importe]]-Tabla110[[#This Row],[Pagado]]</f>
        <v>0</v>
      </c>
      <c r="H3205" s="194" t="s">
        <v>10</v>
      </c>
    </row>
    <row r="3206" spans="1:8" x14ac:dyDescent="0.25">
      <c r="A3206" s="127">
        <v>44833</v>
      </c>
      <c r="B3206" s="128" t="s">
        <v>31332</v>
      </c>
      <c r="C3206" s="194" t="s">
        <v>129</v>
      </c>
      <c r="D3206" s="195">
        <v>1232.4000000000001</v>
      </c>
      <c r="E3206" s="196">
        <v>44833</v>
      </c>
      <c r="F3206" s="195">
        <v>1232.4000000000001</v>
      </c>
      <c r="G3206" s="197">
        <f>Tabla110[[#This Row],[Importe]]-Tabla110[[#This Row],[Pagado]]</f>
        <v>0</v>
      </c>
      <c r="H3206" s="194" t="s">
        <v>10</v>
      </c>
    </row>
    <row r="3207" spans="1:8" x14ac:dyDescent="0.25">
      <c r="A3207" s="127">
        <v>44833</v>
      </c>
      <c r="B3207" s="128" t="s">
        <v>31333</v>
      </c>
      <c r="C3207" s="194" t="s">
        <v>339</v>
      </c>
      <c r="D3207" s="195">
        <v>713.7</v>
      </c>
      <c r="E3207" s="196">
        <v>44833</v>
      </c>
      <c r="F3207" s="195">
        <v>713.7</v>
      </c>
      <c r="G3207" s="197">
        <f>Tabla110[[#This Row],[Importe]]-Tabla110[[#This Row],[Pagado]]</f>
        <v>0</v>
      </c>
      <c r="H3207" s="194" t="s">
        <v>10</v>
      </c>
    </row>
    <row r="3208" spans="1:8" x14ac:dyDescent="0.25">
      <c r="A3208" s="127">
        <v>44833</v>
      </c>
      <c r="B3208" s="128" t="s">
        <v>31334</v>
      </c>
      <c r="C3208" s="194" t="s">
        <v>698</v>
      </c>
      <c r="D3208" s="195">
        <v>243</v>
      </c>
      <c r="E3208" s="196">
        <v>44833</v>
      </c>
      <c r="F3208" s="195">
        <v>243</v>
      </c>
      <c r="G3208" s="197">
        <f>Tabla110[[#This Row],[Importe]]-Tabla110[[#This Row],[Pagado]]</f>
        <v>0</v>
      </c>
      <c r="H3208" s="194" t="s">
        <v>10</v>
      </c>
    </row>
    <row r="3209" spans="1:8" x14ac:dyDescent="0.25">
      <c r="A3209" s="127">
        <v>44833</v>
      </c>
      <c r="B3209" s="128" t="s">
        <v>31335</v>
      </c>
      <c r="C3209" s="194" t="s">
        <v>135</v>
      </c>
      <c r="D3209" s="195">
        <v>2818.9</v>
      </c>
      <c r="E3209" s="196">
        <v>44833</v>
      </c>
      <c r="F3209" s="195">
        <v>2818.9</v>
      </c>
      <c r="G3209" s="197">
        <f>Tabla110[[#This Row],[Importe]]-Tabla110[[#This Row],[Pagado]]</f>
        <v>0</v>
      </c>
      <c r="H3209" s="194" t="s">
        <v>10</v>
      </c>
    </row>
    <row r="3210" spans="1:8" x14ac:dyDescent="0.25">
      <c r="A3210" s="127">
        <v>44833</v>
      </c>
      <c r="B3210" s="128" t="s">
        <v>31336</v>
      </c>
      <c r="C3210" s="194" t="s">
        <v>140</v>
      </c>
      <c r="D3210" s="195">
        <v>5060.3999999999996</v>
      </c>
      <c r="E3210" s="196">
        <v>44833</v>
      </c>
      <c r="F3210" s="195">
        <v>5060.3999999999996</v>
      </c>
      <c r="G3210" s="197">
        <f>Tabla110[[#This Row],[Importe]]-Tabla110[[#This Row],[Pagado]]</f>
        <v>0</v>
      </c>
      <c r="H3210" s="194" t="s">
        <v>10</v>
      </c>
    </row>
    <row r="3211" spans="1:8" x14ac:dyDescent="0.25">
      <c r="A3211" s="127">
        <v>44833</v>
      </c>
      <c r="B3211" s="128" t="s">
        <v>31337</v>
      </c>
      <c r="C3211" s="194" t="s">
        <v>127</v>
      </c>
      <c r="D3211" s="195">
        <v>4696.8</v>
      </c>
      <c r="E3211" s="196">
        <v>44833</v>
      </c>
      <c r="F3211" s="195">
        <v>4696.8</v>
      </c>
      <c r="G3211" s="197">
        <f>Tabla110[[#This Row],[Importe]]-Tabla110[[#This Row],[Pagado]]</f>
        <v>0</v>
      </c>
      <c r="H3211" s="194" t="s">
        <v>10</v>
      </c>
    </row>
    <row r="3212" spans="1:8" x14ac:dyDescent="0.25">
      <c r="A3212" s="127">
        <v>44833</v>
      </c>
      <c r="B3212" s="128" t="s">
        <v>31338</v>
      </c>
      <c r="C3212" s="194" t="s">
        <v>31</v>
      </c>
      <c r="D3212" s="195">
        <v>1261.5999999999999</v>
      </c>
      <c r="E3212" s="196">
        <v>44833</v>
      </c>
      <c r="F3212" s="195">
        <v>1261.5999999999999</v>
      </c>
      <c r="G3212" s="197">
        <f>Tabla110[[#This Row],[Importe]]-Tabla110[[#This Row],[Pagado]]</f>
        <v>0</v>
      </c>
      <c r="H3212" s="194" t="s">
        <v>10</v>
      </c>
    </row>
    <row r="3213" spans="1:8" x14ac:dyDescent="0.25">
      <c r="A3213" s="127">
        <v>44833</v>
      </c>
      <c r="B3213" s="128" t="s">
        <v>31339</v>
      </c>
      <c r="C3213" s="194" t="s">
        <v>31340</v>
      </c>
      <c r="D3213" s="195">
        <v>0</v>
      </c>
      <c r="E3213" s="199" t="s">
        <v>189</v>
      </c>
      <c r="F3213" s="195">
        <v>0</v>
      </c>
      <c r="G3213" s="197">
        <f>Tabla110[[#This Row],[Importe]]-Tabla110[[#This Row],[Pagado]]</f>
        <v>0</v>
      </c>
      <c r="H3213" s="194" t="s">
        <v>189</v>
      </c>
    </row>
    <row r="3214" spans="1:8" x14ac:dyDescent="0.25">
      <c r="A3214" s="127">
        <v>44833</v>
      </c>
      <c r="B3214" s="128" t="s">
        <v>31341</v>
      </c>
      <c r="C3214" s="194" t="s">
        <v>18</v>
      </c>
      <c r="D3214" s="195">
        <v>1778.4</v>
      </c>
      <c r="E3214" s="196">
        <v>44833</v>
      </c>
      <c r="F3214" s="195">
        <v>1778.4</v>
      </c>
      <c r="G3214" s="197">
        <f>Tabla110[[#This Row],[Importe]]-Tabla110[[#This Row],[Pagado]]</f>
        <v>0</v>
      </c>
      <c r="H3214" s="194" t="s">
        <v>10</v>
      </c>
    </row>
    <row r="3215" spans="1:8" ht="31.5" x14ac:dyDescent="0.25">
      <c r="A3215" s="127">
        <v>44833</v>
      </c>
      <c r="B3215" s="128" t="s">
        <v>31342</v>
      </c>
      <c r="C3215" s="120" t="s">
        <v>31343</v>
      </c>
      <c r="D3215" s="195">
        <v>0</v>
      </c>
      <c r="E3215" s="199" t="s">
        <v>189</v>
      </c>
      <c r="F3215" s="195">
        <v>0</v>
      </c>
      <c r="G3215" s="197">
        <f>Tabla110[[#This Row],[Importe]]-Tabla110[[#This Row],[Pagado]]</f>
        <v>0</v>
      </c>
      <c r="H3215" s="200" t="s">
        <v>31344</v>
      </c>
    </row>
    <row r="3216" spans="1:8" x14ac:dyDescent="0.25">
      <c r="A3216" s="127">
        <v>44833</v>
      </c>
      <c r="B3216" s="128" t="s">
        <v>31345</v>
      </c>
      <c r="C3216" s="194" t="s">
        <v>142</v>
      </c>
      <c r="D3216" s="195">
        <v>27945.95</v>
      </c>
      <c r="E3216" s="196">
        <v>44860</v>
      </c>
      <c r="F3216" s="195">
        <v>27945.95</v>
      </c>
      <c r="G3216" s="197">
        <f>Tabla110[[#This Row],[Importe]]-Tabla110[[#This Row],[Pagado]]</f>
        <v>0</v>
      </c>
      <c r="H3216" s="194" t="s">
        <v>10</v>
      </c>
    </row>
    <row r="3217" spans="1:8" x14ac:dyDescent="0.25">
      <c r="A3217" s="127">
        <v>44833</v>
      </c>
      <c r="B3217" s="128" t="s">
        <v>31346</v>
      </c>
      <c r="C3217" s="194" t="s">
        <v>222</v>
      </c>
      <c r="D3217" s="195">
        <v>10014.799999999999</v>
      </c>
      <c r="E3217" s="196">
        <v>44833</v>
      </c>
      <c r="F3217" s="195">
        <v>10014.799999999999</v>
      </c>
      <c r="G3217" s="197">
        <f>Tabla110[[#This Row],[Importe]]-Tabla110[[#This Row],[Pagado]]</f>
        <v>0</v>
      </c>
      <c r="H3217" s="194" t="s">
        <v>10</v>
      </c>
    </row>
    <row r="3218" spans="1:8" x14ac:dyDescent="0.25">
      <c r="A3218" s="127">
        <v>44833</v>
      </c>
      <c r="B3218" s="128" t="s">
        <v>31347</v>
      </c>
      <c r="C3218" s="194" t="s">
        <v>37</v>
      </c>
      <c r="D3218" s="195">
        <v>2893.8</v>
      </c>
      <c r="E3218" s="196">
        <v>44833</v>
      </c>
      <c r="F3218" s="195">
        <v>2893.8</v>
      </c>
      <c r="G3218" s="197">
        <f>Tabla110[[#This Row],[Importe]]-Tabla110[[#This Row],[Pagado]]</f>
        <v>0</v>
      </c>
      <c r="H3218" s="194" t="s">
        <v>10</v>
      </c>
    </row>
    <row r="3219" spans="1:8" x14ac:dyDescent="0.25">
      <c r="A3219" s="127">
        <v>44833</v>
      </c>
      <c r="B3219" s="128" t="s">
        <v>31348</v>
      </c>
      <c r="C3219" s="194" t="s">
        <v>196</v>
      </c>
      <c r="D3219" s="195">
        <v>36344.76</v>
      </c>
      <c r="E3219" s="196">
        <v>44834</v>
      </c>
      <c r="F3219" s="195">
        <v>36344.76</v>
      </c>
      <c r="G3219" s="197">
        <f>Tabla110[[#This Row],[Importe]]-Tabla110[[#This Row],[Pagado]]</f>
        <v>0</v>
      </c>
      <c r="H3219" s="194" t="s">
        <v>10</v>
      </c>
    </row>
    <row r="3220" spans="1:8" x14ac:dyDescent="0.25">
      <c r="A3220" s="127">
        <v>44833</v>
      </c>
      <c r="B3220" s="128" t="s">
        <v>31349</v>
      </c>
      <c r="C3220" s="194" t="s">
        <v>5449</v>
      </c>
      <c r="D3220" s="195">
        <v>0</v>
      </c>
      <c r="E3220" s="199" t="s">
        <v>189</v>
      </c>
      <c r="F3220" s="195">
        <v>0</v>
      </c>
      <c r="G3220" s="197">
        <f>Tabla110[[#This Row],[Importe]]-Tabla110[[#This Row],[Pagado]]</f>
        <v>0</v>
      </c>
      <c r="H3220" s="200" t="s">
        <v>31350</v>
      </c>
    </row>
    <row r="3221" spans="1:8" x14ac:dyDescent="0.25">
      <c r="A3221" s="127">
        <v>44833</v>
      </c>
      <c r="B3221" s="128" t="s">
        <v>31351</v>
      </c>
      <c r="C3221" s="194" t="s">
        <v>319</v>
      </c>
      <c r="D3221" s="195">
        <v>7022.4</v>
      </c>
      <c r="E3221" s="196">
        <v>44833</v>
      </c>
      <c r="F3221" s="195">
        <v>7022.4</v>
      </c>
      <c r="G3221" s="197">
        <f>Tabla110[[#This Row],[Importe]]-Tabla110[[#This Row],[Pagado]]</f>
        <v>0</v>
      </c>
      <c r="H3221" s="194" t="s">
        <v>10</v>
      </c>
    </row>
    <row r="3222" spans="1:8" x14ac:dyDescent="0.25">
      <c r="A3222" s="127">
        <v>44833</v>
      </c>
      <c r="B3222" s="128" t="s">
        <v>31352</v>
      </c>
      <c r="C3222" s="194" t="s">
        <v>3747</v>
      </c>
      <c r="D3222" s="195">
        <v>3817.5</v>
      </c>
      <c r="E3222" s="196">
        <v>44833</v>
      </c>
      <c r="F3222" s="195">
        <v>3817.5</v>
      </c>
      <c r="G3222" s="197">
        <f>Tabla110[[#This Row],[Importe]]-Tabla110[[#This Row],[Pagado]]</f>
        <v>0</v>
      </c>
      <c r="H3222" s="194" t="s">
        <v>10</v>
      </c>
    </row>
    <row r="3223" spans="1:8" x14ac:dyDescent="0.25">
      <c r="A3223" s="127">
        <v>44833</v>
      </c>
      <c r="B3223" s="128" t="s">
        <v>31353</v>
      </c>
      <c r="C3223" s="194" t="s">
        <v>175</v>
      </c>
      <c r="D3223" s="195">
        <v>21581</v>
      </c>
      <c r="E3223" s="196">
        <v>44833</v>
      </c>
      <c r="F3223" s="195">
        <v>21581</v>
      </c>
      <c r="G3223" s="197">
        <f>Tabla110[[#This Row],[Importe]]-Tabla110[[#This Row],[Pagado]]</f>
        <v>0</v>
      </c>
      <c r="H3223" s="194" t="s">
        <v>10</v>
      </c>
    </row>
    <row r="3224" spans="1:8" x14ac:dyDescent="0.25">
      <c r="A3224" s="127">
        <v>44833</v>
      </c>
      <c r="B3224" s="128" t="s">
        <v>31354</v>
      </c>
      <c r="C3224" s="194" t="s">
        <v>518</v>
      </c>
      <c r="D3224" s="195">
        <v>4911.8</v>
      </c>
      <c r="E3224" s="196">
        <v>44833</v>
      </c>
      <c r="F3224" s="195">
        <v>4911.8</v>
      </c>
      <c r="G3224" s="197">
        <f>Tabla110[[#This Row],[Importe]]-Tabla110[[#This Row],[Pagado]]</f>
        <v>0</v>
      </c>
      <c r="H3224" s="194" t="s">
        <v>10</v>
      </c>
    </row>
    <row r="3225" spans="1:8" x14ac:dyDescent="0.25">
      <c r="A3225" s="127">
        <v>44833</v>
      </c>
      <c r="B3225" s="128" t="s">
        <v>31355</v>
      </c>
      <c r="C3225" s="194" t="s">
        <v>151</v>
      </c>
      <c r="D3225" s="195">
        <v>15375.4</v>
      </c>
      <c r="E3225" s="196">
        <v>44833</v>
      </c>
      <c r="F3225" s="195">
        <v>15375.4</v>
      </c>
      <c r="G3225" s="197">
        <f>Tabla110[[#This Row],[Importe]]-Tabla110[[#This Row],[Pagado]]</f>
        <v>0</v>
      </c>
      <c r="H3225" s="194" t="s">
        <v>10</v>
      </c>
    </row>
    <row r="3226" spans="1:8" x14ac:dyDescent="0.25">
      <c r="A3226" s="127">
        <v>44833</v>
      </c>
      <c r="B3226" s="128" t="s">
        <v>31356</v>
      </c>
      <c r="C3226" s="194" t="s">
        <v>14</v>
      </c>
      <c r="D3226" s="195">
        <v>24231.9</v>
      </c>
      <c r="E3226" s="196">
        <v>44833</v>
      </c>
      <c r="F3226" s="195">
        <v>24231.9</v>
      </c>
      <c r="G3226" s="197">
        <f>Tabla110[[#This Row],[Importe]]-Tabla110[[#This Row],[Pagado]]</f>
        <v>0</v>
      </c>
      <c r="H3226" s="194" t="s">
        <v>10</v>
      </c>
    </row>
    <row r="3227" spans="1:8" x14ac:dyDescent="0.25">
      <c r="A3227" s="127">
        <v>44833</v>
      </c>
      <c r="B3227" s="128" t="s">
        <v>31357</v>
      </c>
      <c r="C3227" s="194" t="s">
        <v>14</v>
      </c>
      <c r="D3227" s="195">
        <v>2236.1</v>
      </c>
      <c r="E3227" s="196">
        <v>44833</v>
      </c>
      <c r="F3227" s="195">
        <v>2236.1</v>
      </c>
      <c r="G3227" s="197">
        <f>Tabla110[[#This Row],[Importe]]-Tabla110[[#This Row],[Pagado]]</f>
        <v>0</v>
      </c>
      <c r="H3227" s="194" t="s">
        <v>10</v>
      </c>
    </row>
    <row r="3228" spans="1:8" x14ac:dyDescent="0.25">
      <c r="A3228" s="127">
        <v>44833</v>
      </c>
      <c r="B3228" s="128" t="s">
        <v>31358</v>
      </c>
      <c r="C3228" s="194" t="s">
        <v>5694</v>
      </c>
      <c r="D3228" s="195">
        <v>4142</v>
      </c>
      <c r="E3228" s="196">
        <v>44833</v>
      </c>
      <c r="F3228" s="195">
        <v>4142</v>
      </c>
      <c r="G3228" s="197">
        <f>Tabla110[[#This Row],[Importe]]-Tabla110[[#This Row],[Pagado]]</f>
        <v>0</v>
      </c>
      <c r="H3228" s="194" t="s">
        <v>10</v>
      </c>
    </row>
    <row r="3229" spans="1:8" x14ac:dyDescent="0.25">
      <c r="A3229" s="127">
        <v>44833</v>
      </c>
      <c r="B3229" s="128" t="s">
        <v>31359</v>
      </c>
      <c r="C3229" s="194" t="s">
        <v>53</v>
      </c>
      <c r="D3229" s="195">
        <v>2332.5</v>
      </c>
      <c r="E3229" s="196">
        <v>44833</v>
      </c>
      <c r="F3229" s="195">
        <v>2332.5</v>
      </c>
      <c r="G3229" s="197">
        <f>Tabla110[[#This Row],[Importe]]-Tabla110[[#This Row],[Pagado]]</f>
        <v>0</v>
      </c>
      <c r="H3229" s="194" t="s">
        <v>10</v>
      </c>
    </row>
    <row r="3230" spans="1:8" x14ac:dyDescent="0.25">
      <c r="A3230" s="127">
        <v>44833</v>
      </c>
      <c r="B3230" s="128" t="s">
        <v>31360</v>
      </c>
      <c r="C3230" s="194" t="s">
        <v>31</v>
      </c>
      <c r="D3230" s="195">
        <v>528</v>
      </c>
      <c r="E3230" s="196">
        <v>44833</v>
      </c>
      <c r="F3230" s="195">
        <v>528</v>
      </c>
      <c r="G3230" s="197">
        <f>Tabla110[[#This Row],[Importe]]-Tabla110[[#This Row],[Pagado]]</f>
        <v>0</v>
      </c>
      <c r="H3230" s="194" t="s">
        <v>10</v>
      </c>
    </row>
    <row r="3231" spans="1:8" x14ac:dyDescent="0.25">
      <c r="A3231" s="127">
        <v>44833</v>
      </c>
      <c r="B3231" s="128" t="s">
        <v>31361</v>
      </c>
      <c r="C3231" s="194" t="s">
        <v>191</v>
      </c>
      <c r="D3231" s="195">
        <v>3763.2</v>
      </c>
      <c r="E3231" s="196">
        <v>44833</v>
      </c>
      <c r="F3231" s="195">
        <v>3763.2</v>
      </c>
      <c r="G3231" s="197">
        <f>Tabla110[[#This Row],[Importe]]-Tabla110[[#This Row],[Pagado]]</f>
        <v>0</v>
      </c>
      <c r="H3231" s="194" t="s">
        <v>10</v>
      </c>
    </row>
    <row r="3232" spans="1:8" x14ac:dyDescent="0.25">
      <c r="A3232" s="127">
        <v>44833</v>
      </c>
      <c r="B3232" s="128" t="s">
        <v>31362</v>
      </c>
      <c r="C3232" s="194" t="s">
        <v>216</v>
      </c>
      <c r="D3232" s="195">
        <v>714.4</v>
      </c>
      <c r="E3232" s="196">
        <v>44833</v>
      </c>
      <c r="F3232" s="195">
        <v>714.4</v>
      </c>
      <c r="G3232" s="197">
        <f>Tabla110[[#This Row],[Importe]]-Tabla110[[#This Row],[Pagado]]</f>
        <v>0</v>
      </c>
      <c r="H3232" s="194" t="s">
        <v>10</v>
      </c>
    </row>
    <row r="3233" spans="1:8" x14ac:dyDescent="0.25">
      <c r="A3233" s="127">
        <v>44833</v>
      </c>
      <c r="B3233" s="128" t="s">
        <v>31363</v>
      </c>
      <c r="C3233" s="194" t="s">
        <v>359</v>
      </c>
      <c r="D3233" s="195">
        <v>1387</v>
      </c>
      <c r="E3233" s="196">
        <v>44833</v>
      </c>
      <c r="F3233" s="195">
        <v>1387</v>
      </c>
      <c r="G3233" s="197">
        <f>Tabla110[[#This Row],[Importe]]-Tabla110[[#This Row],[Pagado]]</f>
        <v>0</v>
      </c>
      <c r="H3233" s="194" t="s">
        <v>10</v>
      </c>
    </row>
    <row r="3234" spans="1:8" x14ac:dyDescent="0.25">
      <c r="A3234" s="127">
        <v>44833</v>
      </c>
      <c r="B3234" s="128" t="s">
        <v>31364</v>
      </c>
      <c r="C3234" s="194" t="s">
        <v>426</v>
      </c>
      <c r="D3234" s="195">
        <v>5420.4</v>
      </c>
      <c r="E3234" s="196">
        <v>44833</v>
      </c>
      <c r="F3234" s="195">
        <v>5420.4</v>
      </c>
      <c r="G3234" s="197">
        <f>Tabla110[[#This Row],[Importe]]-Tabla110[[#This Row],[Pagado]]</f>
        <v>0</v>
      </c>
      <c r="H3234" s="194" t="s">
        <v>10</v>
      </c>
    </row>
    <row r="3235" spans="1:8" x14ac:dyDescent="0.25">
      <c r="A3235" s="127">
        <v>44833</v>
      </c>
      <c r="B3235" s="128" t="s">
        <v>31365</v>
      </c>
      <c r="C3235" s="194" t="s">
        <v>414</v>
      </c>
      <c r="D3235" s="195">
        <v>23423.200000000001</v>
      </c>
      <c r="E3235" s="196">
        <v>44837</v>
      </c>
      <c r="F3235" s="195">
        <v>23423.200000000001</v>
      </c>
      <c r="G3235" s="197">
        <f>Tabla110[[#This Row],[Importe]]-Tabla110[[#This Row],[Pagado]]</f>
        <v>0</v>
      </c>
      <c r="H3235" s="194" t="s">
        <v>10</v>
      </c>
    </row>
    <row r="3236" spans="1:8" x14ac:dyDescent="0.25">
      <c r="A3236" s="127">
        <v>44833</v>
      </c>
      <c r="B3236" s="128" t="s">
        <v>31366</v>
      </c>
      <c r="C3236" s="194" t="s">
        <v>1003</v>
      </c>
      <c r="D3236" s="195">
        <v>6255</v>
      </c>
      <c r="E3236" s="196">
        <v>44834</v>
      </c>
      <c r="F3236" s="195">
        <v>6255</v>
      </c>
      <c r="G3236" s="197">
        <f>Tabla110[[#This Row],[Importe]]-Tabla110[[#This Row],[Pagado]]</f>
        <v>0</v>
      </c>
      <c r="H3236" s="194" t="s">
        <v>10</v>
      </c>
    </row>
    <row r="3237" spans="1:8" x14ac:dyDescent="0.25">
      <c r="A3237" s="127">
        <v>44833</v>
      </c>
      <c r="B3237" s="128" t="s">
        <v>31367</v>
      </c>
      <c r="C3237" s="194" t="s">
        <v>1505</v>
      </c>
      <c r="D3237" s="195">
        <v>4215.6000000000004</v>
      </c>
      <c r="E3237" s="196">
        <v>44833</v>
      </c>
      <c r="F3237" s="195">
        <v>4215.6000000000004</v>
      </c>
      <c r="G3237" s="197">
        <f>Tabla110[[#This Row],[Importe]]-Tabla110[[#This Row],[Pagado]]</f>
        <v>0</v>
      </c>
      <c r="H3237" s="194" t="s">
        <v>10</v>
      </c>
    </row>
    <row r="3238" spans="1:8" x14ac:dyDescent="0.25">
      <c r="A3238" s="127">
        <v>44833</v>
      </c>
      <c r="B3238" s="128" t="s">
        <v>31368</v>
      </c>
      <c r="C3238" s="194" t="s">
        <v>67</v>
      </c>
      <c r="D3238" s="195">
        <v>2227.4</v>
      </c>
      <c r="E3238" s="196">
        <v>44833</v>
      </c>
      <c r="F3238" s="195">
        <v>2227.4</v>
      </c>
      <c r="G3238" s="197">
        <f>Tabla110[[#This Row],[Importe]]-Tabla110[[#This Row],[Pagado]]</f>
        <v>0</v>
      </c>
      <c r="H3238" s="194" t="s">
        <v>10</v>
      </c>
    </row>
    <row r="3239" spans="1:8" x14ac:dyDescent="0.25">
      <c r="A3239" s="127">
        <v>44833</v>
      </c>
      <c r="B3239" s="128" t="s">
        <v>31369</v>
      </c>
      <c r="C3239" s="194" t="s">
        <v>29</v>
      </c>
      <c r="D3239" s="195">
        <v>3845.6</v>
      </c>
      <c r="E3239" s="196">
        <v>44833</v>
      </c>
      <c r="F3239" s="195">
        <v>3845.6</v>
      </c>
      <c r="G3239" s="197">
        <f>Tabla110[[#This Row],[Importe]]-Tabla110[[#This Row],[Pagado]]</f>
        <v>0</v>
      </c>
      <c r="H3239" s="194" t="s">
        <v>10</v>
      </c>
    </row>
    <row r="3240" spans="1:8" x14ac:dyDescent="0.25">
      <c r="A3240" s="127">
        <v>44833</v>
      </c>
      <c r="B3240" s="128" t="s">
        <v>31370</v>
      </c>
      <c r="C3240" s="194" t="s">
        <v>484</v>
      </c>
      <c r="D3240" s="195">
        <v>5418.8</v>
      </c>
      <c r="E3240" s="196">
        <v>44833</v>
      </c>
      <c r="F3240" s="195">
        <v>5418.8</v>
      </c>
      <c r="G3240" s="197">
        <f>Tabla110[[#This Row],[Importe]]-Tabla110[[#This Row],[Pagado]]</f>
        <v>0</v>
      </c>
      <c r="H3240" s="194" t="s">
        <v>10</v>
      </c>
    </row>
    <row r="3241" spans="1:8" x14ac:dyDescent="0.25">
      <c r="A3241" s="127">
        <v>44833</v>
      </c>
      <c r="B3241" s="128" t="s">
        <v>31371</v>
      </c>
      <c r="C3241" s="194" t="s">
        <v>520</v>
      </c>
      <c r="D3241" s="195">
        <v>9942.7000000000007</v>
      </c>
      <c r="E3241" s="196">
        <v>44833</v>
      </c>
      <c r="F3241" s="195">
        <v>9942.7000000000007</v>
      </c>
      <c r="G3241" s="197">
        <f>Tabla110[[#This Row],[Importe]]-Tabla110[[#This Row],[Pagado]]</f>
        <v>0</v>
      </c>
      <c r="H3241" s="194" t="s">
        <v>10</v>
      </c>
    </row>
    <row r="3242" spans="1:8" x14ac:dyDescent="0.25">
      <c r="A3242" s="127">
        <v>44833</v>
      </c>
      <c r="B3242" s="128" t="s">
        <v>31372</v>
      </c>
      <c r="C3242" s="194" t="s">
        <v>518</v>
      </c>
      <c r="D3242" s="195">
        <v>2167.5</v>
      </c>
      <c r="E3242" s="196">
        <v>44833</v>
      </c>
      <c r="F3242" s="195">
        <v>2167.5</v>
      </c>
      <c r="G3242" s="197">
        <f>Tabla110[[#This Row],[Importe]]-Tabla110[[#This Row],[Pagado]]</f>
        <v>0</v>
      </c>
      <c r="H3242" s="194" t="s">
        <v>10</v>
      </c>
    </row>
    <row r="3243" spans="1:8" x14ac:dyDescent="0.25">
      <c r="A3243" s="127">
        <v>44833</v>
      </c>
      <c r="B3243" s="128" t="s">
        <v>31373</v>
      </c>
      <c r="C3243" s="194" t="s">
        <v>9827</v>
      </c>
      <c r="D3243" s="195">
        <v>3853.2</v>
      </c>
      <c r="E3243" s="196">
        <v>44833</v>
      </c>
      <c r="F3243" s="195">
        <v>3853.2</v>
      </c>
      <c r="G3243" s="197">
        <f>Tabla110[[#This Row],[Importe]]-Tabla110[[#This Row],[Pagado]]</f>
        <v>0</v>
      </c>
      <c r="H3243" s="194" t="s">
        <v>10</v>
      </c>
    </row>
    <row r="3244" spans="1:8" x14ac:dyDescent="0.25">
      <c r="A3244" s="127">
        <v>44833</v>
      </c>
      <c r="B3244" s="128" t="s">
        <v>31374</v>
      </c>
      <c r="C3244" s="194" t="s">
        <v>419</v>
      </c>
      <c r="D3244" s="195">
        <v>5839</v>
      </c>
      <c r="E3244" s="196">
        <v>44833</v>
      </c>
      <c r="F3244" s="195">
        <v>5839</v>
      </c>
      <c r="G3244" s="197">
        <f>Tabla110[[#This Row],[Importe]]-Tabla110[[#This Row],[Pagado]]</f>
        <v>0</v>
      </c>
      <c r="H3244" s="194" t="s">
        <v>10</v>
      </c>
    </row>
    <row r="3245" spans="1:8" x14ac:dyDescent="0.25">
      <c r="A3245" s="127">
        <v>44833</v>
      </c>
      <c r="B3245" s="128" t="s">
        <v>31375</v>
      </c>
      <c r="C3245" s="194" t="s">
        <v>396</v>
      </c>
      <c r="D3245" s="195">
        <v>9848.2999999999993</v>
      </c>
      <c r="E3245" s="196">
        <v>44840</v>
      </c>
      <c r="F3245" s="195">
        <v>9848.2999999999993</v>
      </c>
      <c r="G3245" s="197">
        <f>Tabla110[[#This Row],[Importe]]-Tabla110[[#This Row],[Pagado]]</f>
        <v>0</v>
      </c>
      <c r="H3245" s="194" t="s">
        <v>10</v>
      </c>
    </row>
    <row r="3246" spans="1:8" x14ac:dyDescent="0.25">
      <c r="A3246" s="127">
        <v>44833</v>
      </c>
      <c r="B3246" s="128" t="s">
        <v>31376</v>
      </c>
      <c r="C3246" s="194" t="s">
        <v>159</v>
      </c>
      <c r="D3246" s="195">
        <v>930.6</v>
      </c>
      <c r="E3246" s="196">
        <v>44833</v>
      </c>
      <c r="F3246" s="195">
        <v>930.6</v>
      </c>
      <c r="G3246" s="197">
        <f>Tabla110[[#This Row],[Importe]]-Tabla110[[#This Row],[Pagado]]</f>
        <v>0</v>
      </c>
      <c r="H3246" s="194" t="s">
        <v>10</v>
      </c>
    </row>
    <row r="3247" spans="1:8" x14ac:dyDescent="0.25">
      <c r="A3247" s="127">
        <v>44833</v>
      </c>
      <c r="B3247" s="128" t="s">
        <v>31377</v>
      </c>
      <c r="C3247" s="194" t="s">
        <v>1558</v>
      </c>
      <c r="D3247" s="195">
        <v>2328</v>
      </c>
      <c r="E3247" s="196">
        <v>44833</v>
      </c>
      <c r="F3247" s="195">
        <v>2328</v>
      </c>
      <c r="G3247" s="197">
        <f>Tabla110[[#This Row],[Importe]]-Tabla110[[#This Row],[Pagado]]</f>
        <v>0</v>
      </c>
      <c r="H3247" s="194" t="s">
        <v>10</v>
      </c>
    </row>
    <row r="3248" spans="1:8" x14ac:dyDescent="0.25">
      <c r="A3248" s="127">
        <v>44833</v>
      </c>
      <c r="B3248" s="128" t="s">
        <v>31378</v>
      </c>
      <c r="C3248" s="194" t="s">
        <v>647</v>
      </c>
      <c r="D3248" s="195">
        <v>1809.6</v>
      </c>
      <c r="E3248" s="196">
        <v>44833</v>
      </c>
      <c r="F3248" s="195">
        <v>1809.6</v>
      </c>
      <c r="G3248" s="197">
        <f>Tabla110[[#This Row],[Importe]]-Tabla110[[#This Row],[Pagado]]</f>
        <v>0</v>
      </c>
      <c r="H3248" s="194" t="s">
        <v>10</v>
      </c>
    </row>
    <row r="3249" spans="1:8" x14ac:dyDescent="0.25">
      <c r="A3249" s="127">
        <v>44833</v>
      </c>
      <c r="B3249" s="128" t="s">
        <v>31379</v>
      </c>
      <c r="C3249" s="194" t="s">
        <v>266</v>
      </c>
      <c r="D3249" s="195">
        <v>2789</v>
      </c>
      <c r="E3249" s="196">
        <v>44833</v>
      </c>
      <c r="F3249" s="195">
        <v>2789</v>
      </c>
      <c r="G3249" s="197">
        <f>Tabla110[[#This Row],[Importe]]-Tabla110[[#This Row],[Pagado]]</f>
        <v>0</v>
      </c>
      <c r="H3249" s="194" t="s">
        <v>10</v>
      </c>
    </row>
    <row r="3250" spans="1:8" x14ac:dyDescent="0.25">
      <c r="A3250" s="127">
        <v>44833</v>
      </c>
      <c r="B3250" s="128" t="s">
        <v>31380</v>
      </c>
      <c r="C3250" s="194" t="s">
        <v>7098</v>
      </c>
      <c r="D3250" s="195">
        <v>9190.4</v>
      </c>
      <c r="E3250" s="196">
        <v>44833</v>
      </c>
      <c r="F3250" s="195">
        <v>9190.4</v>
      </c>
      <c r="G3250" s="197">
        <f>Tabla110[[#This Row],[Importe]]-Tabla110[[#This Row],[Pagado]]</f>
        <v>0</v>
      </c>
      <c r="H3250" s="194" t="s">
        <v>10</v>
      </c>
    </row>
    <row r="3251" spans="1:8" x14ac:dyDescent="0.25">
      <c r="A3251" s="127">
        <v>44833</v>
      </c>
      <c r="B3251" s="128" t="s">
        <v>31381</v>
      </c>
      <c r="C3251" s="194" t="s">
        <v>296</v>
      </c>
      <c r="D3251" s="195">
        <v>1349.4</v>
      </c>
      <c r="E3251" s="196">
        <v>44833</v>
      </c>
      <c r="F3251" s="195">
        <v>1349.4</v>
      </c>
      <c r="G3251" s="197">
        <f>Tabla110[[#This Row],[Importe]]-Tabla110[[#This Row],[Pagado]]</f>
        <v>0</v>
      </c>
      <c r="H3251" s="194" t="s">
        <v>10</v>
      </c>
    </row>
    <row r="3252" spans="1:8" x14ac:dyDescent="0.25">
      <c r="A3252" s="127">
        <v>44833</v>
      </c>
      <c r="B3252" s="128" t="s">
        <v>31382</v>
      </c>
      <c r="C3252" s="194" t="s">
        <v>107</v>
      </c>
      <c r="D3252" s="195">
        <v>11017.5</v>
      </c>
      <c r="E3252" s="196">
        <v>44833</v>
      </c>
      <c r="F3252" s="195">
        <v>11017.5</v>
      </c>
      <c r="G3252" s="197">
        <f>Tabla110[[#This Row],[Importe]]-Tabla110[[#This Row],[Pagado]]</f>
        <v>0</v>
      </c>
      <c r="H3252" s="194" t="s">
        <v>10</v>
      </c>
    </row>
    <row r="3253" spans="1:8" x14ac:dyDescent="0.25">
      <c r="A3253" s="127">
        <v>44833</v>
      </c>
      <c r="B3253" s="128" t="s">
        <v>31383</v>
      </c>
      <c r="C3253" s="194" t="s">
        <v>3747</v>
      </c>
      <c r="D3253" s="195">
        <v>24439.8</v>
      </c>
      <c r="E3253" s="196">
        <v>44833</v>
      </c>
      <c r="F3253" s="195">
        <v>24439.8</v>
      </c>
      <c r="G3253" s="197">
        <f>Tabla110[[#This Row],[Importe]]-Tabla110[[#This Row],[Pagado]]</f>
        <v>0</v>
      </c>
      <c r="H3253" s="194" t="s">
        <v>10</v>
      </c>
    </row>
    <row r="3254" spans="1:8" x14ac:dyDescent="0.25">
      <c r="A3254" s="127">
        <v>44833</v>
      </c>
      <c r="B3254" s="128" t="s">
        <v>31384</v>
      </c>
      <c r="C3254" s="194" t="s">
        <v>10190</v>
      </c>
      <c r="D3254" s="195">
        <v>22602.6</v>
      </c>
      <c r="E3254" s="196">
        <v>44833</v>
      </c>
      <c r="F3254" s="195">
        <v>22602.6</v>
      </c>
      <c r="G3254" s="197">
        <f>Tabla110[[#This Row],[Importe]]-Tabla110[[#This Row],[Pagado]]</f>
        <v>0</v>
      </c>
      <c r="H3254" s="194" t="s">
        <v>10</v>
      </c>
    </row>
    <row r="3255" spans="1:8" x14ac:dyDescent="0.25">
      <c r="A3255" s="127">
        <v>44833</v>
      </c>
      <c r="B3255" s="128" t="s">
        <v>31385</v>
      </c>
      <c r="C3255" s="194" t="s">
        <v>31</v>
      </c>
      <c r="D3255" s="195">
        <v>5092</v>
      </c>
      <c r="E3255" s="196">
        <v>44833</v>
      </c>
      <c r="F3255" s="195">
        <v>5092</v>
      </c>
      <c r="G3255" s="197">
        <f>Tabla110[[#This Row],[Importe]]-Tabla110[[#This Row],[Pagado]]</f>
        <v>0</v>
      </c>
      <c r="H3255" s="194" t="s">
        <v>10</v>
      </c>
    </row>
    <row r="3256" spans="1:8" x14ac:dyDescent="0.25">
      <c r="A3256" s="127">
        <v>44833</v>
      </c>
      <c r="B3256" s="128" t="s">
        <v>31386</v>
      </c>
      <c r="C3256" s="194" t="s">
        <v>31</v>
      </c>
      <c r="D3256" s="195">
        <v>600.4</v>
      </c>
      <c r="E3256" s="196">
        <v>44833</v>
      </c>
      <c r="F3256" s="195">
        <v>600.4</v>
      </c>
      <c r="G3256" s="197">
        <f>Tabla110[[#This Row],[Importe]]-Tabla110[[#This Row],[Pagado]]</f>
        <v>0</v>
      </c>
      <c r="H3256" s="194" t="s">
        <v>10</v>
      </c>
    </row>
    <row r="3257" spans="1:8" ht="31.5" x14ac:dyDescent="0.25">
      <c r="A3257" s="127">
        <v>44833</v>
      </c>
      <c r="B3257" s="128" t="s">
        <v>31387</v>
      </c>
      <c r="C3257" s="194" t="s">
        <v>28087</v>
      </c>
      <c r="D3257" s="195">
        <v>115254.6</v>
      </c>
      <c r="E3257" s="198" t="s">
        <v>31539</v>
      </c>
      <c r="F3257" s="195">
        <f>30547+84707.6</f>
        <v>115254.6</v>
      </c>
      <c r="G3257" s="197">
        <f>Tabla110[[#This Row],[Importe]]-Tabla110[[#This Row],[Pagado]]</f>
        <v>0</v>
      </c>
      <c r="H3257" s="194" t="s">
        <v>10</v>
      </c>
    </row>
    <row r="3258" spans="1:8" x14ac:dyDescent="0.25">
      <c r="A3258" s="127">
        <v>44833</v>
      </c>
      <c r="B3258" s="128" t="s">
        <v>31388</v>
      </c>
      <c r="C3258" s="194" t="s">
        <v>71</v>
      </c>
      <c r="D3258" s="195">
        <v>790.6</v>
      </c>
      <c r="E3258" s="196">
        <v>44833</v>
      </c>
      <c r="F3258" s="195">
        <v>790.6</v>
      </c>
      <c r="G3258" s="197">
        <f>Tabla110[[#This Row],[Importe]]-Tabla110[[#This Row],[Pagado]]</f>
        <v>0</v>
      </c>
      <c r="H3258" s="194" t="s">
        <v>10</v>
      </c>
    </row>
    <row r="3259" spans="1:8" x14ac:dyDescent="0.25">
      <c r="A3259" s="127">
        <v>44833</v>
      </c>
      <c r="B3259" s="128" t="s">
        <v>31389</v>
      </c>
      <c r="C3259" s="194" t="s">
        <v>31</v>
      </c>
      <c r="D3259" s="195">
        <v>119</v>
      </c>
      <c r="E3259" s="196">
        <v>44833</v>
      </c>
      <c r="F3259" s="195">
        <v>119</v>
      </c>
      <c r="G3259" s="197">
        <f>Tabla110[[#This Row],[Importe]]-Tabla110[[#This Row],[Pagado]]</f>
        <v>0</v>
      </c>
      <c r="H3259" s="194" t="s">
        <v>10</v>
      </c>
    </row>
    <row r="3260" spans="1:8" x14ac:dyDescent="0.25">
      <c r="A3260" s="127">
        <v>44833</v>
      </c>
      <c r="B3260" s="128" t="s">
        <v>31390</v>
      </c>
      <c r="C3260" s="194" t="s">
        <v>31</v>
      </c>
      <c r="D3260" s="195">
        <v>5831</v>
      </c>
      <c r="E3260" s="196">
        <v>44833</v>
      </c>
      <c r="F3260" s="195">
        <v>5831</v>
      </c>
      <c r="G3260" s="197">
        <f>Tabla110[[#This Row],[Importe]]-Tabla110[[#This Row],[Pagado]]</f>
        <v>0</v>
      </c>
      <c r="H3260" s="194" t="s">
        <v>10</v>
      </c>
    </row>
    <row r="3261" spans="1:8" x14ac:dyDescent="0.25">
      <c r="A3261" s="127">
        <v>44833</v>
      </c>
      <c r="B3261" s="128" t="s">
        <v>31391</v>
      </c>
      <c r="C3261" s="194" t="s">
        <v>681</v>
      </c>
      <c r="D3261" s="195">
        <v>1.01</v>
      </c>
      <c r="E3261" s="196">
        <v>44839</v>
      </c>
      <c r="F3261" s="195">
        <v>1.01</v>
      </c>
      <c r="G3261" s="197">
        <f>Tabla110[[#This Row],[Importe]]-Tabla110[[#This Row],[Pagado]]</f>
        <v>0</v>
      </c>
      <c r="H3261" s="194" t="s">
        <v>10</v>
      </c>
    </row>
    <row r="3262" spans="1:8" x14ac:dyDescent="0.25">
      <c r="A3262" s="127">
        <v>44833</v>
      </c>
      <c r="B3262" s="128" t="s">
        <v>31392</v>
      </c>
      <c r="C3262" s="194" t="s">
        <v>301</v>
      </c>
      <c r="D3262" s="195">
        <v>22815</v>
      </c>
      <c r="E3262" s="196">
        <v>44833</v>
      </c>
      <c r="F3262" s="195">
        <v>22815</v>
      </c>
      <c r="G3262" s="197">
        <f>Tabla110[[#This Row],[Importe]]-Tabla110[[#This Row],[Pagado]]</f>
        <v>0</v>
      </c>
      <c r="H3262" s="194" t="s">
        <v>10</v>
      </c>
    </row>
    <row r="3263" spans="1:8" x14ac:dyDescent="0.25">
      <c r="A3263" s="127">
        <v>44833</v>
      </c>
      <c r="B3263" s="128" t="s">
        <v>31393</v>
      </c>
      <c r="C3263" s="194" t="s">
        <v>296</v>
      </c>
      <c r="D3263" s="195">
        <v>1380.6</v>
      </c>
      <c r="E3263" s="196">
        <v>44833</v>
      </c>
      <c r="F3263" s="195">
        <v>1380.6</v>
      </c>
      <c r="G3263" s="197">
        <f>Tabla110[[#This Row],[Importe]]-Tabla110[[#This Row],[Pagado]]</f>
        <v>0</v>
      </c>
      <c r="H3263" s="194" t="s">
        <v>10</v>
      </c>
    </row>
    <row r="3264" spans="1:8" x14ac:dyDescent="0.25">
      <c r="A3264" s="127">
        <v>44833</v>
      </c>
      <c r="B3264" s="128" t="s">
        <v>31394</v>
      </c>
      <c r="C3264" s="194" t="s">
        <v>10678</v>
      </c>
      <c r="D3264" s="195">
        <v>2972</v>
      </c>
      <c r="E3264" s="196">
        <v>44833</v>
      </c>
      <c r="F3264" s="195">
        <v>2972</v>
      </c>
      <c r="G3264" s="197">
        <f>Tabla110[[#This Row],[Importe]]-Tabla110[[#This Row],[Pagado]]</f>
        <v>0</v>
      </c>
      <c r="H3264" s="194" t="s">
        <v>10</v>
      </c>
    </row>
    <row r="3265" spans="1:8" x14ac:dyDescent="0.25">
      <c r="A3265" s="127">
        <v>44833</v>
      </c>
      <c r="B3265" s="128" t="s">
        <v>31395</v>
      </c>
      <c r="C3265" s="194" t="s">
        <v>71</v>
      </c>
      <c r="D3265" s="195">
        <v>1622.4</v>
      </c>
      <c r="E3265" s="196">
        <v>44833</v>
      </c>
      <c r="F3265" s="195">
        <v>1622.4</v>
      </c>
      <c r="G3265" s="197">
        <f>Tabla110[[#This Row],[Importe]]-Tabla110[[#This Row],[Pagado]]</f>
        <v>0</v>
      </c>
      <c r="H3265" s="194" t="s">
        <v>10</v>
      </c>
    </row>
    <row r="3266" spans="1:8" x14ac:dyDescent="0.25">
      <c r="A3266" s="127">
        <v>44833</v>
      </c>
      <c r="B3266" s="128" t="s">
        <v>31396</v>
      </c>
      <c r="C3266" s="194" t="s">
        <v>296</v>
      </c>
      <c r="D3266" s="195">
        <v>3549.7</v>
      </c>
      <c r="E3266" s="196">
        <v>44833</v>
      </c>
      <c r="F3266" s="195">
        <v>3549.7</v>
      </c>
      <c r="G3266" s="197">
        <f>Tabla110[[#This Row],[Importe]]-Tabla110[[#This Row],[Pagado]]</f>
        <v>0</v>
      </c>
      <c r="H3266" s="194" t="s">
        <v>10</v>
      </c>
    </row>
    <row r="3267" spans="1:8" x14ac:dyDescent="0.25">
      <c r="A3267" s="127">
        <v>44833</v>
      </c>
      <c r="B3267" s="128" t="s">
        <v>31397</v>
      </c>
      <c r="C3267" s="194" t="s">
        <v>296</v>
      </c>
      <c r="D3267" s="195">
        <v>1076.4000000000001</v>
      </c>
      <c r="E3267" s="196">
        <v>44833</v>
      </c>
      <c r="F3267" s="195">
        <v>1076.4000000000001</v>
      </c>
      <c r="G3267" s="197">
        <f>Tabla110[[#This Row],[Importe]]-Tabla110[[#This Row],[Pagado]]</f>
        <v>0</v>
      </c>
      <c r="H3267" s="194" t="s">
        <v>10</v>
      </c>
    </row>
    <row r="3268" spans="1:8" x14ac:dyDescent="0.25">
      <c r="A3268" s="127">
        <v>44833</v>
      </c>
      <c r="B3268" s="128" t="s">
        <v>31398</v>
      </c>
      <c r="C3268" s="194" t="s">
        <v>284</v>
      </c>
      <c r="D3268" s="195">
        <v>7680</v>
      </c>
      <c r="E3268" s="196">
        <v>44834</v>
      </c>
      <c r="F3268" s="195">
        <v>7680</v>
      </c>
      <c r="G3268" s="197">
        <f>Tabla110[[#This Row],[Importe]]-Tabla110[[#This Row],[Pagado]]</f>
        <v>0</v>
      </c>
      <c r="H3268" s="194" t="s">
        <v>10</v>
      </c>
    </row>
    <row r="3269" spans="1:8" x14ac:dyDescent="0.25">
      <c r="A3269" s="127">
        <v>44833</v>
      </c>
      <c r="B3269" s="128" t="s">
        <v>31399</v>
      </c>
      <c r="C3269" s="194" t="s">
        <v>282</v>
      </c>
      <c r="D3269" s="195">
        <v>2175</v>
      </c>
      <c r="E3269" s="196">
        <v>44834</v>
      </c>
      <c r="F3269" s="195">
        <v>2175</v>
      </c>
      <c r="G3269" s="197">
        <f>Tabla110[[#This Row],[Importe]]-Tabla110[[#This Row],[Pagado]]</f>
        <v>0</v>
      </c>
      <c r="H3269" s="194" t="s">
        <v>10</v>
      </c>
    </row>
    <row r="3270" spans="1:8" x14ac:dyDescent="0.25">
      <c r="A3270" s="127">
        <v>44833</v>
      </c>
      <c r="B3270" s="128" t="s">
        <v>31400</v>
      </c>
      <c r="C3270" s="194" t="s">
        <v>5345</v>
      </c>
      <c r="D3270" s="195">
        <v>2910</v>
      </c>
      <c r="E3270" s="196">
        <v>44834</v>
      </c>
      <c r="F3270" s="195">
        <v>2910</v>
      </c>
      <c r="G3270" s="197">
        <f>Tabla110[[#This Row],[Importe]]-Tabla110[[#This Row],[Pagado]]</f>
        <v>0</v>
      </c>
      <c r="H3270" s="194" t="s">
        <v>10</v>
      </c>
    </row>
    <row r="3271" spans="1:8" x14ac:dyDescent="0.25">
      <c r="A3271" s="127">
        <v>44833</v>
      </c>
      <c r="B3271" s="128" t="s">
        <v>31401</v>
      </c>
      <c r="C3271" s="194" t="s">
        <v>729</v>
      </c>
      <c r="D3271" s="195">
        <v>33560.699999999997</v>
      </c>
      <c r="E3271" s="196">
        <v>44834</v>
      </c>
      <c r="F3271" s="195">
        <v>33560.699999999997</v>
      </c>
      <c r="G3271" s="197">
        <f>Tabla110[[#This Row],[Importe]]-Tabla110[[#This Row],[Pagado]]</f>
        <v>0</v>
      </c>
      <c r="H3271" s="194" t="s">
        <v>10</v>
      </c>
    </row>
    <row r="3272" spans="1:8" x14ac:dyDescent="0.25">
      <c r="A3272" s="127">
        <v>44833</v>
      </c>
      <c r="B3272" s="128" t="s">
        <v>31402</v>
      </c>
      <c r="C3272" s="194" t="s">
        <v>431</v>
      </c>
      <c r="D3272" s="195">
        <v>3645</v>
      </c>
      <c r="E3272" s="196">
        <v>44834</v>
      </c>
      <c r="F3272" s="195">
        <v>3645</v>
      </c>
      <c r="G3272" s="197">
        <f>Tabla110[[#This Row],[Importe]]-Tabla110[[#This Row],[Pagado]]</f>
        <v>0</v>
      </c>
      <c r="H3272" s="194" t="s">
        <v>10</v>
      </c>
    </row>
    <row r="3273" spans="1:8" x14ac:dyDescent="0.25">
      <c r="A3273" s="127">
        <v>44833</v>
      </c>
      <c r="B3273" s="128" t="s">
        <v>31403</v>
      </c>
      <c r="C3273" s="194" t="s">
        <v>280</v>
      </c>
      <c r="D3273" s="195">
        <v>810</v>
      </c>
      <c r="E3273" s="196">
        <v>44834</v>
      </c>
      <c r="F3273" s="195">
        <v>810</v>
      </c>
      <c r="G3273" s="197">
        <f>Tabla110[[#This Row],[Importe]]-Tabla110[[#This Row],[Pagado]]</f>
        <v>0</v>
      </c>
      <c r="H3273" s="194" t="s">
        <v>10</v>
      </c>
    </row>
    <row r="3274" spans="1:8" x14ac:dyDescent="0.25">
      <c r="A3274" s="127">
        <v>44833</v>
      </c>
      <c r="B3274" s="128" t="s">
        <v>31404</v>
      </c>
      <c r="C3274" s="194" t="s">
        <v>10819</v>
      </c>
      <c r="D3274" s="195">
        <v>1350</v>
      </c>
      <c r="E3274" s="196">
        <v>44834</v>
      </c>
      <c r="F3274" s="195">
        <v>1350</v>
      </c>
      <c r="G3274" s="197">
        <f>Tabla110[[#This Row],[Importe]]-Tabla110[[#This Row],[Pagado]]</f>
        <v>0</v>
      </c>
      <c r="H3274" s="194" t="s">
        <v>10</v>
      </c>
    </row>
    <row r="3275" spans="1:8" x14ac:dyDescent="0.25">
      <c r="A3275" s="127">
        <v>44833</v>
      </c>
      <c r="B3275" s="128" t="s">
        <v>31405</v>
      </c>
      <c r="C3275" s="194" t="s">
        <v>53</v>
      </c>
      <c r="D3275" s="195">
        <v>1846.2</v>
      </c>
      <c r="E3275" s="196">
        <v>44833</v>
      </c>
      <c r="F3275" s="195">
        <v>1846.2</v>
      </c>
      <c r="G3275" s="197">
        <f>Tabla110[[#This Row],[Importe]]-Tabla110[[#This Row],[Pagado]]</f>
        <v>0</v>
      </c>
      <c r="H3275" s="194" t="s">
        <v>10</v>
      </c>
    </row>
    <row r="3276" spans="1:8" x14ac:dyDescent="0.25">
      <c r="A3276" s="127">
        <v>44833</v>
      </c>
      <c r="B3276" s="128" t="s">
        <v>31406</v>
      </c>
      <c r="C3276" s="194" t="s">
        <v>53</v>
      </c>
      <c r="D3276" s="195">
        <v>616.20000000000005</v>
      </c>
      <c r="E3276" s="196">
        <v>44833</v>
      </c>
      <c r="F3276" s="195">
        <v>616.20000000000005</v>
      </c>
      <c r="G3276" s="197">
        <f>Tabla110[[#This Row],[Importe]]-Tabla110[[#This Row],[Pagado]]</f>
        <v>0</v>
      </c>
      <c r="H3276" s="194" t="s">
        <v>10</v>
      </c>
    </row>
    <row r="3277" spans="1:8" x14ac:dyDescent="0.25">
      <c r="A3277" s="127">
        <v>44833</v>
      </c>
      <c r="B3277" s="128" t="s">
        <v>31407</v>
      </c>
      <c r="C3277" s="194" t="s">
        <v>31</v>
      </c>
      <c r="D3277" s="195">
        <v>249.7</v>
      </c>
      <c r="E3277" s="196">
        <v>44833</v>
      </c>
      <c r="F3277" s="195">
        <v>249.7</v>
      </c>
      <c r="G3277" s="197">
        <f>Tabla110[[#This Row],[Importe]]-Tabla110[[#This Row],[Pagado]]</f>
        <v>0</v>
      </c>
      <c r="H3277" s="194" t="s">
        <v>10</v>
      </c>
    </row>
    <row r="3278" spans="1:8" x14ac:dyDescent="0.25">
      <c r="A3278" s="127">
        <v>44833</v>
      </c>
      <c r="B3278" s="128" t="s">
        <v>31408</v>
      </c>
      <c r="C3278" s="194" t="s">
        <v>31</v>
      </c>
      <c r="D3278" s="195">
        <v>9860</v>
      </c>
      <c r="E3278" s="196">
        <v>44833</v>
      </c>
      <c r="F3278" s="195">
        <v>9860</v>
      </c>
      <c r="G3278" s="197">
        <f>Tabla110[[#This Row],[Importe]]-Tabla110[[#This Row],[Pagado]]</f>
        <v>0</v>
      </c>
      <c r="H3278" s="194" t="s">
        <v>10</v>
      </c>
    </row>
    <row r="3279" spans="1:8" x14ac:dyDescent="0.25">
      <c r="A3279" s="127">
        <v>44833</v>
      </c>
      <c r="B3279" s="128" t="s">
        <v>31409</v>
      </c>
      <c r="C3279" s="194" t="s">
        <v>56</v>
      </c>
      <c r="D3279" s="195">
        <v>3328.8</v>
      </c>
      <c r="E3279" s="196">
        <v>44833</v>
      </c>
      <c r="F3279" s="195">
        <v>3328.8</v>
      </c>
      <c r="G3279" s="197">
        <f>Tabla110[[#This Row],[Importe]]-Tabla110[[#This Row],[Pagado]]</f>
        <v>0</v>
      </c>
      <c r="H3279" s="194" t="s">
        <v>10</v>
      </c>
    </row>
    <row r="3280" spans="1:8" x14ac:dyDescent="0.25">
      <c r="A3280" s="127">
        <v>44833</v>
      </c>
      <c r="B3280" s="128" t="s">
        <v>31410</v>
      </c>
      <c r="C3280" s="194" t="s">
        <v>31</v>
      </c>
      <c r="D3280" s="195">
        <v>5032.5</v>
      </c>
      <c r="E3280" s="196">
        <v>44833</v>
      </c>
      <c r="F3280" s="195">
        <v>5032.5</v>
      </c>
      <c r="G3280" s="197">
        <f>Tabla110[[#This Row],[Importe]]-Tabla110[[#This Row],[Pagado]]</f>
        <v>0</v>
      </c>
      <c r="H3280" s="194" t="s">
        <v>10</v>
      </c>
    </row>
    <row r="3281" spans="1:8" x14ac:dyDescent="0.25">
      <c r="A3281" s="127">
        <v>44834</v>
      </c>
      <c r="B3281" s="128" t="s">
        <v>31411</v>
      </c>
      <c r="C3281" s="194" t="s">
        <v>887</v>
      </c>
      <c r="D3281" s="195">
        <v>17572.099999999999</v>
      </c>
      <c r="E3281" s="196">
        <v>44834</v>
      </c>
      <c r="F3281" s="195">
        <v>17572.099999999999</v>
      </c>
      <c r="G3281" s="197">
        <f>Tabla110[[#This Row],[Importe]]-Tabla110[[#This Row],[Pagado]]</f>
        <v>0</v>
      </c>
      <c r="H3281" s="194" t="s">
        <v>10</v>
      </c>
    </row>
    <row r="3282" spans="1:8" x14ac:dyDescent="0.25">
      <c r="A3282" s="127">
        <v>44834</v>
      </c>
      <c r="B3282" s="128" t="s">
        <v>31412</v>
      </c>
      <c r="C3282" s="194" t="s">
        <v>475</v>
      </c>
      <c r="D3282" s="195">
        <v>50779.3</v>
      </c>
      <c r="E3282" s="196">
        <v>44835</v>
      </c>
      <c r="F3282" s="195">
        <v>50779.3</v>
      </c>
      <c r="G3282" s="197">
        <f>Tabla110[[#This Row],[Importe]]-Tabla110[[#This Row],[Pagado]]</f>
        <v>0</v>
      </c>
      <c r="H3282" s="194" t="s">
        <v>10</v>
      </c>
    </row>
    <row r="3283" spans="1:8" x14ac:dyDescent="0.25">
      <c r="A3283" s="127">
        <v>44834</v>
      </c>
      <c r="B3283" s="128" t="s">
        <v>31413</v>
      </c>
      <c r="C3283" s="194" t="s">
        <v>12</v>
      </c>
      <c r="D3283" s="195">
        <v>18395.900000000001</v>
      </c>
      <c r="E3283" s="196">
        <v>44835</v>
      </c>
      <c r="F3283" s="195">
        <v>18395.900000000001</v>
      </c>
      <c r="G3283" s="197">
        <f>Tabla110[[#This Row],[Importe]]-Tabla110[[#This Row],[Pagado]]</f>
        <v>0</v>
      </c>
      <c r="H3283" s="194" t="s">
        <v>10</v>
      </c>
    </row>
    <row r="3284" spans="1:8" x14ac:dyDescent="0.25">
      <c r="A3284" s="127">
        <v>44834</v>
      </c>
      <c r="B3284" s="128" t="s">
        <v>31414</v>
      </c>
      <c r="C3284" s="194" t="s">
        <v>31340</v>
      </c>
      <c r="D3284" s="195">
        <v>0</v>
      </c>
      <c r="E3284" s="199" t="s">
        <v>189</v>
      </c>
      <c r="F3284" s="195">
        <v>0</v>
      </c>
      <c r="G3284" s="197">
        <f>Tabla110[[#This Row],[Importe]]-Tabla110[[#This Row],[Pagado]]</f>
        <v>0</v>
      </c>
      <c r="H3284" s="194" t="s">
        <v>189</v>
      </c>
    </row>
    <row r="3285" spans="1:8" x14ac:dyDescent="0.25">
      <c r="A3285" s="127">
        <v>44834</v>
      </c>
      <c r="B3285" s="128" t="s">
        <v>31415</v>
      </c>
      <c r="C3285" s="194" t="s">
        <v>79</v>
      </c>
      <c r="D3285" s="195">
        <v>33202.699999999997</v>
      </c>
      <c r="E3285" s="196">
        <v>44834</v>
      </c>
      <c r="F3285" s="195">
        <v>33202.699999999997</v>
      </c>
      <c r="G3285" s="197">
        <f>Tabla110[[#This Row],[Importe]]-Tabla110[[#This Row],[Pagado]]</f>
        <v>0</v>
      </c>
      <c r="H3285" s="194" t="s">
        <v>10</v>
      </c>
    </row>
    <row r="3286" spans="1:8" x14ac:dyDescent="0.25">
      <c r="A3286" s="127">
        <v>44834</v>
      </c>
      <c r="B3286" s="128" t="s">
        <v>31416</v>
      </c>
      <c r="C3286" s="194" t="s">
        <v>353</v>
      </c>
      <c r="D3286" s="195">
        <v>655.20000000000005</v>
      </c>
      <c r="E3286" s="196">
        <v>44834</v>
      </c>
      <c r="F3286" s="195">
        <v>655.20000000000005</v>
      </c>
      <c r="G3286" s="197">
        <f>Tabla110[[#This Row],[Importe]]-Tabla110[[#This Row],[Pagado]]</f>
        <v>0</v>
      </c>
      <c r="H3286" s="194" t="s">
        <v>10</v>
      </c>
    </row>
    <row r="3287" spans="1:8" x14ac:dyDescent="0.25">
      <c r="A3287" s="127">
        <v>44834</v>
      </c>
      <c r="B3287" s="128" t="s">
        <v>31417</v>
      </c>
      <c r="C3287" s="194" t="s">
        <v>75</v>
      </c>
      <c r="D3287" s="195">
        <v>8992.5</v>
      </c>
      <c r="E3287" s="196">
        <v>44834</v>
      </c>
      <c r="F3287" s="195">
        <v>8992.5</v>
      </c>
      <c r="G3287" s="197">
        <f>Tabla110[[#This Row],[Importe]]-Tabla110[[#This Row],[Pagado]]</f>
        <v>0</v>
      </c>
      <c r="H3287" s="194" t="s">
        <v>10</v>
      </c>
    </row>
    <row r="3288" spans="1:8" x14ac:dyDescent="0.25">
      <c r="A3288" s="127">
        <v>44834</v>
      </c>
      <c r="B3288" s="128" t="s">
        <v>31418</v>
      </c>
      <c r="C3288" s="194" t="s">
        <v>1187</v>
      </c>
      <c r="D3288" s="195">
        <v>1171</v>
      </c>
      <c r="E3288" s="196">
        <v>44834</v>
      </c>
      <c r="F3288" s="195">
        <v>1171</v>
      </c>
      <c r="G3288" s="197">
        <f>Tabla110[[#This Row],[Importe]]-Tabla110[[#This Row],[Pagado]]</f>
        <v>0</v>
      </c>
      <c r="H3288" s="194" t="s">
        <v>10</v>
      </c>
    </row>
    <row r="3289" spans="1:8" x14ac:dyDescent="0.25">
      <c r="A3289" s="127">
        <v>44834</v>
      </c>
      <c r="B3289" s="128" t="s">
        <v>31419</v>
      </c>
      <c r="C3289" s="194" t="s">
        <v>109</v>
      </c>
      <c r="D3289" s="195">
        <v>5310.5</v>
      </c>
      <c r="E3289" s="196">
        <v>44835</v>
      </c>
      <c r="F3289" s="195">
        <v>5310.5</v>
      </c>
      <c r="G3289" s="197">
        <f>Tabla110[[#This Row],[Importe]]-Tabla110[[#This Row],[Pagado]]</f>
        <v>0</v>
      </c>
      <c r="H3289" s="194" t="s">
        <v>10</v>
      </c>
    </row>
    <row r="3290" spans="1:8" x14ac:dyDescent="0.25">
      <c r="A3290" s="127">
        <v>44834</v>
      </c>
      <c r="B3290" s="128" t="s">
        <v>31420</v>
      </c>
      <c r="C3290" s="194" t="s">
        <v>114</v>
      </c>
      <c r="D3290" s="195">
        <v>10172.5</v>
      </c>
      <c r="E3290" s="196">
        <v>44835</v>
      </c>
      <c r="F3290" s="195">
        <v>10172.5</v>
      </c>
      <c r="G3290" s="197">
        <f>Tabla110[[#This Row],[Importe]]-Tabla110[[#This Row],[Pagado]]</f>
        <v>0</v>
      </c>
      <c r="H3290" s="194" t="s">
        <v>10</v>
      </c>
    </row>
    <row r="3291" spans="1:8" x14ac:dyDescent="0.25">
      <c r="A3291" s="127">
        <v>44834</v>
      </c>
      <c r="B3291" s="128" t="s">
        <v>31421</v>
      </c>
      <c r="C3291" s="194" t="s">
        <v>111</v>
      </c>
      <c r="D3291" s="195">
        <v>4498</v>
      </c>
      <c r="E3291" s="196">
        <v>44835</v>
      </c>
      <c r="F3291" s="195">
        <v>4498</v>
      </c>
      <c r="G3291" s="197">
        <f>Tabla110[[#This Row],[Importe]]-Tabla110[[#This Row],[Pagado]]</f>
        <v>0</v>
      </c>
      <c r="H3291" s="194" t="s">
        <v>10</v>
      </c>
    </row>
    <row r="3292" spans="1:8" x14ac:dyDescent="0.25">
      <c r="A3292" s="127">
        <v>44834</v>
      </c>
      <c r="B3292" s="128" t="s">
        <v>31422</v>
      </c>
      <c r="C3292" s="194" t="s">
        <v>64</v>
      </c>
      <c r="D3292" s="195">
        <v>10549.5</v>
      </c>
      <c r="E3292" s="196">
        <v>44835</v>
      </c>
      <c r="F3292" s="195">
        <v>10549.5</v>
      </c>
      <c r="G3292" s="197">
        <f>Tabla110[[#This Row],[Importe]]-Tabla110[[#This Row],[Pagado]]</f>
        <v>0</v>
      </c>
      <c r="H3292" s="194" t="s">
        <v>10</v>
      </c>
    </row>
    <row r="3293" spans="1:8" x14ac:dyDescent="0.25">
      <c r="A3293" s="127">
        <v>44834</v>
      </c>
      <c r="B3293" s="128" t="s">
        <v>31423</v>
      </c>
      <c r="C3293" s="194" t="s">
        <v>473</v>
      </c>
      <c r="D3293" s="195">
        <v>9385</v>
      </c>
      <c r="E3293" s="196">
        <v>44834</v>
      </c>
      <c r="F3293" s="195">
        <v>9385</v>
      </c>
      <c r="G3293" s="197">
        <f>Tabla110[[#This Row],[Importe]]-Tabla110[[#This Row],[Pagado]]</f>
        <v>0</v>
      </c>
      <c r="H3293" s="194" t="s">
        <v>10</v>
      </c>
    </row>
    <row r="3294" spans="1:8" x14ac:dyDescent="0.25">
      <c r="A3294" s="127">
        <v>44834</v>
      </c>
      <c r="B3294" s="128" t="s">
        <v>31424</v>
      </c>
      <c r="C3294" s="194" t="s">
        <v>105</v>
      </c>
      <c r="D3294" s="195">
        <v>9403.1</v>
      </c>
      <c r="E3294" s="196">
        <v>44835</v>
      </c>
      <c r="F3294" s="195">
        <v>9403.1</v>
      </c>
      <c r="G3294" s="197">
        <f>Tabla110[[#This Row],[Importe]]-Tabla110[[#This Row],[Pagado]]</f>
        <v>0</v>
      </c>
      <c r="H3294" s="194" t="s">
        <v>10</v>
      </c>
    </row>
    <row r="3295" spans="1:8" x14ac:dyDescent="0.25">
      <c r="A3295" s="127">
        <v>44834</v>
      </c>
      <c r="B3295" s="128" t="s">
        <v>31425</v>
      </c>
      <c r="C3295" s="194" t="s">
        <v>131</v>
      </c>
      <c r="D3295" s="195">
        <v>5250</v>
      </c>
      <c r="E3295" s="196">
        <v>44834</v>
      </c>
      <c r="F3295" s="195">
        <v>5250</v>
      </c>
      <c r="G3295" s="197">
        <f>Tabla110[[#This Row],[Importe]]-Tabla110[[#This Row],[Pagado]]</f>
        <v>0</v>
      </c>
      <c r="H3295" s="194" t="s">
        <v>10</v>
      </c>
    </row>
    <row r="3296" spans="1:8" x14ac:dyDescent="0.25">
      <c r="A3296" s="127">
        <v>44834</v>
      </c>
      <c r="B3296" s="128" t="s">
        <v>31426</v>
      </c>
      <c r="C3296" s="194" t="s">
        <v>450</v>
      </c>
      <c r="D3296" s="195">
        <v>6758.2</v>
      </c>
      <c r="E3296" s="196">
        <v>44834</v>
      </c>
      <c r="F3296" s="195">
        <v>6758.2</v>
      </c>
      <c r="G3296" s="197">
        <f>Tabla110[[#This Row],[Importe]]-Tabla110[[#This Row],[Pagado]]</f>
        <v>0</v>
      </c>
      <c r="H3296" s="194" t="s">
        <v>10</v>
      </c>
    </row>
    <row r="3297" spans="1:8" x14ac:dyDescent="0.25">
      <c r="A3297" s="127">
        <v>44834</v>
      </c>
      <c r="B3297" s="128" t="s">
        <v>31427</v>
      </c>
      <c r="C3297" s="194" t="s">
        <v>314</v>
      </c>
      <c r="D3297" s="195">
        <v>4690.5</v>
      </c>
      <c r="E3297" s="196">
        <v>44834</v>
      </c>
      <c r="F3297" s="195">
        <v>4690.5</v>
      </c>
      <c r="G3297" s="197">
        <f>Tabla110[[#This Row],[Importe]]-Tabla110[[#This Row],[Pagado]]</f>
        <v>0</v>
      </c>
      <c r="H3297" s="194" t="s">
        <v>10</v>
      </c>
    </row>
    <row r="3298" spans="1:8" x14ac:dyDescent="0.25">
      <c r="A3298" s="127">
        <v>44834</v>
      </c>
      <c r="B3298" s="128" t="s">
        <v>31428</v>
      </c>
      <c r="C3298" s="194" t="s">
        <v>93</v>
      </c>
      <c r="D3298" s="195">
        <v>11822.4</v>
      </c>
      <c r="E3298" s="196">
        <v>44837</v>
      </c>
      <c r="F3298" s="195">
        <v>11822.4</v>
      </c>
      <c r="G3298" s="197">
        <f>Tabla110[[#This Row],[Importe]]-Tabla110[[#This Row],[Pagado]]</f>
        <v>0</v>
      </c>
      <c r="H3298" s="194" t="s">
        <v>10</v>
      </c>
    </row>
    <row r="3299" spans="1:8" x14ac:dyDescent="0.25">
      <c r="A3299" s="127">
        <v>44834</v>
      </c>
      <c r="B3299" s="128" t="s">
        <v>31429</v>
      </c>
      <c r="C3299" s="194" t="s">
        <v>17556</v>
      </c>
      <c r="D3299" s="195">
        <v>4196</v>
      </c>
      <c r="E3299" s="196">
        <v>44834</v>
      </c>
      <c r="F3299" s="195">
        <v>4196</v>
      </c>
      <c r="G3299" s="197">
        <f>Tabla110[[#This Row],[Importe]]-Tabla110[[#This Row],[Pagado]]</f>
        <v>0</v>
      </c>
      <c r="H3299" s="194" t="s">
        <v>10</v>
      </c>
    </row>
    <row r="3300" spans="1:8" x14ac:dyDescent="0.25">
      <c r="A3300" s="127">
        <v>44834</v>
      </c>
      <c r="B3300" s="128" t="s">
        <v>31430</v>
      </c>
      <c r="C3300" s="194" t="s">
        <v>87</v>
      </c>
      <c r="D3300" s="195">
        <v>4495</v>
      </c>
      <c r="E3300" s="196">
        <v>44834</v>
      </c>
      <c r="F3300" s="195">
        <v>4495</v>
      </c>
      <c r="G3300" s="197">
        <f>Tabla110[[#This Row],[Importe]]-Tabla110[[#This Row],[Pagado]]</f>
        <v>0</v>
      </c>
      <c r="H3300" s="194" t="s">
        <v>10</v>
      </c>
    </row>
    <row r="3301" spans="1:8" x14ac:dyDescent="0.25">
      <c r="A3301" s="127">
        <v>44834</v>
      </c>
      <c r="B3301" s="128" t="s">
        <v>31431</v>
      </c>
      <c r="C3301" s="194" t="s">
        <v>83</v>
      </c>
      <c r="D3301" s="195">
        <v>14868</v>
      </c>
      <c r="E3301" s="196">
        <v>44834</v>
      </c>
      <c r="F3301" s="195">
        <v>14868</v>
      </c>
      <c r="G3301" s="197">
        <f>Tabla110[[#This Row],[Importe]]-Tabla110[[#This Row],[Pagado]]</f>
        <v>0</v>
      </c>
      <c r="H3301" s="194" t="s">
        <v>10</v>
      </c>
    </row>
    <row r="3302" spans="1:8" x14ac:dyDescent="0.25">
      <c r="A3302" s="127">
        <v>44834</v>
      </c>
      <c r="B3302" s="128" t="s">
        <v>31432</v>
      </c>
      <c r="C3302" s="194" t="s">
        <v>348</v>
      </c>
      <c r="D3302" s="195">
        <v>5287.4</v>
      </c>
      <c r="E3302" s="196">
        <v>44834</v>
      </c>
      <c r="F3302" s="195">
        <v>5287.4</v>
      </c>
      <c r="G3302" s="197">
        <f>Tabla110[[#This Row],[Importe]]-Tabla110[[#This Row],[Pagado]]</f>
        <v>0</v>
      </c>
      <c r="H3302" s="194" t="s">
        <v>10</v>
      </c>
    </row>
    <row r="3303" spans="1:8" x14ac:dyDescent="0.25">
      <c r="A3303" s="127">
        <v>44834</v>
      </c>
      <c r="B3303" s="128" t="s">
        <v>31433</v>
      </c>
      <c r="C3303" s="194" t="s">
        <v>9</v>
      </c>
      <c r="D3303" s="195">
        <v>9931.5</v>
      </c>
      <c r="E3303" s="196">
        <v>44834</v>
      </c>
      <c r="F3303" s="195">
        <v>9931.5</v>
      </c>
      <c r="G3303" s="197">
        <f>Tabla110[[#This Row],[Importe]]-Tabla110[[#This Row],[Pagado]]</f>
        <v>0</v>
      </c>
      <c r="H3303" s="194" t="s">
        <v>10</v>
      </c>
    </row>
    <row r="3304" spans="1:8" x14ac:dyDescent="0.25">
      <c r="A3304" s="127">
        <v>44834</v>
      </c>
      <c r="B3304" s="128" t="s">
        <v>31434</v>
      </c>
      <c r="C3304" s="194" t="s">
        <v>89</v>
      </c>
      <c r="D3304" s="195">
        <v>14195.4</v>
      </c>
      <c r="E3304" s="196">
        <v>44835</v>
      </c>
      <c r="F3304" s="195">
        <v>14195.4</v>
      </c>
      <c r="G3304" s="197">
        <f>Tabla110[[#This Row],[Importe]]-Tabla110[[#This Row],[Pagado]]</f>
        <v>0</v>
      </c>
      <c r="H3304" s="194" t="s">
        <v>10</v>
      </c>
    </row>
    <row r="3305" spans="1:8" x14ac:dyDescent="0.25">
      <c r="A3305" s="127">
        <v>44834</v>
      </c>
      <c r="B3305" s="128" t="s">
        <v>31435</v>
      </c>
      <c r="C3305" s="194" t="s">
        <v>30029</v>
      </c>
      <c r="D3305" s="195">
        <v>7642.4</v>
      </c>
      <c r="E3305" s="196">
        <v>44835</v>
      </c>
      <c r="F3305" s="195">
        <v>7642.4</v>
      </c>
      <c r="G3305" s="197">
        <f>Tabla110[[#This Row],[Importe]]-Tabla110[[#This Row],[Pagado]]</f>
        <v>0</v>
      </c>
      <c r="H3305" s="194" t="s">
        <v>10</v>
      </c>
    </row>
    <row r="3306" spans="1:8" x14ac:dyDescent="0.25">
      <c r="A3306" s="127">
        <v>44834</v>
      </c>
      <c r="B3306" s="128" t="s">
        <v>31436</v>
      </c>
      <c r="C3306" s="194" t="s">
        <v>2151</v>
      </c>
      <c r="D3306" s="195">
        <v>778.8</v>
      </c>
      <c r="E3306" s="196">
        <v>44834</v>
      </c>
      <c r="F3306" s="195">
        <v>778.8</v>
      </c>
      <c r="G3306" s="197">
        <f>Tabla110[[#This Row],[Importe]]-Tabla110[[#This Row],[Pagado]]</f>
        <v>0</v>
      </c>
      <c r="H3306" s="194" t="s">
        <v>10</v>
      </c>
    </row>
    <row r="3307" spans="1:8" x14ac:dyDescent="0.25">
      <c r="A3307" s="127">
        <v>44834</v>
      </c>
      <c r="B3307" s="128" t="s">
        <v>31437</v>
      </c>
      <c r="C3307" s="194" t="s">
        <v>39</v>
      </c>
      <c r="D3307" s="195">
        <v>7284</v>
      </c>
      <c r="E3307" s="196">
        <v>44835</v>
      </c>
      <c r="F3307" s="195">
        <v>7284</v>
      </c>
      <c r="G3307" s="197">
        <f>Tabla110[[#This Row],[Importe]]-Tabla110[[#This Row],[Pagado]]</f>
        <v>0</v>
      </c>
      <c r="H3307" s="194" t="s">
        <v>10</v>
      </c>
    </row>
    <row r="3308" spans="1:8" x14ac:dyDescent="0.25">
      <c r="A3308" s="127">
        <v>44834</v>
      </c>
      <c r="B3308" s="128" t="s">
        <v>31438</v>
      </c>
      <c r="C3308" s="194" t="s">
        <v>97</v>
      </c>
      <c r="D3308" s="195">
        <v>9950.9</v>
      </c>
      <c r="E3308" s="196">
        <v>44835</v>
      </c>
      <c r="F3308" s="195">
        <v>9950.9</v>
      </c>
      <c r="G3308" s="197">
        <f>Tabla110[[#This Row],[Importe]]-Tabla110[[#This Row],[Pagado]]</f>
        <v>0</v>
      </c>
      <c r="H3308" s="194" t="s">
        <v>10</v>
      </c>
    </row>
    <row r="3309" spans="1:8" x14ac:dyDescent="0.25">
      <c r="A3309" s="127">
        <v>44834</v>
      </c>
      <c r="B3309" s="128" t="s">
        <v>31439</v>
      </c>
      <c r="C3309" s="194" t="s">
        <v>326</v>
      </c>
      <c r="D3309" s="195">
        <v>4810.6000000000004</v>
      </c>
      <c r="E3309" s="196">
        <v>44835</v>
      </c>
      <c r="F3309" s="195">
        <v>4810.6000000000004</v>
      </c>
      <c r="G3309" s="197">
        <f>Tabla110[[#This Row],[Importe]]-Tabla110[[#This Row],[Pagado]]</f>
        <v>0</v>
      </c>
      <c r="H3309" s="194" t="s">
        <v>10</v>
      </c>
    </row>
    <row r="3310" spans="1:8" x14ac:dyDescent="0.25">
      <c r="A3310" s="127">
        <v>44834</v>
      </c>
      <c r="B3310" s="128" t="s">
        <v>31440</v>
      </c>
      <c r="C3310" s="194" t="s">
        <v>60</v>
      </c>
      <c r="D3310" s="195">
        <v>5109</v>
      </c>
      <c r="E3310" s="196">
        <v>44835</v>
      </c>
      <c r="F3310" s="195">
        <v>5109</v>
      </c>
      <c r="G3310" s="197">
        <f>Tabla110[[#This Row],[Importe]]-Tabla110[[#This Row],[Pagado]]</f>
        <v>0</v>
      </c>
      <c r="H3310" s="194" t="s">
        <v>10</v>
      </c>
    </row>
    <row r="3311" spans="1:8" x14ac:dyDescent="0.25">
      <c r="A3311" s="127">
        <v>44834</v>
      </c>
      <c r="B3311" s="128" t="s">
        <v>31441</v>
      </c>
      <c r="C3311" s="194" t="s">
        <v>22</v>
      </c>
      <c r="D3311" s="195">
        <v>36364.800000000003</v>
      </c>
      <c r="E3311" s="196">
        <v>44835</v>
      </c>
      <c r="F3311" s="195">
        <v>36364.800000000003</v>
      </c>
      <c r="G3311" s="197">
        <f>Tabla110[[#This Row],[Importe]]-Tabla110[[#This Row],[Pagado]]</f>
        <v>0</v>
      </c>
      <c r="H3311" s="194" t="s">
        <v>10</v>
      </c>
    </row>
    <row r="3312" spans="1:8" x14ac:dyDescent="0.25">
      <c r="A3312" s="127">
        <v>44834</v>
      </c>
      <c r="B3312" s="128" t="s">
        <v>31442</v>
      </c>
      <c r="C3312" s="194" t="s">
        <v>2166</v>
      </c>
      <c r="D3312" s="195">
        <v>9712.5</v>
      </c>
      <c r="E3312" s="196">
        <v>44834</v>
      </c>
      <c r="F3312" s="195">
        <v>9712.5</v>
      </c>
      <c r="G3312" s="197">
        <f>Tabla110[[#This Row],[Importe]]-Tabla110[[#This Row],[Pagado]]</f>
        <v>0</v>
      </c>
      <c r="H3312" s="194" t="s">
        <v>10</v>
      </c>
    </row>
    <row r="3313" spans="1:8" x14ac:dyDescent="0.25">
      <c r="A3313" s="127">
        <v>44834</v>
      </c>
      <c r="B3313" s="128" t="s">
        <v>31443</v>
      </c>
      <c r="C3313" s="194" t="s">
        <v>25517</v>
      </c>
      <c r="D3313" s="195">
        <v>3891.8</v>
      </c>
      <c r="E3313" s="196">
        <v>44834</v>
      </c>
      <c r="F3313" s="195">
        <v>3891.8</v>
      </c>
      <c r="G3313" s="197">
        <f>Tabla110[[#This Row],[Importe]]-Tabla110[[#This Row],[Pagado]]</f>
        <v>0</v>
      </c>
      <c r="H3313" s="194" t="s">
        <v>10</v>
      </c>
    </row>
    <row r="3314" spans="1:8" x14ac:dyDescent="0.25">
      <c r="A3314" s="127">
        <v>44834</v>
      </c>
      <c r="B3314" s="128" t="s">
        <v>31444</v>
      </c>
      <c r="C3314" s="194" t="s">
        <v>924</v>
      </c>
      <c r="D3314" s="195">
        <v>17714.2</v>
      </c>
      <c r="E3314" s="196">
        <v>44834</v>
      </c>
      <c r="F3314" s="195">
        <v>17714.2</v>
      </c>
      <c r="G3314" s="197">
        <f>Tabla110[[#This Row],[Importe]]-Tabla110[[#This Row],[Pagado]]</f>
        <v>0</v>
      </c>
      <c r="H3314" s="194" t="s">
        <v>10</v>
      </c>
    </row>
    <row r="3315" spans="1:8" x14ac:dyDescent="0.25">
      <c r="A3315" s="127">
        <v>44834</v>
      </c>
      <c r="B3315" s="128" t="s">
        <v>31445</v>
      </c>
      <c r="C3315" s="194" t="s">
        <v>149</v>
      </c>
      <c r="D3315" s="195">
        <v>2944.2</v>
      </c>
      <c r="E3315" s="196">
        <v>44834</v>
      </c>
      <c r="F3315" s="195">
        <v>2944.2</v>
      </c>
      <c r="G3315" s="197">
        <f>Tabla110[[#This Row],[Importe]]-Tabla110[[#This Row],[Pagado]]</f>
        <v>0</v>
      </c>
      <c r="H3315" s="194" t="s">
        <v>10</v>
      </c>
    </row>
    <row r="3316" spans="1:8" x14ac:dyDescent="0.25">
      <c r="A3316" s="127">
        <v>44834</v>
      </c>
      <c r="B3316" s="128" t="s">
        <v>31446</v>
      </c>
      <c r="C3316" s="194" t="s">
        <v>647</v>
      </c>
      <c r="D3316" s="195">
        <v>1708.4</v>
      </c>
      <c r="E3316" s="196">
        <v>44834</v>
      </c>
      <c r="F3316" s="195">
        <v>1708.4</v>
      </c>
      <c r="G3316" s="197">
        <f>Tabla110[[#This Row],[Importe]]-Tabla110[[#This Row],[Pagado]]</f>
        <v>0</v>
      </c>
      <c r="H3316" s="194" t="s">
        <v>10</v>
      </c>
    </row>
    <row r="3317" spans="1:8" x14ac:dyDescent="0.25">
      <c r="A3317" s="127">
        <v>44834</v>
      </c>
      <c r="B3317" s="128" t="s">
        <v>31447</v>
      </c>
      <c r="C3317" s="194" t="s">
        <v>31</v>
      </c>
      <c r="D3317" s="195">
        <v>631.79999999999995</v>
      </c>
      <c r="E3317" s="196">
        <v>44834</v>
      </c>
      <c r="F3317" s="195">
        <v>631.79999999999995</v>
      </c>
      <c r="G3317" s="197">
        <f>Tabla110[[#This Row],[Importe]]-Tabla110[[#This Row],[Pagado]]</f>
        <v>0</v>
      </c>
      <c r="H3317" s="194" t="s">
        <v>10</v>
      </c>
    </row>
    <row r="3318" spans="1:8" x14ac:dyDescent="0.25">
      <c r="A3318" s="127">
        <v>44834</v>
      </c>
      <c r="B3318" s="128" t="s">
        <v>31448</v>
      </c>
      <c r="C3318" s="194" t="s">
        <v>127</v>
      </c>
      <c r="D3318" s="195">
        <v>2227.3000000000002</v>
      </c>
      <c r="E3318" s="196">
        <v>44834</v>
      </c>
      <c r="F3318" s="195">
        <v>2227.3000000000002</v>
      </c>
      <c r="G3318" s="197">
        <f>Tabla110[[#This Row],[Importe]]-Tabla110[[#This Row],[Pagado]]</f>
        <v>0</v>
      </c>
      <c r="H3318" s="194" t="s">
        <v>10</v>
      </c>
    </row>
    <row r="3319" spans="1:8" x14ac:dyDescent="0.25">
      <c r="A3319" s="127">
        <v>44834</v>
      </c>
      <c r="B3319" s="128" t="s">
        <v>31449</v>
      </c>
      <c r="C3319" s="194" t="s">
        <v>129</v>
      </c>
      <c r="D3319" s="195">
        <v>1341.6</v>
      </c>
      <c r="E3319" s="196">
        <v>44834</v>
      </c>
      <c r="F3319" s="195">
        <v>1341.6</v>
      </c>
      <c r="G3319" s="197">
        <f>Tabla110[[#This Row],[Importe]]-Tabla110[[#This Row],[Pagado]]</f>
        <v>0</v>
      </c>
      <c r="H3319" s="194" t="s">
        <v>10</v>
      </c>
    </row>
    <row r="3320" spans="1:8" x14ac:dyDescent="0.25">
      <c r="A3320" s="127">
        <v>44834</v>
      </c>
      <c r="B3320" s="128" t="s">
        <v>31450</v>
      </c>
      <c r="C3320" s="194" t="s">
        <v>647</v>
      </c>
      <c r="D3320" s="195">
        <v>802.4</v>
      </c>
      <c r="E3320" s="196">
        <v>44834</v>
      </c>
      <c r="F3320" s="195">
        <v>802.4</v>
      </c>
      <c r="G3320" s="197">
        <f>Tabla110[[#This Row],[Importe]]-Tabla110[[#This Row],[Pagado]]</f>
        <v>0</v>
      </c>
      <c r="H3320" s="194" t="s">
        <v>10</v>
      </c>
    </row>
    <row r="3321" spans="1:8" x14ac:dyDescent="0.25">
      <c r="A3321" s="127">
        <v>44834</v>
      </c>
      <c r="B3321" s="128" t="s">
        <v>31451</v>
      </c>
      <c r="C3321" s="194" t="s">
        <v>142</v>
      </c>
      <c r="D3321" s="195">
        <v>101737.82</v>
      </c>
      <c r="E3321" s="196">
        <v>44868</v>
      </c>
      <c r="F3321" s="195">
        <v>101737.82</v>
      </c>
      <c r="G3321" s="197">
        <f>Tabla110[[#This Row],[Importe]]-Tabla110[[#This Row],[Pagado]]</f>
        <v>0</v>
      </c>
      <c r="H3321" s="194" t="s">
        <v>10</v>
      </c>
    </row>
    <row r="3322" spans="1:8" x14ac:dyDescent="0.25">
      <c r="A3322" s="127">
        <v>44834</v>
      </c>
      <c r="B3322" s="128" t="s">
        <v>31452</v>
      </c>
      <c r="C3322" s="194" t="s">
        <v>312</v>
      </c>
      <c r="D3322" s="195">
        <v>450</v>
      </c>
      <c r="E3322" s="196">
        <v>44834</v>
      </c>
      <c r="F3322" s="195">
        <v>450</v>
      </c>
      <c r="G3322" s="197">
        <f>Tabla110[[#This Row],[Importe]]-Tabla110[[#This Row],[Pagado]]</f>
        <v>0</v>
      </c>
      <c r="H3322" s="194" t="s">
        <v>10</v>
      </c>
    </row>
    <row r="3323" spans="1:8" x14ac:dyDescent="0.25">
      <c r="A3323" s="127">
        <v>44834</v>
      </c>
      <c r="B3323" s="128" t="s">
        <v>31453</v>
      </c>
      <c r="C3323" s="194" t="s">
        <v>198</v>
      </c>
      <c r="D3323" s="195">
        <v>5045.2</v>
      </c>
      <c r="E3323" s="196">
        <v>44834</v>
      </c>
      <c r="F3323" s="195">
        <v>5045.2</v>
      </c>
      <c r="G3323" s="197">
        <f>Tabla110[[#This Row],[Importe]]-Tabla110[[#This Row],[Pagado]]</f>
        <v>0</v>
      </c>
      <c r="H3323" s="194" t="s">
        <v>10</v>
      </c>
    </row>
    <row r="3324" spans="1:8" x14ac:dyDescent="0.25">
      <c r="A3324" s="127">
        <v>44834</v>
      </c>
      <c r="B3324" s="128" t="s">
        <v>31454</v>
      </c>
      <c r="C3324" s="194" t="s">
        <v>161</v>
      </c>
      <c r="D3324" s="195">
        <v>4027.5</v>
      </c>
      <c r="E3324" s="196">
        <v>44834</v>
      </c>
      <c r="F3324" s="195">
        <v>4027.5</v>
      </c>
      <c r="G3324" s="197">
        <f>Tabla110[[#This Row],[Importe]]-Tabla110[[#This Row],[Pagado]]</f>
        <v>0</v>
      </c>
      <c r="H3324" s="194" t="s">
        <v>10</v>
      </c>
    </row>
    <row r="3325" spans="1:8" x14ac:dyDescent="0.25">
      <c r="A3325" s="127">
        <v>44834</v>
      </c>
      <c r="B3325" s="128" t="s">
        <v>31455</v>
      </c>
      <c r="C3325" s="194" t="s">
        <v>27</v>
      </c>
      <c r="D3325" s="195">
        <v>2212</v>
      </c>
      <c r="E3325" s="196">
        <v>44834</v>
      </c>
      <c r="F3325" s="195">
        <v>2212</v>
      </c>
      <c r="G3325" s="197">
        <f>Tabla110[[#This Row],[Importe]]-Tabla110[[#This Row],[Pagado]]</f>
        <v>0</v>
      </c>
      <c r="H3325" s="194" t="s">
        <v>10</v>
      </c>
    </row>
    <row r="3326" spans="1:8" x14ac:dyDescent="0.25">
      <c r="A3326" s="127">
        <v>44834</v>
      </c>
      <c r="B3326" s="128" t="s">
        <v>31456</v>
      </c>
      <c r="C3326" s="194" t="s">
        <v>146</v>
      </c>
      <c r="D3326" s="195">
        <v>5320</v>
      </c>
      <c r="E3326" s="196">
        <v>44834</v>
      </c>
      <c r="F3326" s="195">
        <v>5320</v>
      </c>
      <c r="G3326" s="197">
        <f>Tabla110[[#This Row],[Importe]]-Tabla110[[#This Row],[Pagado]]</f>
        <v>0</v>
      </c>
      <c r="H3326" s="194" t="s">
        <v>10</v>
      </c>
    </row>
    <row r="3327" spans="1:8" x14ac:dyDescent="0.25">
      <c r="A3327" s="127">
        <v>44834</v>
      </c>
      <c r="B3327" s="128" t="s">
        <v>31457</v>
      </c>
      <c r="C3327" s="194" t="s">
        <v>196</v>
      </c>
      <c r="D3327" s="195">
        <v>171098.38</v>
      </c>
      <c r="E3327" s="196">
        <v>44834</v>
      </c>
      <c r="F3327" s="195">
        <v>171098.38</v>
      </c>
      <c r="G3327" s="197">
        <f>Tabla110[[#This Row],[Importe]]-Tabla110[[#This Row],[Pagado]]</f>
        <v>0</v>
      </c>
      <c r="H3327" s="194" t="s">
        <v>10</v>
      </c>
    </row>
    <row r="3328" spans="1:8" x14ac:dyDescent="0.25">
      <c r="A3328" s="127">
        <v>44834</v>
      </c>
      <c r="B3328" s="128" t="s">
        <v>31458</v>
      </c>
      <c r="C3328" s="194" t="s">
        <v>49</v>
      </c>
      <c r="D3328" s="195">
        <v>4250.3</v>
      </c>
      <c r="E3328" s="196">
        <v>44834</v>
      </c>
      <c r="F3328" s="195">
        <v>4250.3</v>
      </c>
      <c r="G3328" s="197">
        <f>Tabla110[[#This Row],[Importe]]-Tabla110[[#This Row],[Pagado]]</f>
        <v>0</v>
      </c>
      <c r="H3328" s="194" t="s">
        <v>10</v>
      </c>
    </row>
    <row r="3329" spans="1:8" x14ac:dyDescent="0.25">
      <c r="A3329" s="127">
        <v>44834</v>
      </c>
      <c r="B3329" s="128" t="s">
        <v>31459</v>
      </c>
      <c r="C3329" s="194" t="s">
        <v>670</v>
      </c>
      <c r="D3329" s="195">
        <v>4117.5</v>
      </c>
      <c r="E3329" s="196">
        <v>44834</v>
      </c>
      <c r="F3329" s="195">
        <v>4117.5</v>
      </c>
      <c r="G3329" s="197">
        <f>Tabla110[[#This Row],[Importe]]-Tabla110[[#This Row],[Pagado]]</f>
        <v>0</v>
      </c>
      <c r="H3329" s="194" t="s">
        <v>10</v>
      </c>
    </row>
    <row r="3330" spans="1:8" x14ac:dyDescent="0.25">
      <c r="A3330" s="127">
        <v>44834</v>
      </c>
      <c r="B3330" s="128" t="s">
        <v>31460</v>
      </c>
      <c r="C3330" s="194" t="s">
        <v>392</v>
      </c>
      <c r="D3330" s="195">
        <v>26855.4</v>
      </c>
      <c r="E3330" s="196">
        <v>44842</v>
      </c>
      <c r="F3330" s="195">
        <v>26855.4</v>
      </c>
      <c r="G3330" s="197">
        <f>Tabla110[[#This Row],[Importe]]-Tabla110[[#This Row],[Pagado]]</f>
        <v>0</v>
      </c>
      <c r="H3330" s="194" t="s">
        <v>10</v>
      </c>
    </row>
    <row r="3331" spans="1:8" x14ac:dyDescent="0.25">
      <c r="A3331" s="127">
        <v>44834</v>
      </c>
      <c r="B3331" s="128" t="s">
        <v>31461</v>
      </c>
      <c r="C3331" s="194" t="s">
        <v>45</v>
      </c>
      <c r="D3331" s="195">
        <v>15015.8</v>
      </c>
      <c r="E3331" s="196">
        <v>44834</v>
      </c>
      <c r="F3331" s="195">
        <v>15015.8</v>
      </c>
      <c r="G3331" s="197">
        <f>Tabla110[[#This Row],[Importe]]-Tabla110[[#This Row],[Pagado]]</f>
        <v>0</v>
      </c>
      <c r="H3331" s="194" t="s">
        <v>10</v>
      </c>
    </row>
    <row r="3332" spans="1:8" x14ac:dyDescent="0.25">
      <c r="A3332" s="127">
        <v>44834</v>
      </c>
      <c r="B3332" s="128" t="s">
        <v>31462</v>
      </c>
      <c r="C3332" s="194" t="s">
        <v>51</v>
      </c>
      <c r="D3332" s="195">
        <v>4615</v>
      </c>
      <c r="E3332" s="196">
        <v>44834</v>
      </c>
      <c r="F3332" s="195">
        <v>4615</v>
      </c>
      <c r="G3332" s="197">
        <f>Tabla110[[#This Row],[Importe]]-Tabla110[[#This Row],[Pagado]]</f>
        <v>0</v>
      </c>
      <c r="H3332" s="194" t="s">
        <v>10</v>
      </c>
    </row>
    <row r="3333" spans="1:8" x14ac:dyDescent="0.25">
      <c r="A3333" s="127">
        <v>44834</v>
      </c>
      <c r="B3333" s="128" t="s">
        <v>31463</v>
      </c>
      <c r="C3333" s="194" t="s">
        <v>15520</v>
      </c>
      <c r="D3333" s="195">
        <v>0</v>
      </c>
      <c r="E3333" s="199" t="s">
        <v>189</v>
      </c>
      <c r="F3333" s="195">
        <v>0</v>
      </c>
      <c r="G3333" s="197">
        <f>Tabla110[[#This Row],[Importe]]-Tabla110[[#This Row],[Pagado]]</f>
        <v>0</v>
      </c>
      <c r="H3333" s="194" t="s">
        <v>189</v>
      </c>
    </row>
    <row r="3334" spans="1:8" x14ac:dyDescent="0.25">
      <c r="A3334" s="127">
        <v>44834</v>
      </c>
      <c r="B3334" s="128" t="s">
        <v>31464</v>
      </c>
      <c r="C3334" s="194" t="s">
        <v>31</v>
      </c>
      <c r="D3334" s="195">
        <v>2601.5</v>
      </c>
      <c r="E3334" s="196">
        <v>44834</v>
      </c>
      <c r="F3334" s="195">
        <v>2601.5</v>
      </c>
      <c r="G3334" s="197">
        <f>Tabla110[[#This Row],[Importe]]-Tabla110[[#This Row],[Pagado]]</f>
        <v>0</v>
      </c>
      <c r="H3334" s="194" t="s">
        <v>10</v>
      </c>
    </row>
    <row r="3335" spans="1:8" x14ac:dyDescent="0.25">
      <c r="A3335" s="127">
        <v>44834</v>
      </c>
      <c r="B3335" s="128" t="s">
        <v>31465</v>
      </c>
      <c r="C3335" s="194" t="s">
        <v>214</v>
      </c>
      <c r="D3335" s="195">
        <v>2325</v>
      </c>
      <c r="E3335" s="196">
        <v>44834</v>
      </c>
      <c r="F3335" s="195">
        <v>2325</v>
      </c>
      <c r="G3335" s="197">
        <f>Tabla110[[#This Row],[Importe]]-Tabla110[[#This Row],[Pagado]]</f>
        <v>0</v>
      </c>
      <c r="H3335" s="194" t="s">
        <v>10</v>
      </c>
    </row>
    <row r="3336" spans="1:8" x14ac:dyDescent="0.25">
      <c r="A3336" s="127">
        <v>44834</v>
      </c>
      <c r="B3336" s="128" t="s">
        <v>31466</v>
      </c>
      <c r="C3336" s="194" t="s">
        <v>206</v>
      </c>
      <c r="D3336" s="195">
        <v>44106.8</v>
      </c>
      <c r="E3336" s="196">
        <v>44838</v>
      </c>
      <c r="F3336" s="195">
        <v>44106.8</v>
      </c>
      <c r="G3336" s="197">
        <f>Tabla110[[#This Row],[Importe]]-Tabla110[[#This Row],[Pagado]]</f>
        <v>0</v>
      </c>
      <c r="H3336" s="194" t="s">
        <v>10</v>
      </c>
    </row>
    <row r="3337" spans="1:8" x14ac:dyDescent="0.25">
      <c r="A3337" s="127">
        <v>44834</v>
      </c>
      <c r="B3337" s="128" t="s">
        <v>31467</v>
      </c>
      <c r="C3337" s="194" t="s">
        <v>31</v>
      </c>
      <c r="D3337" s="195">
        <v>1387.5</v>
      </c>
      <c r="E3337" s="196">
        <v>44834</v>
      </c>
      <c r="F3337" s="195">
        <v>1387.5</v>
      </c>
      <c r="G3337" s="197">
        <f>Tabla110[[#This Row],[Importe]]-Tabla110[[#This Row],[Pagado]]</f>
        <v>0</v>
      </c>
      <c r="H3337" s="194" t="s">
        <v>10</v>
      </c>
    </row>
    <row r="3338" spans="1:8" x14ac:dyDescent="0.25">
      <c r="A3338" s="127">
        <v>44834</v>
      </c>
      <c r="B3338" s="128" t="s">
        <v>31468</v>
      </c>
      <c r="C3338" s="194" t="s">
        <v>35</v>
      </c>
      <c r="D3338" s="195">
        <v>2628.3</v>
      </c>
      <c r="E3338" s="196">
        <v>44834</v>
      </c>
      <c r="F3338" s="195">
        <v>2628.3</v>
      </c>
      <c r="G3338" s="197">
        <f>Tabla110[[#This Row],[Importe]]-Tabla110[[#This Row],[Pagado]]</f>
        <v>0</v>
      </c>
      <c r="H3338" s="194" t="s">
        <v>10</v>
      </c>
    </row>
    <row r="3339" spans="1:8" x14ac:dyDescent="0.25">
      <c r="A3339" s="127">
        <v>44834</v>
      </c>
      <c r="B3339" s="128" t="s">
        <v>31469</v>
      </c>
      <c r="C3339" s="194" t="s">
        <v>218</v>
      </c>
      <c r="D3339" s="195">
        <v>33600</v>
      </c>
      <c r="E3339" s="196">
        <v>44838</v>
      </c>
      <c r="F3339" s="195">
        <v>33600</v>
      </c>
      <c r="G3339" s="197">
        <f>Tabla110[[#This Row],[Importe]]-Tabla110[[#This Row],[Pagado]]</f>
        <v>0</v>
      </c>
      <c r="H3339" s="194" t="s">
        <v>10</v>
      </c>
    </row>
    <row r="3340" spans="1:8" x14ac:dyDescent="0.25">
      <c r="A3340" s="127">
        <v>44834</v>
      </c>
      <c r="B3340" s="128" t="s">
        <v>31470</v>
      </c>
      <c r="C3340" s="194" t="s">
        <v>1676</v>
      </c>
      <c r="D3340" s="195">
        <v>4065</v>
      </c>
      <c r="E3340" s="196">
        <v>44834</v>
      </c>
      <c r="F3340" s="195">
        <v>4065</v>
      </c>
      <c r="G3340" s="197">
        <f>Tabla110[[#This Row],[Importe]]-Tabla110[[#This Row],[Pagado]]</f>
        <v>0</v>
      </c>
      <c r="H3340" s="194" t="s">
        <v>10</v>
      </c>
    </row>
    <row r="3341" spans="1:8" x14ac:dyDescent="0.25">
      <c r="A3341" s="127">
        <v>44834</v>
      </c>
      <c r="B3341" s="128" t="s">
        <v>31471</v>
      </c>
      <c r="C3341" s="194" t="s">
        <v>698</v>
      </c>
      <c r="D3341" s="195">
        <v>10662.8</v>
      </c>
      <c r="E3341" s="196">
        <v>44834</v>
      </c>
      <c r="F3341" s="195">
        <v>10662.8</v>
      </c>
      <c r="G3341" s="197">
        <f>Tabla110[[#This Row],[Importe]]-Tabla110[[#This Row],[Pagado]]</f>
        <v>0</v>
      </c>
      <c r="H3341" s="194" t="s">
        <v>10</v>
      </c>
    </row>
    <row r="3342" spans="1:8" x14ac:dyDescent="0.25">
      <c r="A3342" s="127">
        <v>44834</v>
      </c>
      <c r="B3342" s="128" t="s">
        <v>31472</v>
      </c>
      <c r="C3342" s="194" t="s">
        <v>365</v>
      </c>
      <c r="D3342" s="195">
        <v>1400.8</v>
      </c>
      <c r="E3342" s="196">
        <v>44834</v>
      </c>
      <c r="F3342" s="195">
        <v>1400.8</v>
      </c>
      <c r="G3342" s="197">
        <f>Tabla110[[#This Row],[Importe]]-Tabla110[[#This Row],[Pagado]]</f>
        <v>0</v>
      </c>
      <c r="H3342" s="194" t="s">
        <v>10</v>
      </c>
    </row>
    <row r="3343" spans="1:8" x14ac:dyDescent="0.25">
      <c r="A3343" s="127">
        <v>44834</v>
      </c>
      <c r="B3343" s="128" t="s">
        <v>31473</v>
      </c>
      <c r="C3343" s="194" t="s">
        <v>135</v>
      </c>
      <c r="D3343" s="195">
        <v>1326</v>
      </c>
      <c r="E3343" s="196">
        <v>44834</v>
      </c>
      <c r="F3343" s="195">
        <v>1326</v>
      </c>
      <c r="G3343" s="197">
        <f>Tabla110[[#This Row],[Importe]]-Tabla110[[#This Row],[Pagado]]</f>
        <v>0</v>
      </c>
      <c r="H3343" s="194" t="s">
        <v>10</v>
      </c>
    </row>
    <row r="3344" spans="1:8" x14ac:dyDescent="0.25">
      <c r="A3344" s="127">
        <v>44834</v>
      </c>
      <c r="B3344" s="128" t="s">
        <v>31474</v>
      </c>
      <c r="C3344" s="194" t="s">
        <v>212</v>
      </c>
      <c r="D3344" s="195">
        <v>26215.200000000001</v>
      </c>
      <c r="E3344" s="196">
        <v>44838</v>
      </c>
      <c r="F3344" s="195">
        <v>26215.200000000001</v>
      </c>
      <c r="G3344" s="197">
        <f>Tabla110[[#This Row],[Importe]]-Tabla110[[#This Row],[Pagado]]</f>
        <v>0</v>
      </c>
      <c r="H3344" s="194" t="s">
        <v>10</v>
      </c>
    </row>
    <row r="3345" spans="1:8" x14ac:dyDescent="0.25">
      <c r="A3345" s="127">
        <v>44834</v>
      </c>
      <c r="B3345" s="128" t="s">
        <v>31475</v>
      </c>
      <c r="C3345" s="194" t="s">
        <v>154</v>
      </c>
      <c r="D3345" s="195">
        <v>55951.5</v>
      </c>
      <c r="E3345" s="196">
        <v>44840</v>
      </c>
      <c r="F3345" s="195">
        <v>55951.5</v>
      </c>
      <c r="G3345" s="197">
        <f>Tabla110[[#This Row],[Importe]]-Tabla110[[#This Row],[Pagado]]</f>
        <v>0</v>
      </c>
      <c r="H3345" s="194" t="s">
        <v>10</v>
      </c>
    </row>
    <row r="3346" spans="1:8" x14ac:dyDescent="0.25">
      <c r="A3346" s="127">
        <v>44834</v>
      </c>
      <c r="B3346" s="128" t="s">
        <v>31476</v>
      </c>
      <c r="C3346" s="194" t="s">
        <v>29</v>
      </c>
      <c r="D3346" s="195">
        <v>4875</v>
      </c>
      <c r="E3346" s="196">
        <v>44834</v>
      </c>
      <c r="F3346" s="195">
        <v>4875</v>
      </c>
      <c r="G3346" s="197">
        <f>Tabla110[[#This Row],[Importe]]-Tabla110[[#This Row],[Pagado]]</f>
        <v>0</v>
      </c>
      <c r="H3346" s="194" t="s">
        <v>10</v>
      </c>
    </row>
    <row r="3347" spans="1:8" x14ac:dyDescent="0.25">
      <c r="A3347" s="127">
        <v>44834</v>
      </c>
      <c r="B3347" s="128" t="s">
        <v>31477</v>
      </c>
      <c r="C3347" s="194" t="s">
        <v>31</v>
      </c>
      <c r="D3347" s="195">
        <v>2188.9</v>
      </c>
      <c r="E3347" s="196">
        <v>44834</v>
      </c>
      <c r="F3347" s="195">
        <v>2188.9</v>
      </c>
      <c r="G3347" s="197">
        <f>Tabla110[[#This Row],[Importe]]-Tabla110[[#This Row],[Pagado]]</f>
        <v>0</v>
      </c>
      <c r="H3347" s="194" t="s">
        <v>10</v>
      </c>
    </row>
    <row r="3348" spans="1:8" x14ac:dyDescent="0.25">
      <c r="A3348" s="127">
        <v>44834</v>
      </c>
      <c r="B3348" s="128" t="s">
        <v>31478</v>
      </c>
      <c r="C3348" s="194" t="s">
        <v>53</v>
      </c>
      <c r="D3348" s="195">
        <v>1497.6</v>
      </c>
      <c r="E3348" s="196">
        <v>44834</v>
      </c>
      <c r="F3348" s="195">
        <v>1497.6</v>
      </c>
      <c r="G3348" s="197">
        <f>Tabla110[[#This Row],[Importe]]-Tabla110[[#This Row],[Pagado]]</f>
        <v>0</v>
      </c>
      <c r="H3348" s="194" t="s">
        <v>10</v>
      </c>
    </row>
    <row r="3349" spans="1:8" x14ac:dyDescent="0.25">
      <c r="A3349" s="127">
        <v>44834</v>
      </c>
      <c r="B3349" s="128" t="s">
        <v>31479</v>
      </c>
      <c r="C3349" s="194" t="s">
        <v>53</v>
      </c>
      <c r="D3349" s="195">
        <v>189</v>
      </c>
      <c r="E3349" s="196">
        <v>44834</v>
      </c>
      <c r="F3349" s="195">
        <v>189</v>
      </c>
      <c r="G3349" s="197">
        <f>Tabla110[[#This Row],[Importe]]-Tabla110[[#This Row],[Pagado]]</f>
        <v>0</v>
      </c>
      <c r="H3349" s="194" t="s">
        <v>10</v>
      </c>
    </row>
    <row r="3350" spans="1:8" x14ac:dyDescent="0.25">
      <c r="A3350" s="127">
        <v>44834</v>
      </c>
      <c r="B3350" s="128" t="s">
        <v>31480</v>
      </c>
      <c r="C3350" s="194" t="s">
        <v>1003</v>
      </c>
      <c r="D3350" s="195">
        <v>8818.9</v>
      </c>
      <c r="E3350" s="196">
        <v>44835</v>
      </c>
      <c r="F3350" s="195">
        <v>8818.9</v>
      </c>
      <c r="G3350" s="197">
        <f>Tabla110[[#This Row],[Importe]]-Tabla110[[#This Row],[Pagado]]</f>
        <v>0</v>
      </c>
      <c r="H3350" s="194" t="s">
        <v>10</v>
      </c>
    </row>
    <row r="3351" spans="1:8" x14ac:dyDescent="0.25">
      <c r="A3351" s="127">
        <v>44834</v>
      </c>
      <c r="B3351" s="128" t="s">
        <v>31481</v>
      </c>
      <c r="C3351" s="194" t="s">
        <v>382</v>
      </c>
      <c r="D3351" s="195">
        <v>7554.4</v>
      </c>
      <c r="E3351" s="196">
        <v>44834</v>
      </c>
      <c r="F3351" s="195">
        <v>7554.4</v>
      </c>
      <c r="G3351" s="197">
        <f>Tabla110[[#This Row],[Importe]]-Tabla110[[#This Row],[Pagado]]</f>
        <v>0</v>
      </c>
      <c r="H3351" s="194" t="s">
        <v>10</v>
      </c>
    </row>
    <row r="3352" spans="1:8" x14ac:dyDescent="0.25">
      <c r="A3352" s="127">
        <v>44834</v>
      </c>
      <c r="B3352" s="128" t="s">
        <v>31482</v>
      </c>
      <c r="C3352" s="194" t="s">
        <v>24</v>
      </c>
      <c r="D3352" s="195">
        <v>812.6</v>
      </c>
      <c r="E3352" s="196">
        <v>44834</v>
      </c>
      <c r="F3352" s="195">
        <v>812.6</v>
      </c>
      <c r="G3352" s="197">
        <f>Tabla110[[#This Row],[Importe]]-Tabla110[[#This Row],[Pagado]]</f>
        <v>0</v>
      </c>
      <c r="H3352" s="194" t="s">
        <v>10</v>
      </c>
    </row>
    <row r="3353" spans="1:8" x14ac:dyDescent="0.25">
      <c r="A3353" s="127">
        <v>44834</v>
      </c>
      <c r="B3353" s="128" t="s">
        <v>31483</v>
      </c>
      <c r="C3353" s="194" t="s">
        <v>31</v>
      </c>
      <c r="D3353" s="195">
        <v>5933.4</v>
      </c>
      <c r="E3353" s="196">
        <v>44834</v>
      </c>
      <c r="F3353" s="195">
        <v>5933.4</v>
      </c>
      <c r="G3353" s="197">
        <f>Tabla110[[#This Row],[Importe]]-Tabla110[[#This Row],[Pagado]]</f>
        <v>0</v>
      </c>
      <c r="H3353" s="194" t="s">
        <v>10</v>
      </c>
    </row>
    <row r="3354" spans="1:8" x14ac:dyDescent="0.25">
      <c r="A3354" s="127">
        <v>44834</v>
      </c>
      <c r="B3354" s="128" t="s">
        <v>31484</v>
      </c>
      <c r="C3354" s="194" t="s">
        <v>31</v>
      </c>
      <c r="D3354" s="195">
        <v>1458.4</v>
      </c>
      <c r="E3354" s="196">
        <v>44834</v>
      </c>
      <c r="F3354" s="195">
        <v>1458.4</v>
      </c>
      <c r="G3354" s="197">
        <f>Tabla110[[#This Row],[Importe]]-Tabla110[[#This Row],[Pagado]]</f>
        <v>0</v>
      </c>
      <c r="H3354" s="194" t="s">
        <v>10</v>
      </c>
    </row>
    <row r="3355" spans="1:8" x14ac:dyDescent="0.25">
      <c r="A3355" s="127">
        <v>44834</v>
      </c>
      <c r="B3355" s="128" t="s">
        <v>31485</v>
      </c>
      <c r="C3355" s="194" t="s">
        <v>31</v>
      </c>
      <c r="D3355" s="195">
        <v>1730</v>
      </c>
      <c r="E3355" s="196">
        <v>44834</v>
      </c>
      <c r="F3355" s="195">
        <v>1730</v>
      </c>
      <c r="G3355" s="197">
        <f>Tabla110[[#This Row],[Importe]]-Tabla110[[#This Row],[Pagado]]</f>
        <v>0</v>
      </c>
      <c r="H3355" s="194" t="s">
        <v>10</v>
      </c>
    </row>
    <row r="3356" spans="1:8" x14ac:dyDescent="0.25">
      <c r="A3356" s="127">
        <v>44834</v>
      </c>
      <c r="B3356" s="128" t="s">
        <v>31486</v>
      </c>
      <c r="C3356" s="194" t="s">
        <v>133</v>
      </c>
      <c r="D3356" s="195">
        <v>15200</v>
      </c>
      <c r="E3356" s="196">
        <v>44835</v>
      </c>
      <c r="F3356" s="195">
        <v>15200</v>
      </c>
      <c r="G3356" s="197">
        <f>Tabla110[[#This Row],[Importe]]-Tabla110[[#This Row],[Pagado]]</f>
        <v>0</v>
      </c>
      <c r="H3356" s="194" t="s">
        <v>10</v>
      </c>
    </row>
    <row r="3357" spans="1:8" x14ac:dyDescent="0.25">
      <c r="A3357" s="127">
        <v>44834</v>
      </c>
      <c r="B3357" s="128" t="s">
        <v>31487</v>
      </c>
      <c r="C3357" s="194" t="s">
        <v>9827</v>
      </c>
      <c r="D3357" s="195">
        <v>4301.2</v>
      </c>
      <c r="E3357" s="196">
        <v>44834</v>
      </c>
      <c r="F3357" s="195">
        <v>4301.2</v>
      </c>
      <c r="G3357" s="197">
        <f>Tabla110[[#This Row],[Importe]]-Tabla110[[#This Row],[Pagado]]</f>
        <v>0</v>
      </c>
      <c r="H3357" s="194" t="s">
        <v>10</v>
      </c>
    </row>
    <row r="3358" spans="1:8" x14ac:dyDescent="0.25">
      <c r="A3358" s="127">
        <v>44834</v>
      </c>
      <c r="B3358" s="128" t="s">
        <v>31488</v>
      </c>
      <c r="C3358" s="194" t="s">
        <v>233</v>
      </c>
      <c r="D3358" s="195">
        <v>5775</v>
      </c>
      <c r="E3358" s="196">
        <v>44834</v>
      </c>
      <c r="F3358" s="195">
        <v>5775</v>
      </c>
      <c r="G3358" s="197">
        <f>Tabla110[[#This Row],[Importe]]-Tabla110[[#This Row],[Pagado]]</f>
        <v>0</v>
      </c>
      <c r="H3358" s="194" t="s">
        <v>10</v>
      </c>
    </row>
    <row r="3359" spans="1:8" x14ac:dyDescent="0.25">
      <c r="A3359" s="127">
        <v>44834</v>
      </c>
      <c r="B3359" s="128" t="s">
        <v>31489</v>
      </c>
      <c r="C3359" s="194" t="s">
        <v>67</v>
      </c>
      <c r="D3359" s="195">
        <v>12698.2</v>
      </c>
      <c r="E3359" s="196">
        <v>44834</v>
      </c>
      <c r="F3359" s="195">
        <v>12698.2</v>
      </c>
      <c r="G3359" s="197">
        <f>Tabla110[[#This Row],[Importe]]-Tabla110[[#This Row],[Pagado]]</f>
        <v>0</v>
      </c>
      <c r="H3359" s="194" t="s">
        <v>10</v>
      </c>
    </row>
    <row r="3360" spans="1:8" x14ac:dyDescent="0.25">
      <c r="A3360" s="127">
        <v>44834</v>
      </c>
      <c r="B3360" s="128" t="s">
        <v>31490</v>
      </c>
      <c r="C3360" s="194" t="s">
        <v>31</v>
      </c>
      <c r="D3360" s="195">
        <v>2373.6</v>
      </c>
      <c r="E3360" s="196">
        <v>44834</v>
      </c>
      <c r="F3360" s="195">
        <v>2373.6</v>
      </c>
      <c r="G3360" s="197">
        <f>Tabla110[[#This Row],[Importe]]-Tabla110[[#This Row],[Pagado]]</f>
        <v>0</v>
      </c>
      <c r="H3360" s="194" t="s">
        <v>10</v>
      </c>
    </row>
    <row r="3361" spans="1:8" x14ac:dyDescent="0.25">
      <c r="A3361" s="127">
        <v>44834</v>
      </c>
      <c r="B3361" s="128" t="s">
        <v>31491</v>
      </c>
      <c r="C3361" s="194" t="s">
        <v>994</v>
      </c>
      <c r="D3361" s="195">
        <v>3156.5</v>
      </c>
      <c r="E3361" s="196">
        <v>44834</v>
      </c>
      <c r="F3361" s="195">
        <v>3156.5</v>
      </c>
      <c r="G3361" s="197">
        <f>Tabla110[[#This Row],[Importe]]-Tabla110[[#This Row],[Pagado]]</f>
        <v>0</v>
      </c>
      <c r="H3361" s="194" t="s">
        <v>10</v>
      </c>
    </row>
    <row r="3362" spans="1:8" x14ac:dyDescent="0.25">
      <c r="A3362" s="127">
        <v>44834</v>
      </c>
      <c r="B3362" s="128" t="s">
        <v>31492</v>
      </c>
      <c r="C3362" s="194" t="s">
        <v>31</v>
      </c>
      <c r="D3362" s="195">
        <v>833</v>
      </c>
      <c r="E3362" s="196">
        <v>44834</v>
      </c>
      <c r="F3362" s="195">
        <v>833</v>
      </c>
      <c r="G3362" s="197">
        <f>Tabla110[[#This Row],[Importe]]-Tabla110[[#This Row],[Pagado]]</f>
        <v>0</v>
      </c>
      <c r="H3362" s="194" t="s">
        <v>10</v>
      </c>
    </row>
    <row r="3363" spans="1:8" x14ac:dyDescent="0.25">
      <c r="A3363" s="127">
        <v>44834</v>
      </c>
      <c r="B3363" s="128" t="s">
        <v>31493</v>
      </c>
      <c r="C3363" s="194" t="s">
        <v>1644</v>
      </c>
      <c r="D3363" s="195">
        <v>17076</v>
      </c>
      <c r="E3363" s="196">
        <v>44835</v>
      </c>
      <c r="F3363" s="195">
        <v>17076</v>
      </c>
      <c r="G3363" s="197">
        <f>Tabla110[[#This Row],[Importe]]-Tabla110[[#This Row],[Pagado]]</f>
        <v>0</v>
      </c>
      <c r="H3363" s="194" t="s">
        <v>10</v>
      </c>
    </row>
    <row r="3364" spans="1:8" ht="31.5" x14ac:dyDescent="0.25">
      <c r="A3364" s="127">
        <v>44834</v>
      </c>
      <c r="B3364" s="128" t="s">
        <v>31494</v>
      </c>
      <c r="C3364" s="194" t="s">
        <v>592</v>
      </c>
      <c r="D3364" s="195">
        <v>26701.5</v>
      </c>
      <c r="E3364" s="198" t="s">
        <v>31541</v>
      </c>
      <c r="F3364" s="195">
        <f>20701.5+6000</f>
        <v>26701.5</v>
      </c>
      <c r="G3364" s="197">
        <f>Tabla110[[#This Row],[Importe]]-Tabla110[[#This Row],[Pagado]]</f>
        <v>0</v>
      </c>
      <c r="H3364" s="194" t="s">
        <v>10</v>
      </c>
    </row>
    <row r="3365" spans="1:8" x14ac:dyDescent="0.25">
      <c r="A3365" s="127">
        <v>44834</v>
      </c>
      <c r="B3365" s="128" t="s">
        <v>31495</v>
      </c>
      <c r="C3365" s="194" t="s">
        <v>173</v>
      </c>
      <c r="D3365" s="195">
        <v>30150</v>
      </c>
      <c r="E3365" s="196">
        <v>44835</v>
      </c>
      <c r="F3365" s="195">
        <v>30150</v>
      </c>
      <c r="G3365" s="197">
        <f>Tabla110[[#This Row],[Importe]]-Tabla110[[#This Row],[Pagado]]</f>
        <v>0</v>
      </c>
      <c r="H3365" s="194" t="s">
        <v>10</v>
      </c>
    </row>
    <row r="3366" spans="1:8" x14ac:dyDescent="0.25">
      <c r="A3366" s="127">
        <v>44834</v>
      </c>
      <c r="B3366" s="128" t="s">
        <v>31496</v>
      </c>
      <c r="C3366" s="194" t="s">
        <v>133</v>
      </c>
      <c r="D3366" s="195">
        <v>6012</v>
      </c>
      <c r="E3366" s="196">
        <v>44835</v>
      </c>
      <c r="F3366" s="195">
        <v>6012</v>
      </c>
      <c r="G3366" s="197">
        <f>Tabla110[[#This Row],[Importe]]-Tabla110[[#This Row],[Pagado]]</f>
        <v>0</v>
      </c>
      <c r="H3366" s="194" t="s">
        <v>10</v>
      </c>
    </row>
    <row r="3367" spans="1:8" x14ac:dyDescent="0.25">
      <c r="A3367" s="127">
        <v>44834</v>
      </c>
      <c r="B3367" s="128" t="s">
        <v>31497</v>
      </c>
      <c r="C3367" s="194" t="s">
        <v>181</v>
      </c>
      <c r="D3367" s="195">
        <v>12050.6</v>
      </c>
      <c r="E3367" s="196">
        <v>44834</v>
      </c>
      <c r="F3367" s="195">
        <v>12050.6</v>
      </c>
      <c r="G3367" s="197">
        <f>Tabla110[[#This Row],[Importe]]-Tabla110[[#This Row],[Pagado]]</f>
        <v>0</v>
      </c>
      <c r="H3367" s="194" t="s">
        <v>10</v>
      </c>
    </row>
    <row r="3368" spans="1:8" x14ac:dyDescent="0.25">
      <c r="A3368" s="127">
        <v>44834</v>
      </c>
      <c r="B3368" s="128" t="s">
        <v>31498</v>
      </c>
      <c r="C3368" s="194" t="s">
        <v>175</v>
      </c>
      <c r="D3368" s="195">
        <v>7477.1</v>
      </c>
      <c r="E3368" s="196">
        <v>44834</v>
      </c>
      <c r="F3368" s="195">
        <v>7477.1</v>
      </c>
      <c r="G3368" s="197">
        <f>Tabla110[[#This Row],[Importe]]-Tabla110[[#This Row],[Pagado]]</f>
        <v>0</v>
      </c>
      <c r="H3368" s="194" t="s">
        <v>10</v>
      </c>
    </row>
    <row r="3369" spans="1:8" x14ac:dyDescent="0.25">
      <c r="A3369" s="127">
        <v>44834</v>
      </c>
      <c r="B3369" s="128" t="s">
        <v>31499</v>
      </c>
      <c r="C3369" s="194" t="s">
        <v>200</v>
      </c>
      <c r="D3369" s="195">
        <v>2977.5</v>
      </c>
      <c r="E3369" s="196">
        <v>44834</v>
      </c>
      <c r="F3369" s="195">
        <v>2977.5</v>
      </c>
      <c r="G3369" s="197">
        <f>Tabla110[[#This Row],[Importe]]-Tabla110[[#This Row],[Pagado]]</f>
        <v>0</v>
      </c>
      <c r="H3369" s="194" t="s">
        <v>10</v>
      </c>
    </row>
    <row r="3370" spans="1:8" x14ac:dyDescent="0.25">
      <c r="A3370" s="127">
        <v>44834</v>
      </c>
      <c r="B3370" s="128" t="s">
        <v>31500</v>
      </c>
      <c r="C3370" s="194" t="s">
        <v>149</v>
      </c>
      <c r="D3370" s="195">
        <v>1713.9</v>
      </c>
      <c r="E3370" s="196">
        <v>44834</v>
      </c>
      <c r="F3370" s="195">
        <v>1713.9</v>
      </c>
      <c r="G3370" s="197">
        <f>Tabla110[[#This Row],[Importe]]-Tabla110[[#This Row],[Pagado]]</f>
        <v>0</v>
      </c>
      <c r="H3370" s="194" t="s">
        <v>10</v>
      </c>
    </row>
    <row r="3371" spans="1:8" x14ac:dyDescent="0.25">
      <c r="A3371" s="127">
        <v>44834</v>
      </c>
      <c r="B3371" s="128" t="s">
        <v>31501</v>
      </c>
      <c r="C3371" s="194" t="s">
        <v>562</v>
      </c>
      <c r="D3371" s="195">
        <v>205</v>
      </c>
      <c r="E3371" s="196">
        <v>44834</v>
      </c>
      <c r="F3371" s="195">
        <v>205</v>
      </c>
      <c r="G3371" s="197">
        <f>Tabla110[[#This Row],[Importe]]-Tabla110[[#This Row],[Pagado]]</f>
        <v>0</v>
      </c>
      <c r="H3371" s="194" t="s">
        <v>10</v>
      </c>
    </row>
    <row r="3372" spans="1:8" x14ac:dyDescent="0.25">
      <c r="A3372" s="127">
        <v>44834</v>
      </c>
      <c r="B3372" s="128" t="s">
        <v>31502</v>
      </c>
      <c r="C3372" s="194" t="s">
        <v>849</v>
      </c>
      <c r="D3372" s="195">
        <v>4953.6000000000004</v>
      </c>
      <c r="E3372" s="196">
        <v>44834</v>
      </c>
      <c r="F3372" s="195">
        <v>4953.6000000000004</v>
      </c>
      <c r="G3372" s="197">
        <f>Tabla110[[#This Row],[Importe]]-Tabla110[[#This Row],[Pagado]]</f>
        <v>0</v>
      </c>
      <c r="H3372" s="194" t="s">
        <v>10</v>
      </c>
    </row>
    <row r="3373" spans="1:8" x14ac:dyDescent="0.25">
      <c r="A3373" s="127">
        <v>44834</v>
      </c>
      <c r="B3373" s="128" t="s">
        <v>31503</v>
      </c>
      <c r="C3373" s="194" t="s">
        <v>226</v>
      </c>
      <c r="D3373" s="195">
        <v>10856</v>
      </c>
      <c r="E3373" s="196">
        <v>44834</v>
      </c>
      <c r="F3373" s="195">
        <v>10856</v>
      </c>
      <c r="G3373" s="197">
        <f>Tabla110[[#This Row],[Importe]]-Tabla110[[#This Row],[Pagado]]</f>
        <v>0</v>
      </c>
      <c r="H3373" s="194" t="s">
        <v>10</v>
      </c>
    </row>
    <row r="3374" spans="1:8" x14ac:dyDescent="0.25">
      <c r="A3374" s="127">
        <v>44834</v>
      </c>
      <c r="B3374" s="128" t="s">
        <v>31504</v>
      </c>
      <c r="C3374" s="194" t="s">
        <v>244</v>
      </c>
      <c r="D3374" s="195">
        <v>2415.6</v>
      </c>
      <c r="E3374" s="196">
        <v>44834</v>
      </c>
      <c r="F3374" s="195">
        <v>2415.6</v>
      </c>
      <c r="G3374" s="197">
        <f>Tabla110[[#This Row],[Importe]]-Tabla110[[#This Row],[Pagado]]</f>
        <v>0</v>
      </c>
      <c r="H3374" s="194" t="s">
        <v>10</v>
      </c>
    </row>
    <row r="3375" spans="1:8" x14ac:dyDescent="0.25">
      <c r="A3375" s="127">
        <v>44834</v>
      </c>
      <c r="B3375" s="128" t="s">
        <v>31505</v>
      </c>
      <c r="C3375" s="194" t="s">
        <v>107</v>
      </c>
      <c r="D3375" s="195">
        <v>11459.2</v>
      </c>
      <c r="E3375" s="196">
        <v>44834</v>
      </c>
      <c r="F3375" s="195">
        <v>11459.2</v>
      </c>
      <c r="G3375" s="197">
        <f>Tabla110[[#This Row],[Importe]]-Tabla110[[#This Row],[Pagado]]</f>
        <v>0</v>
      </c>
      <c r="H3375" s="194" t="s">
        <v>10</v>
      </c>
    </row>
    <row r="3376" spans="1:8" x14ac:dyDescent="0.25">
      <c r="A3376" s="127">
        <v>44834</v>
      </c>
      <c r="B3376" s="128" t="s">
        <v>31506</v>
      </c>
      <c r="C3376" s="194" t="s">
        <v>475</v>
      </c>
      <c r="D3376" s="195">
        <v>7800</v>
      </c>
      <c r="E3376" s="196">
        <v>44835</v>
      </c>
      <c r="F3376" s="195">
        <v>7800</v>
      </c>
      <c r="G3376" s="197">
        <f>Tabla110[[#This Row],[Importe]]-Tabla110[[#This Row],[Pagado]]</f>
        <v>0</v>
      </c>
      <c r="H3376" s="194" t="s">
        <v>10</v>
      </c>
    </row>
    <row r="3377" spans="1:8" x14ac:dyDescent="0.25">
      <c r="A3377" s="127">
        <v>44834</v>
      </c>
      <c r="B3377" s="128" t="s">
        <v>31507</v>
      </c>
      <c r="C3377" s="194" t="s">
        <v>296</v>
      </c>
      <c r="D3377" s="195">
        <v>1346.7</v>
      </c>
      <c r="E3377" s="196">
        <v>44834</v>
      </c>
      <c r="F3377" s="195">
        <v>1346.7</v>
      </c>
      <c r="G3377" s="197">
        <f>Tabla110[[#This Row],[Importe]]-Tabla110[[#This Row],[Pagado]]</f>
        <v>0</v>
      </c>
      <c r="H3377" s="194" t="s">
        <v>10</v>
      </c>
    </row>
    <row r="3378" spans="1:8" x14ac:dyDescent="0.25">
      <c r="A3378" s="127">
        <v>44834</v>
      </c>
      <c r="B3378" s="128" t="s">
        <v>31508</v>
      </c>
      <c r="C3378" s="194" t="s">
        <v>56</v>
      </c>
      <c r="D3378" s="195">
        <v>8367.6</v>
      </c>
      <c r="E3378" s="196">
        <v>44834</v>
      </c>
      <c r="F3378" s="195">
        <v>8367.6</v>
      </c>
      <c r="G3378" s="197">
        <f>Tabla110[[#This Row],[Importe]]-Tabla110[[#This Row],[Pagado]]</f>
        <v>0</v>
      </c>
      <c r="H3378" s="194" t="s">
        <v>10</v>
      </c>
    </row>
    <row r="3379" spans="1:8" x14ac:dyDescent="0.25">
      <c r="A3379" s="127">
        <v>44834</v>
      </c>
      <c r="B3379" s="128" t="s">
        <v>31509</v>
      </c>
      <c r="C3379" s="194" t="s">
        <v>31</v>
      </c>
      <c r="D3379" s="195">
        <v>2121.6</v>
      </c>
      <c r="E3379" s="196">
        <v>44834</v>
      </c>
      <c r="F3379" s="195">
        <v>2121.6</v>
      </c>
      <c r="G3379" s="197">
        <f>Tabla110[[#This Row],[Importe]]-Tabla110[[#This Row],[Pagado]]</f>
        <v>0</v>
      </c>
      <c r="H3379" s="194" t="s">
        <v>10</v>
      </c>
    </row>
    <row r="3380" spans="1:8" x14ac:dyDescent="0.25">
      <c r="A3380" s="127">
        <v>44834</v>
      </c>
      <c r="B3380" s="128" t="s">
        <v>31510</v>
      </c>
      <c r="C3380" s="194" t="s">
        <v>28087</v>
      </c>
      <c r="D3380" s="195">
        <v>67322.509999999995</v>
      </c>
      <c r="E3380" s="196">
        <v>44835</v>
      </c>
      <c r="F3380" s="195">
        <v>67322.509999999995</v>
      </c>
      <c r="G3380" s="197">
        <f>Tabla110[[#This Row],[Importe]]-Tabla110[[#This Row],[Pagado]]</f>
        <v>0</v>
      </c>
      <c r="H3380" s="194" t="s">
        <v>10</v>
      </c>
    </row>
    <row r="3381" spans="1:8" x14ac:dyDescent="0.25">
      <c r="A3381" s="127">
        <v>44834</v>
      </c>
      <c r="B3381" s="128" t="s">
        <v>31511</v>
      </c>
      <c r="C3381" s="194" t="s">
        <v>612</v>
      </c>
      <c r="D3381" s="195">
        <v>960</v>
      </c>
      <c r="E3381" s="196">
        <v>44834</v>
      </c>
      <c r="F3381" s="195">
        <v>960</v>
      </c>
      <c r="G3381" s="197">
        <f>Tabla110[[#This Row],[Importe]]-Tabla110[[#This Row],[Pagado]]</f>
        <v>0</v>
      </c>
      <c r="H3381" s="194" t="s">
        <v>10</v>
      </c>
    </row>
    <row r="3382" spans="1:8" x14ac:dyDescent="0.25">
      <c r="A3382" s="127">
        <v>44834</v>
      </c>
      <c r="B3382" s="128" t="s">
        <v>31512</v>
      </c>
      <c r="C3382" s="194" t="s">
        <v>31</v>
      </c>
      <c r="D3382" s="195">
        <v>525</v>
      </c>
      <c r="E3382" s="196">
        <v>44834</v>
      </c>
      <c r="F3382" s="195">
        <v>525</v>
      </c>
      <c r="G3382" s="197">
        <f>Tabla110[[#This Row],[Importe]]-Tabla110[[#This Row],[Pagado]]</f>
        <v>0</v>
      </c>
      <c r="H3382" s="194" t="s">
        <v>10</v>
      </c>
    </row>
    <row r="3383" spans="1:8" x14ac:dyDescent="0.25">
      <c r="A3383" s="127">
        <v>44834</v>
      </c>
      <c r="B3383" s="128" t="s">
        <v>31513</v>
      </c>
      <c r="C3383" s="194" t="s">
        <v>1350</v>
      </c>
      <c r="D3383" s="195">
        <v>1125.2</v>
      </c>
      <c r="E3383" s="196">
        <v>44834</v>
      </c>
      <c r="F3383" s="195">
        <v>1125.2</v>
      </c>
      <c r="G3383" s="197">
        <f>Tabla110[[#This Row],[Importe]]-Tabla110[[#This Row],[Pagado]]</f>
        <v>0</v>
      </c>
      <c r="H3383" s="194" t="s">
        <v>10</v>
      </c>
    </row>
    <row r="3384" spans="1:8" x14ac:dyDescent="0.25">
      <c r="A3384" s="127">
        <v>44834</v>
      </c>
      <c r="B3384" s="128" t="s">
        <v>31514</v>
      </c>
      <c r="C3384" s="194" t="s">
        <v>10678</v>
      </c>
      <c r="D3384" s="195">
        <v>3618.2</v>
      </c>
      <c r="E3384" s="196">
        <v>44834</v>
      </c>
      <c r="F3384" s="195">
        <v>3618.2</v>
      </c>
      <c r="G3384" s="197">
        <f>Tabla110[[#This Row],[Importe]]-Tabla110[[#This Row],[Pagado]]</f>
        <v>0</v>
      </c>
      <c r="H3384" s="194" t="s">
        <v>10</v>
      </c>
    </row>
    <row r="3385" spans="1:8" x14ac:dyDescent="0.25">
      <c r="A3385" s="127">
        <v>44834</v>
      </c>
      <c r="B3385" s="128" t="s">
        <v>31515</v>
      </c>
      <c r="C3385" s="194" t="s">
        <v>31</v>
      </c>
      <c r="D3385" s="195">
        <v>540</v>
      </c>
      <c r="E3385" s="196">
        <v>44834</v>
      </c>
      <c r="F3385" s="195">
        <v>540</v>
      </c>
      <c r="G3385" s="197">
        <f>Tabla110[[#This Row],[Importe]]-Tabla110[[#This Row],[Pagado]]</f>
        <v>0</v>
      </c>
      <c r="H3385" s="194" t="s">
        <v>10</v>
      </c>
    </row>
    <row r="3386" spans="1:8" x14ac:dyDescent="0.25">
      <c r="A3386" s="127">
        <v>44834</v>
      </c>
      <c r="B3386" s="128" t="s">
        <v>31516</v>
      </c>
      <c r="C3386" s="194" t="s">
        <v>1378</v>
      </c>
      <c r="D3386" s="195">
        <v>33659.800000000003</v>
      </c>
      <c r="E3386" s="196">
        <v>44835</v>
      </c>
      <c r="F3386" s="195">
        <v>33659.800000000003</v>
      </c>
      <c r="G3386" s="197">
        <f>Tabla110[[#This Row],[Importe]]-Tabla110[[#This Row],[Pagado]]</f>
        <v>0</v>
      </c>
      <c r="H3386" s="194" t="s">
        <v>10</v>
      </c>
    </row>
    <row r="3387" spans="1:8" x14ac:dyDescent="0.25">
      <c r="A3387" s="127">
        <v>44834</v>
      </c>
      <c r="B3387" s="128" t="s">
        <v>31517</v>
      </c>
      <c r="C3387" s="194" t="s">
        <v>9</v>
      </c>
      <c r="D3387" s="195">
        <v>2357.4</v>
      </c>
      <c r="E3387" s="196">
        <v>44834</v>
      </c>
      <c r="F3387" s="195">
        <v>2357.4</v>
      </c>
      <c r="G3387" s="197">
        <f>Tabla110[[#This Row],[Importe]]-Tabla110[[#This Row],[Pagado]]</f>
        <v>0</v>
      </c>
      <c r="H3387" s="194" t="s">
        <v>10</v>
      </c>
    </row>
    <row r="3388" spans="1:8" x14ac:dyDescent="0.25">
      <c r="A3388" s="127">
        <v>44834</v>
      </c>
      <c r="B3388" s="128" t="s">
        <v>31518</v>
      </c>
      <c r="C3388" s="194" t="s">
        <v>31</v>
      </c>
      <c r="D3388" s="195">
        <v>1295.8</v>
      </c>
      <c r="E3388" s="196">
        <v>44834</v>
      </c>
      <c r="F3388" s="195">
        <v>1295.8</v>
      </c>
      <c r="G3388" s="197">
        <f>Tabla110[[#This Row],[Importe]]-Tabla110[[#This Row],[Pagado]]</f>
        <v>0</v>
      </c>
      <c r="H3388" s="194" t="s">
        <v>10</v>
      </c>
    </row>
    <row r="3389" spans="1:8" x14ac:dyDescent="0.25">
      <c r="A3389" s="127">
        <v>44834</v>
      </c>
      <c r="B3389" s="128" t="s">
        <v>31519</v>
      </c>
      <c r="C3389" s="194" t="s">
        <v>284</v>
      </c>
      <c r="D3389" s="195">
        <v>13950</v>
      </c>
      <c r="E3389" s="196">
        <v>44835</v>
      </c>
      <c r="F3389" s="195">
        <v>13950</v>
      </c>
      <c r="G3389" s="197">
        <f>Tabla110[[#This Row],[Importe]]-Tabla110[[#This Row],[Pagado]]</f>
        <v>0</v>
      </c>
      <c r="H3389" s="194" t="s">
        <v>10</v>
      </c>
    </row>
    <row r="3390" spans="1:8" x14ac:dyDescent="0.25">
      <c r="A3390" s="127">
        <v>44834</v>
      </c>
      <c r="B3390" s="128" t="s">
        <v>31520</v>
      </c>
      <c r="C3390" s="194" t="s">
        <v>282</v>
      </c>
      <c r="D3390" s="195">
        <v>2115</v>
      </c>
      <c r="E3390" s="196">
        <v>44835</v>
      </c>
      <c r="F3390" s="195">
        <v>2115</v>
      </c>
      <c r="G3390" s="197">
        <f>Tabla110[[#This Row],[Importe]]-Tabla110[[#This Row],[Pagado]]</f>
        <v>0</v>
      </c>
      <c r="H3390" s="194" t="s">
        <v>10</v>
      </c>
    </row>
    <row r="3391" spans="1:8" x14ac:dyDescent="0.25">
      <c r="A3391" s="127">
        <v>44834</v>
      </c>
      <c r="B3391" s="128" t="s">
        <v>31521</v>
      </c>
      <c r="C3391" s="194" t="s">
        <v>280</v>
      </c>
      <c r="D3391" s="195">
        <v>1470</v>
      </c>
      <c r="E3391" s="196">
        <v>44835</v>
      </c>
      <c r="F3391" s="195">
        <v>1470</v>
      </c>
      <c r="G3391" s="197">
        <f>Tabla110[[#This Row],[Importe]]-Tabla110[[#This Row],[Pagado]]</f>
        <v>0</v>
      </c>
      <c r="H3391" s="194" t="s">
        <v>10</v>
      </c>
    </row>
    <row r="3392" spans="1:8" x14ac:dyDescent="0.25">
      <c r="A3392" s="127">
        <v>44834</v>
      </c>
      <c r="B3392" s="128" t="s">
        <v>31522</v>
      </c>
      <c r="C3392" s="194" t="s">
        <v>10819</v>
      </c>
      <c r="D3392" s="195">
        <v>1192.5</v>
      </c>
      <c r="E3392" s="196">
        <v>44835</v>
      </c>
      <c r="F3392" s="195">
        <v>1192.5</v>
      </c>
      <c r="G3392" s="197">
        <f>Tabla110[[#This Row],[Importe]]-Tabla110[[#This Row],[Pagado]]</f>
        <v>0</v>
      </c>
      <c r="H3392" s="194" t="s">
        <v>10</v>
      </c>
    </row>
    <row r="3393" spans="1:8" x14ac:dyDescent="0.25">
      <c r="A3393" s="127">
        <v>44834</v>
      </c>
      <c r="B3393" s="128" t="s">
        <v>31523</v>
      </c>
      <c r="C3393" s="194" t="s">
        <v>53</v>
      </c>
      <c r="D3393" s="195">
        <v>1435.2</v>
      </c>
      <c r="E3393" s="196">
        <v>44834</v>
      </c>
      <c r="F3393" s="195">
        <v>1435.2</v>
      </c>
      <c r="G3393" s="197">
        <f>Tabla110[[#This Row],[Importe]]-Tabla110[[#This Row],[Pagado]]</f>
        <v>0</v>
      </c>
      <c r="H3393" s="194" t="s">
        <v>10</v>
      </c>
    </row>
    <row r="3394" spans="1:8" x14ac:dyDescent="0.25">
      <c r="A3394" s="127">
        <v>44834</v>
      </c>
      <c r="B3394" s="128" t="s">
        <v>31524</v>
      </c>
      <c r="C3394" s="194" t="s">
        <v>31</v>
      </c>
      <c r="D3394" s="195">
        <v>9226</v>
      </c>
      <c r="E3394" s="196">
        <v>44834</v>
      </c>
      <c r="F3394" s="195">
        <v>9226</v>
      </c>
      <c r="G3394" s="197">
        <f>Tabla110[[#This Row],[Importe]]-Tabla110[[#This Row],[Pagado]]</f>
        <v>0</v>
      </c>
      <c r="H3394" s="194" t="s">
        <v>10</v>
      </c>
    </row>
    <row r="3395" spans="1:8" x14ac:dyDescent="0.25">
      <c r="A3395" s="127">
        <v>44834</v>
      </c>
      <c r="B3395" s="128" t="s">
        <v>31525</v>
      </c>
      <c r="C3395" s="194" t="s">
        <v>31</v>
      </c>
      <c r="D3395" s="195">
        <v>273.8</v>
      </c>
      <c r="E3395" s="196">
        <v>44834</v>
      </c>
      <c r="F3395" s="195">
        <v>273.8</v>
      </c>
      <c r="G3395" s="197">
        <f>Tabla110[[#This Row],[Importe]]-Tabla110[[#This Row],[Pagado]]</f>
        <v>0</v>
      </c>
      <c r="H3395" s="194" t="s">
        <v>10</v>
      </c>
    </row>
    <row r="3396" spans="1:8" x14ac:dyDescent="0.25">
      <c r="A3396" s="127">
        <v>44834</v>
      </c>
      <c r="B3396" s="128" t="s">
        <v>31526</v>
      </c>
      <c r="C3396" s="194" t="s">
        <v>419</v>
      </c>
      <c r="D3396" s="195">
        <v>6303.8</v>
      </c>
      <c r="E3396" s="196">
        <v>44834</v>
      </c>
      <c r="F3396" s="195">
        <v>6303.8</v>
      </c>
      <c r="G3396" s="197">
        <f>Tabla110[[#This Row],[Importe]]-Tabla110[[#This Row],[Pagado]]</f>
        <v>0</v>
      </c>
      <c r="H3396" s="194" t="s">
        <v>10</v>
      </c>
    </row>
    <row r="3397" spans="1:8" x14ac:dyDescent="0.25">
      <c r="A3397" s="127">
        <v>44834</v>
      </c>
      <c r="B3397" s="128" t="s">
        <v>31527</v>
      </c>
      <c r="C3397" s="194" t="s">
        <v>31</v>
      </c>
      <c r="D3397" s="195">
        <v>725.4</v>
      </c>
      <c r="E3397" s="196">
        <v>44834</v>
      </c>
      <c r="F3397" s="195">
        <v>725.4</v>
      </c>
      <c r="G3397" s="197">
        <f>Tabla110[[#This Row],[Importe]]-Tabla110[[#This Row],[Pagado]]</f>
        <v>0</v>
      </c>
      <c r="H3397" s="194" t="s">
        <v>10</v>
      </c>
    </row>
    <row r="3398" spans="1:8" x14ac:dyDescent="0.25">
      <c r="A3398" s="127">
        <v>44834</v>
      </c>
      <c r="B3398" s="128" t="s">
        <v>31528</v>
      </c>
      <c r="C3398" s="194" t="s">
        <v>31</v>
      </c>
      <c r="D3398" s="195">
        <v>678.6</v>
      </c>
      <c r="E3398" s="196">
        <v>44834</v>
      </c>
      <c r="F3398" s="195">
        <v>678.6</v>
      </c>
      <c r="G3398" s="197">
        <f>Tabla110[[#This Row],[Importe]]-Tabla110[[#This Row],[Pagado]]</f>
        <v>0</v>
      </c>
      <c r="H3398" s="194" t="s">
        <v>10</v>
      </c>
    </row>
    <row r="3399" spans="1:8" x14ac:dyDescent="0.25">
      <c r="A3399" s="127">
        <v>44834</v>
      </c>
      <c r="B3399" s="128" t="s">
        <v>31529</v>
      </c>
      <c r="C3399" s="194" t="s">
        <v>31530</v>
      </c>
      <c r="D3399" s="195">
        <v>0</v>
      </c>
      <c r="E3399" s="199" t="s">
        <v>189</v>
      </c>
      <c r="F3399" s="195">
        <v>0</v>
      </c>
      <c r="G3399" s="197">
        <f>Tabla110[[#This Row],[Importe]]-Tabla110[[#This Row],[Pagado]]</f>
        <v>0</v>
      </c>
      <c r="H3399" s="194" t="s">
        <v>189</v>
      </c>
    </row>
    <row r="3400" spans="1:8" x14ac:dyDescent="0.25">
      <c r="A3400" s="127">
        <v>44834</v>
      </c>
      <c r="B3400" s="128" t="s">
        <v>31531</v>
      </c>
      <c r="C3400" s="194" t="s">
        <v>2156</v>
      </c>
      <c r="D3400" s="195">
        <v>22000</v>
      </c>
      <c r="E3400" s="196">
        <v>44834</v>
      </c>
      <c r="F3400" s="195">
        <v>22000</v>
      </c>
      <c r="G3400" s="197">
        <f>Tabla110[[#This Row],[Importe]]-Tabla110[[#This Row],[Pagado]]</f>
        <v>0</v>
      </c>
      <c r="H3400" s="194" t="s">
        <v>10</v>
      </c>
    </row>
    <row r="3401" spans="1:8" x14ac:dyDescent="0.25">
      <c r="A3401" s="127">
        <v>44834</v>
      </c>
      <c r="B3401" s="128" t="s">
        <v>31532</v>
      </c>
      <c r="C3401" s="194" t="s">
        <v>857</v>
      </c>
      <c r="D3401" s="195">
        <v>539.6</v>
      </c>
      <c r="E3401" s="196">
        <v>44834</v>
      </c>
      <c r="F3401" s="195">
        <v>539.6</v>
      </c>
      <c r="G3401" s="197">
        <f>Tabla110[[#This Row],[Importe]]-Tabla110[[#This Row],[Pagado]]</f>
        <v>0</v>
      </c>
      <c r="H3401" s="194" t="s">
        <v>10</v>
      </c>
    </row>
    <row r="3402" spans="1:8" x14ac:dyDescent="0.25">
      <c r="A3402" s="127">
        <v>44834</v>
      </c>
      <c r="B3402" s="128" t="s">
        <v>31533</v>
      </c>
      <c r="C3402" s="194" t="s">
        <v>31</v>
      </c>
      <c r="D3402" s="195">
        <v>1505.4</v>
      </c>
      <c r="E3402" s="196">
        <v>44834</v>
      </c>
      <c r="F3402" s="195">
        <v>1505.4</v>
      </c>
      <c r="G3402" s="197">
        <f>Tabla110[[#This Row],[Importe]]-Tabla110[[#This Row],[Pagado]]</f>
        <v>0</v>
      </c>
      <c r="H3402" s="194" t="s">
        <v>10</v>
      </c>
    </row>
    <row r="3403" spans="1:8" x14ac:dyDescent="0.25">
      <c r="A3403" s="127">
        <v>44834</v>
      </c>
      <c r="B3403" s="128" t="s">
        <v>31534</v>
      </c>
      <c r="C3403" s="194" t="s">
        <v>31</v>
      </c>
      <c r="D3403" s="195">
        <v>112.5</v>
      </c>
      <c r="E3403" s="196">
        <v>44834</v>
      </c>
      <c r="F3403" s="195">
        <v>112.5</v>
      </c>
      <c r="G3403" s="197">
        <f>Tabla110[[#This Row],[Importe]]-Tabla110[[#This Row],[Pagado]]</f>
        <v>0</v>
      </c>
      <c r="H3403" s="194" t="s">
        <v>10</v>
      </c>
    </row>
    <row r="3404" spans="1:8" x14ac:dyDescent="0.25">
      <c r="A3404" s="127">
        <v>44834</v>
      </c>
      <c r="B3404" s="128" t="s">
        <v>31535</v>
      </c>
      <c r="C3404" s="194" t="s">
        <v>69</v>
      </c>
      <c r="D3404" s="195">
        <v>2842.5</v>
      </c>
      <c r="E3404" s="196">
        <v>44834</v>
      </c>
      <c r="F3404" s="195">
        <v>2842.5</v>
      </c>
      <c r="G3404" s="197">
        <f>Tabla110[[#This Row],[Importe]]-Tabla110[[#This Row],[Pagado]]</f>
        <v>0</v>
      </c>
      <c r="H3404" s="194" t="s">
        <v>10</v>
      </c>
    </row>
    <row r="3405" spans="1:8" x14ac:dyDescent="0.25">
      <c r="A3405" s="127">
        <v>44834</v>
      </c>
      <c r="B3405" s="128" t="s">
        <v>31536</v>
      </c>
      <c r="C3405" s="194" t="s">
        <v>442</v>
      </c>
      <c r="D3405" s="195">
        <v>15375</v>
      </c>
      <c r="E3405" s="196">
        <v>44834</v>
      </c>
      <c r="F3405" s="195">
        <v>15375</v>
      </c>
      <c r="G3405" s="197">
        <f>Tabla110[[#This Row],[Importe]]-Tabla110[[#This Row],[Pagado]]</f>
        <v>0</v>
      </c>
      <c r="H3405" s="194" t="s">
        <v>10</v>
      </c>
    </row>
    <row r="3406" spans="1:8" x14ac:dyDescent="0.25">
      <c r="A3406" s="127">
        <v>44834</v>
      </c>
      <c r="B3406" s="128" t="s">
        <v>31537</v>
      </c>
      <c r="C3406" s="194" t="s">
        <v>414</v>
      </c>
      <c r="D3406" s="195">
        <v>24825</v>
      </c>
      <c r="E3406" s="196">
        <v>44837</v>
      </c>
      <c r="F3406" s="195">
        <v>24825</v>
      </c>
      <c r="G3406" s="197">
        <f>Tabla110[[#This Row],[Importe]]-Tabla110[[#This Row],[Pagado]]</f>
        <v>0</v>
      </c>
      <c r="H3406" s="194" t="s">
        <v>10</v>
      </c>
    </row>
    <row r="3407" spans="1:8" x14ac:dyDescent="0.25">
      <c r="A3407" s="127">
        <v>44834</v>
      </c>
      <c r="B3407" s="128" t="s">
        <v>31538</v>
      </c>
      <c r="C3407" s="194" t="s">
        <v>142</v>
      </c>
      <c r="D3407" s="195">
        <v>5241.6000000000004</v>
      </c>
      <c r="E3407" s="196">
        <v>44868</v>
      </c>
      <c r="F3407" s="195">
        <v>5241.6000000000004</v>
      </c>
      <c r="G3407" s="197">
        <f>Tabla110[[#This Row],[Importe]]-Tabla110[[#This Row],[Pagado]]</f>
        <v>0</v>
      </c>
      <c r="H3407" s="194" t="s">
        <v>10</v>
      </c>
    </row>
    <row r="3408" spans="1:8" ht="16.5" thickBot="1" x14ac:dyDescent="0.3">
      <c r="A3408" s="202"/>
      <c r="B3408" s="203"/>
      <c r="C3408" s="204"/>
      <c r="D3408" s="210">
        <v>0</v>
      </c>
      <c r="E3408" s="211"/>
      <c r="F3408" s="210">
        <v>0</v>
      </c>
      <c r="G3408" s="210">
        <f>Tabla110[[#This Row],[Importe]]-Tabla110[[#This Row],[Pagado]]</f>
        <v>0</v>
      </c>
      <c r="H3408" s="204"/>
    </row>
    <row r="3409" spans="1:8" ht="36" customHeight="1" thickTop="1" x14ac:dyDescent="0.25">
      <c r="A3409" s="205"/>
      <c r="B3409" s="206"/>
      <c r="C3409" s="207"/>
      <c r="D3409" s="208">
        <f>SUBTOTAL(109,Tabla110[Importe])</f>
        <v>39227900.709999964</v>
      </c>
      <c r="E3409" s="209"/>
      <c r="F3409" s="208">
        <f>SUBTOTAL(109,Tabla110[Pagado])</f>
        <v>39227900.709999964</v>
      </c>
      <c r="G3409" s="208">
        <f>SUBTOTAL(109,Tabla110[Saldo])</f>
        <v>0</v>
      </c>
      <c r="H3409" s="207"/>
    </row>
    <row r="3414" spans="1:8" ht="16.5" thickBot="1" x14ac:dyDescent="0.3"/>
    <row r="3415" spans="1:8" x14ac:dyDescent="0.25">
      <c r="E3415" s="299" t="s">
        <v>35007</v>
      </c>
      <c r="F3415" s="297">
        <f>Tabla110[[#Totals],[Importe]]-Tabla110[[#Totals],[Pagado]]</f>
        <v>0</v>
      </c>
    </row>
    <row r="3416" spans="1:8" ht="16.5" thickBot="1" x14ac:dyDescent="0.3">
      <c r="E3416" s="300"/>
      <c r="F3416" s="298"/>
    </row>
  </sheetData>
  <mergeCells count="2">
    <mergeCell ref="F3415:F3416"/>
    <mergeCell ref="E3415:E3416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H3351"/>
  <sheetViews>
    <sheetView tabSelected="1" zoomScale="115" zoomScaleNormal="115" workbookViewId="0">
      <pane xSplit="2" ySplit="1" topLeftCell="D3336" activePane="bottomRight" state="frozen"/>
      <selection pane="topRight" activeCell="C1" sqref="C1"/>
      <selection pane="bottomLeft" activeCell="A2" sqref="A2"/>
      <selection pane="bottomRight" activeCell="B3350" sqref="B3350"/>
    </sheetView>
  </sheetViews>
  <sheetFormatPr baseColWidth="10" defaultRowHeight="15.75" x14ac:dyDescent="0.25"/>
  <cols>
    <col min="1" max="1" width="15.42578125" style="31" customWidth="1"/>
    <col min="2" max="2" width="13" style="32" bestFit="1" customWidth="1"/>
    <col min="3" max="3" width="50.140625" style="33" bestFit="1" customWidth="1"/>
    <col min="4" max="4" width="22" style="34" customWidth="1"/>
    <col min="5" max="5" width="22" style="238" customWidth="1"/>
    <col min="6" max="6" width="22" style="34" customWidth="1"/>
    <col min="7" max="7" width="22" style="36" customWidth="1"/>
    <col min="8" max="8" width="22" style="33" customWidth="1"/>
    <col min="9" max="16384" width="11.42578125" style="33"/>
  </cols>
  <sheetData>
    <row r="1" spans="1:8" s="214" customFormat="1" ht="32.25" customHeight="1" x14ac:dyDescent="0.25">
      <c r="A1" s="213" t="s">
        <v>0</v>
      </c>
      <c r="B1" s="214" t="s">
        <v>1</v>
      </c>
      <c r="C1" s="214" t="s">
        <v>2</v>
      </c>
      <c r="D1" s="215" t="s">
        <v>3</v>
      </c>
      <c r="E1" s="213" t="s">
        <v>4</v>
      </c>
      <c r="F1" s="215" t="s">
        <v>5</v>
      </c>
      <c r="G1" s="216" t="s">
        <v>6</v>
      </c>
      <c r="H1" s="214" t="s">
        <v>7</v>
      </c>
    </row>
    <row r="2" spans="1:8" x14ac:dyDescent="0.25">
      <c r="A2" s="73">
        <v>44835</v>
      </c>
      <c r="B2" s="74" t="s">
        <v>31553</v>
      </c>
      <c r="C2" s="75" t="s">
        <v>887</v>
      </c>
      <c r="D2" s="81">
        <v>25104.9</v>
      </c>
      <c r="E2" s="230" t="s">
        <v>31554</v>
      </c>
      <c r="F2" s="81">
        <f>16000+9104.9</f>
        <v>25104.9</v>
      </c>
      <c r="G2" s="197">
        <f>Tabla111[[#This Row],[Importe]]-Tabla111[[#This Row],[Pagado]]</f>
        <v>0</v>
      </c>
      <c r="H2" s="75" t="s">
        <v>10</v>
      </c>
    </row>
    <row r="3" spans="1:8" x14ac:dyDescent="0.25">
      <c r="A3" s="148">
        <v>44835</v>
      </c>
      <c r="B3" s="149" t="s">
        <v>31555</v>
      </c>
      <c r="C3" s="153" t="s">
        <v>31</v>
      </c>
      <c r="D3" s="154">
        <v>1523.8</v>
      </c>
      <c r="E3" s="231">
        <v>44835</v>
      </c>
      <c r="F3" s="154">
        <v>1523.8</v>
      </c>
      <c r="G3" s="197">
        <f>Tabla111[[#This Row],[Importe]]-Tabla111[[#This Row],[Pagado]]</f>
        <v>0</v>
      </c>
      <c r="H3" s="153" t="s">
        <v>10</v>
      </c>
    </row>
    <row r="4" spans="1:8" x14ac:dyDescent="0.25">
      <c r="A4" s="73">
        <v>44835</v>
      </c>
      <c r="B4" s="74" t="s">
        <v>31556</v>
      </c>
      <c r="C4" s="75" t="s">
        <v>12</v>
      </c>
      <c r="D4" s="81">
        <v>32168.45</v>
      </c>
      <c r="E4" s="230">
        <v>44836</v>
      </c>
      <c r="F4" s="81">
        <v>32168.45</v>
      </c>
      <c r="G4" s="197">
        <f>Tabla111[[#This Row],[Importe]]-Tabla111[[#This Row],[Pagado]]</f>
        <v>0</v>
      </c>
      <c r="H4" s="75" t="s">
        <v>10</v>
      </c>
    </row>
    <row r="5" spans="1:8" x14ac:dyDescent="0.25">
      <c r="A5" s="148">
        <v>44835</v>
      </c>
      <c r="B5" s="149" t="s">
        <v>31557</v>
      </c>
      <c r="C5" s="153" t="s">
        <v>473</v>
      </c>
      <c r="D5" s="154">
        <v>3174.2</v>
      </c>
      <c r="E5" s="231">
        <v>44835</v>
      </c>
      <c r="F5" s="154">
        <v>3174.2</v>
      </c>
      <c r="G5" s="197">
        <f>Tabla111[[#This Row],[Importe]]-Tabla111[[#This Row],[Pagado]]</f>
        <v>0</v>
      </c>
      <c r="H5" s="153" t="s">
        <v>10</v>
      </c>
    </row>
    <row r="6" spans="1:8" x14ac:dyDescent="0.25">
      <c r="A6" s="73">
        <v>44835</v>
      </c>
      <c r="B6" s="74" t="s">
        <v>31558</v>
      </c>
      <c r="C6" s="75" t="s">
        <v>75</v>
      </c>
      <c r="D6" s="81">
        <v>11032.5</v>
      </c>
      <c r="E6" s="230">
        <v>44835</v>
      </c>
      <c r="F6" s="81">
        <v>11032.5</v>
      </c>
      <c r="G6" s="197">
        <f>Tabla111[[#This Row],[Importe]]-Tabla111[[#This Row],[Pagado]]</f>
        <v>0</v>
      </c>
      <c r="H6" s="75" t="s">
        <v>10</v>
      </c>
    </row>
    <row r="7" spans="1:8" x14ac:dyDescent="0.25">
      <c r="A7" s="148">
        <v>44835</v>
      </c>
      <c r="B7" s="149" t="s">
        <v>31559</v>
      </c>
      <c r="C7" s="153" t="s">
        <v>475</v>
      </c>
      <c r="D7" s="154">
        <v>65735.399999999994</v>
      </c>
      <c r="E7" s="231">
        <v>44836</v>
      </c>
      <c r="F7" s="154">
        <v>65735.399999999994</v>
      </c>
      <c r="G7" s="197">
        <f>Tabla111[[#This Row],[Importe]]-Tabla111[[#This Row],[Pagado]]</f>
        <v>0</v>
      </c>
      <c r="H7" s="153" t="s">
        <v>10</v>
      </c>
    </row>
    <row r="8" spans="1:8" x14ac:dyDescent="0.25">
      <c r="A8" s="73">
        <v>44835</v>
      </c>
      <c r="B8" s="74" t="s">
        <v>31560</v>
      </c>
      <c r="C8" s="75" t="s">
        <v>79</v>
      </c>
      <c r="D8" s="81">
        <v>19837.5</v>
      </c>
      <c r="E8" s="230">
        <v>44836</v>
      </c>
      <c r="F8" s="81">
        <v>19837.5</v>
      </c>
      <c r="G8" s="197">
        <f>Tabla111[[#This Row],[Importe]]-Tabla111[[#This Row],[Pagado]]</f>
        <v>0</v>
      </c>
      <c r="H8" s="75" t="s">
        <v>10</v>
      </c>
    </row>
    <row r="9" spans="1:8" x14ac:dyDescent="0.25">
      <c r="A9" s="148">
        <v>44835</v>
      </c>
      <c r="B9" s="149" t="s">
        <v>31561</v>
      </c>
      <c r="C9" s="153" t="s">
        <v>1187</v>
      </c>
      <c r="D9" s="154">
        <v>2706.6</v>
      </c>
      <c r="E9" s="231">
        <v>44835</v>
      </c>
      <c r="F9" s="154">
        <v>2706.6</v>
      </c>
      <c r="G9" s="197">
        <f>Tabla111[[#This Row],[Importe]]-Tabla111[[#This Row],[Pagado]]</f>
        <v>0</v>
      </c>
      <c r="H9" s="153" t="s">
        <v>10</v>
      </c>
    </row>
    <row r="10" spans="1:8" x14ac:dyDescent="0.25">
      <c r="A10" s="73">
        <v>44835</v>
      </c>
      <c r="B10" s="74" t="s">
        <v>31562</v>
      </c>
      <c r="C10" s="75" t="s">
        <v>481</v>
      </c>
      <c r="D10" s="81">
        <v>1158.5999999999999</v>
      </c>
      <c r="E10" s="230">
        <v>44835</v>
      </c>
      <c r="F10" s="81">
        <v>1158.5999999999999</v>
      </c>
      <c r="G10" s="197">
        <f>Tabla111[[#This Row],[Importe]]-Tabla111[[#This Row],[Pagado]]</f>
        <v>0</v>
      </c>
      <c r="H10" s="75" t="s">
        <v>10</v>
      </c>
    </row>
    <row r="11" spans="1:8" x14ac:dyDescent="0.25">
      <c r="A11" s="148">
        <v>44835</v>
      </c>
      <c r="B11" s="149" t="s">
        <v>31563</v>
      </c>
      <c r="C11" s="153" t="s">
        <v>484</v>
      </c>
      <c r="D11" s="154">
        <v>5916.8</v>
      </c>
      <c r="E11" s="231">
        <v>44835</v>
      </c>
      <c r="F11" s="154">
        <v>5916.8</v>
      </c>
      <c r="G11" s="197">
        <f>Tabla111[[#This Row],[Importe]]-Tabla111[[#This Row],[Pagado]]</f>
        <v>0</v>
      </c>
      <c r="H11" s="153" t="s">
        <v>10</v>
      </c>
    </row>
    <row r="12" spans="1:8" x14ac:dyDescent="0.25">
      <c r="A12" s="73">
        <v>44835</v>
      </c>
      <c r="B12" s="74" t="s">
        <v>31564</v>
      </c>
      <c r="C12" s="75" t="s">
        <v>9</v>
      </c>
      <c r="D12" s="81">
        <v>8624.9</v>
      </c>
      <c r="E12" s="230">
        <v>44835</v>
      </c>
      <c r="F12" s="81">
        <v>8624.9</v>
      </c>
      <c r="G12" s="197">
        <f>Tabla111[[#This Row],[Importe]]-Tabla111[[#This Row],[Pagado]]</f>
        <v>0</v>
      </c>
      <c r="H12" s="75" t="s">
        <v>10</v>
      </c>
    </row>
    <row r="13" spans="1:8" x14ac:dyDescent="0.25">
      <c r="A13" s="148">
        <v>44835</v>
      </c>
      <c r="B13" s="149" t="s">
        <v>31565</v>
      </c>
      <c r="C13" s="153" t="s">
        <v>151</v>
      </c>
      <c r="D13" s="154">
        <v>15196.7</v>
      </c>
      <c r="E13" s="231">
        <v>44836</v>
      </c>
      <c r="F13" s="154">
        <v>15196.7</v>
      </c>
      <c r="G13" s="197">
        <f>Tabla111[[#This Row],[Importe]]-Tabla111[[#This Row],[Pagado]]</f>
        <v>0</v>
      </c>
      <c r="H13" s="153" t="s">
        <v>10</v>
      </c>
    </row>
    <row r="14" spans="1:8" x14ac:dyDescent="0.25">
      <c r="A14" s="73">
        <v>44835</v>
      </c>
      <c r="B14" s="74" t="s">
        <v>31566</v>
      </c>
      <c r="C14" s="75" t="s">
        <v>159</v>
      </c>
      <c r="D14" s="81">
        <v>2212</v>
      </c>
      <c r="E14" s="230">
        <v>44836</v>
      </c>
      <c r="F14" s="81">
        <v>2212</v>
      </c>
      <c r="G14" s="197">
        <f>Tabla111[[#This Row],[Importe]]-Tabla111[[#This Row],[Pagado]]</f>
        <v>0</v>
      </c>
      <c r="H14" s="75" t="s">
        <v>10</v>
      </c>
    </row>
    <row r="15" spans="1:8" x14ac:dyDescent="0.25">
      <c r="A15" s="148">
        <v>44835</v>
      </c>
      <c r="B15" s="149" t="s">
        <v>31567</v>
      </c>
      <c r="C15" s="153" t="s">
        <v>109</v>
      </c>
      <c r="D15" s="154">
        <v>5037.5</v>
      </c>
      <c r="E15" s="231">
        <v>44837</v>
      </c>
      <c r="F15" s="154">
        <v>5037.5</v>
      </c>
      <c r="G15" s="197">
        <f>Tabla111[[#This Row],[Importe]]-Tabla111[[#This Row],[Pagado]]</f>
        <v>0</v>
      </c>
      <c r="H15" s="153" t="s">
        <v>10</v>
      </c>
    </row>
    <row r="16" spans="1:8" x14ac:dyDescent="0.25">
      <c r="A16" s="73">
        <v>44835</v>
      </c>
      <c r="B16" s="74" t="s">
        <v>31568</v>
      </c>
      <c r="C16" s="75" t="s">
        <v>2563</v>
      </c>
      <c r="D16" s="81">
        <v>5795.5</v>
      </c>
      <c r="E16" s="230">
        <v>44837</v>
      </c>
      <c r="F16" s="81">
        <v>5795.5</v>
      </c>
      <c r="G16" s="197">
        <f>Tabla111[[#This Row],[Importe]]-Tabla111[[#This Row],[Pagado]]</f>
        <v>0</v>
      </c>
      <c r="H16" s="75" t="s">
        <v>10</v>
      </c>
    </row>
    <row r="17" spans="1:8" x14ac:dyDescent="0.25">
      <c r="A17" s="148">
        <v>44835</v>
      </c>
      <c r="B17" s="149" t="s">
        <v>31569</v>
      </c>
      <c r="C17" s="153" t="s">
        <v>64</v>
      </c>
      <c r="D17" s="154">
        <v>5947.5</v>
      </c>
      <c r="E17" s="231">
        <v>44837</v>
      </c>
      <c r="F17" s="154">
        <v>5947.5</v>
      </c>
      <c r="G17" s="197">
        <f>Tabla111[[#This Row],[Importe]]-Tabla111[[#This Row],[Pagado]]</f>
        <v>0</v>
      </c>
      <c r="H17" s="153" t="s">
        <v>10</v>
      </c>
    </row>
    <row r="18" spans="1:8" x14ac:dyDescent="0.25">
      <c r="A18" s="73">
        <v>44835</v>
      </c>
      <c r="B18" s="74" t="s">
        <v>31570</v>
      </c>
      <c r="C18" s="75" t="s">
        <v>10586</v>
      </c>
      <c r="D18" s="81">
        <v>5980</v>
      </c>
      <c r="E18" s="230" t="s">
        <v>31571</v>
      </c>
      <c r="F18" s="81">
        <f>4000+1980</f>
        <v>5980</v>
      </c>
      <c r="G18" s="197">
        <f>Tabla111[[#This Row],[Importe]]-Tabla111[[#This Row],[Pagado]]</f>
        <v>0</v>
      </c>
      <c r="H18" s="75" t="s">
        <v>10</v>
      </c>
    </row>
    <row r="19" spans="1:8" x14ac:dyDescent="0.25">
      <c r="A19" s="148">
        <v>44835</v>
      </c>
      <c r="B19" s="149" t="s">
        <v>31572</v>
      </c>
      <c r="C19" s="153" t="s">
        <v>60</v>
      </c>
      <c r="D19" s="154">
        <v>5557.5</v>
      </c>
      <c r="E19" s="231">
        <v>44837</v>
      </c>
      <c r="F19" s="154">
        <v>5557.5</v>
      </c>
      <c r="G19" s="197">
        <f>Tabla111[[#This Row],[Importe]]-Tabla111[[#This Row],[Pagado]]</f>
        <v>0</v>
      </c>
      <c r="H19" s="153" t="s">
        <v>10</v>
      </c>
    </row>
    <row r="20" spans="1:8" x14ac:dyDescent="0.25">
      <c r="A20" s="73">
        <v>44835</v>
      </c>
      <c r="B20" s="74" t="s">
        <v>31573</v>
      </c>
      <c r="C20" s="75" t="s">
        <v>5043</v>
      </c>
      <c r="D20" s="81">
        <v>10163.9</v>
      </c>
      <c r="E20" s="230">
        <v>44838</v>
      </c>
      <c r="F20" s="81">
        <v>10163.9</v>
      </c>
      <c r="G20" s="197">
        <f>Tabla111[[#This Row],[Importe]]-Tabla111[[#This Row],[Pagado]]</f>
        <v>0</v>
      </c>
      <c r="H20" s="75" t="s">
        <v>10</v>
      </c>
    </row>
    <row r="21" spans="1:8" x14ac:dyDescent="0.25">
      <c r="A21" s="148">
        <v>44835</v>
      </c>
      <c r="B21" s="149" t="s">
        <v>31574</v>
      </c>
      <c r="C21" s="153" t="s">
        <v>24768</v>
      </c>
      <c r="D21" s="154">
        <v>5317.6</v>
      </c>
      <c r="E21" s="231">
        <v>44835</v>
      </c>
      <c r="F21" s="154">
        <v>5317.6</v>
      </c>
      <c r="G21" s="197">
        <f>Tabla111[[#This Row],[Importe]]-Tabla111[[#This Row],[Pagado]]</f>
        <v>0</v>
      </c>
      <c r="H21" s="153" t="s">
        <v>10</v>
      </c>
    </row>
    <row r="22" spans="1:8" x14ac:dyDescent="0.25">
      <c r="A22" s="73">
        <v>44835</v>
      </c>
      <c r="B22" s="74" t="s">
        <v>31575</v>
      </c>
      <c r="C22" s="75" t="s">
        <v>442</v>
      </c>
      <c r="D22" s="81">
        <v>7840</v>
      </c>
      <c r="E22" s="230">
        <v>44835</v>
      </c>
      <c r="F22" s="81">
        <v>7840</v>
      </c>
      <c r="G22" s="197">
        <f>Tabla111[[#This Row],[Importe]]-Tabla111[[#This Row],[Pagado]]</f>
        <v>0</v>
      </c>
      <c r="H22" s="75" t="s">
        <v>10</v>
      </c>
    </row>
    <row r="23" spans="1:8" x14ac:dyDescent="0.25">
      <c r="A23" s="148">
        <v>44835</v>
      </c>
      <c r="B23" s="149" t="s">
        <v>31576</v>
      </c>
      <c r="C23" s="153" t="s">
        <v>442</v>
      </c>
      <c r="D23" s="154">
        <v>875.6</v>
      </c>
      <c r="E23" s="231">
        <v>44835</v>
      </c>
      <c r="F23" s="154">
        <v>875.6</v>
      </c>
      <c r="G23" s="197">
        <f>Tabla111[[#This Row],[Importe]]-Tabla111[[#This Row],[Pagado]]</f>
        <v>0</v>
      </c>
      <c r="H23" s="153" t="s">
        <v>10</v>
      </c>
    </row>
    <row r="24" spans="1:8" x14ac:dyDescent="0.25">
      <c r="A24" s="73">
        <v>44835</v>
      </c>
      <c r="B24" s="74" t="s">
        <v>31577</v>
      </c>
      <c r="C24" s="75" t="s">
        <v>93</v>
      </c>
      <c r="D24" s="81">
        <v>24493.9</v>
      </c>
      <c r="E24" s="230" t="s">
        <v>31571</v>
      </c>
      <c r="F24" s="81">
        <f>10000+14493.9</f>
        <v>24493.9</v>
      </c>
      <c r="G24" s="197">
        <f>Tabla111[[#This Row],[Importe]]-Tabla111[[#This Row],[Pagado]]</f>
        <v>0</v>
      </c>
      <c r="H24" s="75" t="s">
        <v>10</v>
      </c>
    </row>
    <row r="25" spans="1:8" x14ac:dyDescent="0.25">
      <c r="A25" s="148">
        <v>44835</v>
      </c>
      <c r="B25" s="149" t="s">
        <v>31578</v>
      </c>
      <c r="C25" s="153" t="s">
        <v>16</v>
      </c>
      <c r="D25" s="154">
        <v>6903.5</v>
      </c>
      <c r="E25" s="231">
        <v>44835</v>
      </c>
      <c r="F25" s="154">
        <v>6903.5</v>
      </c>
      <c r="G25" s="197">
        <f>Tabla111[[#This Row],[Importe]]-Tabla111[[#This Row],[Pagado]]</f>
        <v>0</v>
      </c>
      <c r="H25" s="153" t="s">
        <v>10</v>
      </c>
    </row>
    <row r="26" spans="1:8" x14ac:dyDescent="0.25">
      <c r="A26" s="73">
        <v>44835</v>
      </c>
      <c r="B26" s="74" t="s">
        <v>31579</v>
      </c>
      <c r="C26" s="75" t="s">
        <v>289</v>
      </c>
      <c r="D26" s="81">
        <v>16831.900000000001</v>
      </c>
      <c r="E26" s="230">
        <v>44835</v>
      </c>
      <c r="F26" s="81">
        <v>16831.900000000001</v>
      </c>
      <c r="G26" s="197">
        <f>Tabla111[[#This Row],[Importe]]-Tabla111[[#This Row],[Pagado]]</f>
        <v>0</v>
      </c>
      <c r="H26" s="75" t="s">
        <v>10</v>
      </c>
    </row>
    <row r="27" spans="1:8" x14ac:dyDescent="0.25">
      <c r="A27" s="148">
        <v>44835</v>
      </c>
      <c r="B27" s="149" t="s">
        <v>31580</v>
      </c>
      <c r="C27" s="153" t="s">
        <v>114</v>
      </c>
      <c r="D27" s="154">
        <v>16235</v>
      </c>
      <c r="E27" s="231">
        <v>44837</v>
      </c>
      <c r="F27" s="154">
        <v>16235</v>
      </c>
      <c r="G27" s="197">
        <f>Tabla111[[#This Row],[Importe]]-Tabla111[[#This Row],[Pagado]]</f>
        <v>0</v>
      </c>
      <c r="H27" s="153" t="s">
        <v>10</v>
      </c>
    </row>
    <row r="28" spans="1:8" x14ac:dyDescent="0.25">
      <c r="A28" s="73">
        <v>44835</v>
      </c>
      <c r="B28" s="74" t="s">
        <v>31581</v>
      </c>
      <c r="C28" s="75" t="s">
        <v>326</v>
      </c>
      <c r="D28" s="81">
        <v>16384.5</v>
      </c>
      <c r="E28" s="230">
        <v>44837</v>
      </c>
      <c r="F28" s="81">
        <v>16384.5</v>
      </c>
      <c r="G28" s="197">
        <f>Tabla111[[#This Row],[Importe]]-Tabla111[[#This Row],[Pagado]]</f>
        <v>0</v>
      </c>
      <c r="H28" s="75" t="s">
        <v>10</v>
      </c>
    </row>
    <row r="29" spans="1:8" x14ac:dyDescent="0.25">
      <c r="A29" s="148">
        <v>44835</v>
      </c>
      <c r="B29" s="149" t="s">
        <v>31582</v>
      </c>
      <c r="C29" s="153" t="s">
        <v>111</v>
      </c>
      <c r="D29" s="154">
        <v>15119</v>
      </c>
      <c r="E29" s="231">
        <v>44837</v>
      </c>
      <c r="F29" s="154">
        <v>15119</v>
      </c>
      <c r="G29" s="197">
        <f>Tabla111[[#This Row],[Importe]]-Tabla111[[#This Row],[Pagado]]</f>
        <v>0</v>
      </c>
      <c r="H29" s="153" t="s">
        <v>10</v>
      </c>
    </row>
    <row r="30" spans="1:8" x14ac:dyDescent="0.25">
      <c r="A30" s="73">
        <v>44835</v>
      </c>
      <c r="B30" s="74" t="s">
        <v>31583</v>
      </c>
      <c r="C30" s="75" t="s">
        <v>97</v>
      </c>
      <c r="D30" s="81">
        <v>12496.4</v>
      </c>
      <c r="E30" s="230">
        <v>44837</v>
      </c>
      <c r="F30" s="81">
        <v>12496.4</v>
      </c>
      <c r="G30" s="197">
        <f>Tabla111[[#This Row],[Importe]]-Tabla111[[#This Row],[Pagado]]</f>
        <v>0</v>
      </c>
      <c r="H30" s="75" t="s">
        <v>10</v>
      </c>
    </row>
    <row r="31" spans="1:8" x14ac:dyDescent="0.25">
      <c r="A31" s="148">
        <v>44835</v>
      </c>
      <c r="B31" s="149" t="s">
        <v>31584</v>
      </c>
      <c r="C31" s="153" t="s">
        <v>39</v>
      </c>
      <c r="D31" s="154">
        <v>13195.1</v>
      </c>
      <c r="E31" s="231">
        <v>44837</v>
      </c>
      <c r="F31" s="154">
        <v>13195.1</v>
      </c>
      <c r="G31" s="197">
        <f>Tabla111[[#This Row],[Importe]]-Tabla111[[#This Row],[Pagado]]</f>
        <v>0</v>
      </c>
      <c r="H31" s="153" t="s">
        <v>10</v>
      </c>
    </row>
    <row r="32" spans="1:8" x14ac:dyDescent="0.25">
      <c r="A32" s="73">
        <v>44835</v>
      </c>
      <c r="B32" s="74" t="s">
        <v>31585</v>
      </c>
      <c r="C32" s="75" t="s">
        <v>105</v>
      </c>
      <c r="D32" s="81">
        <v>19221.3</v>
      </c>
      <c r="E32" s="230">
        <v>44838</v>
      </c>
      <c r="F32" s="81">
        <v>19221.3</v>
      </c>
      <c r="G32" s="197">
        <f>Tabla111[[#This Row],[Importe]]-Tabla111[[#This Row],[Pagado]]</f>
        <v>0</v>
      </c>
      <c r="H32" s="75" t="s">
        <v>10</v>
      </c>
    </row>
    <row r="33" spans="1:8" x14ac:dyDescent="0.25">
      <c r="A33" s="148">
        <v>44835</v>
      </c>
      <c r="B33" s="149" t="s">
        <v>31586</v>
      </c>
      <c r="C33" s="153" t="s">
        <v>2151</v>
      </c>
      <c r="D33" s="154">
        <v>27139.4</v>
      </c>
      <c r="E33" s="231">
        <v>44835</v>
      </c>
      <c r="F33" s="154">
        <v>27139.4</v>
      </c>
      <c r="G33" s="197">
        <f>Tabla111[[#This Row],[Importe]]-Tabla111[[#This Row],[Pagado]]</f>
        <v>0</v>
      </c>
      <c r="H33" s="153" t="s">
        <v>10</v>
      </c>
    </row>
    <row r="34" spans="1:8" x14ac:dyDescent="0.25">
      <c r="A34" s="73">
        <v>44835</v>
      </c>
      <c r="B34" s="74" t="s">
        <v>31587</v>
      </c>
      <c r="C34" s="75" t="s">
        <v>10190</v>
      </c>
      <c r="D34" s="81">
        <v>28675.200000000001</v>
      </c>
      <c r="E34" s="230">
        <v>44835</v>
      </c>
      <c r="F34" s="81">
        <v>28675.200000000001</v>
      </c>
      <c r="G34" s="197">
        <f>Tabla111[[#This Row],[Importe]]-Tabla111[[#This Row],[Pagado]]</f>
        <v>0</v>
      </c>
      <c r="H34" s="75" t="s">
        <v>10</v>
      </c>
    </row>
    <row r="35" spans="1:8" x14ac:dyDescent="0.25">
      <c r="A35" s="148">
        <v>44835</v>
      </c>
      <c r="B35" s="149" t="s">
        <v>31588</v>
      </c>
      <c r="C35" s="153" t="s">
        <v>348</v>
      </c>
      <c r="D35" s="154">
        <v>11394.8</v>
      </c>
      <c r="E35" s="231">
        <v>44835</v>
      </c>
      <c r="F35" s="154">
        <v>11394.8</v>
      </c>
      <c r="G35" s="197">
        <f>Tabla111[[#This Row],[Importe]]-Tabla111[[#This Row],[Pagado]]</f>
        <v>0</v>
      </c>
      <c r="H35" s="153" t="s">
        <v>10</v>
      </c>
    </row>
    <row r="36" spans="1:8" x14ac:dyDescent="0.25">
      <c r="A36" s="73">
        <v>44835</v>
      </c>
      <c r="B36" s="74" t="s">
        <v>31589</v>
      </c>
      <c r="C36" s="75" t="s">
        <v>31</v>
      </c>
      <c r="D36" s="81">
        <v>2672.5</v>
      </c>
      <c r="E36" s="230">
        <v>44835</v>
      </c>
      <c r="F36" s="81">
        <v>2672.5</v>
      </c>
      <c r="G36" s="197">
        <f>Tabla111[[#This Row],[Importe]]-Tabla111[[#This Row],[Pagado]]</f>
        <v>0</v>
      </c>
      <c r="H36" s="75" t="s">
        <v>10</v>
      </c>
    </row>
    <row r="37" spans="1:8" x14ac:dyDescent="0.25">
      <c r="A37" s="148">
        <v>44835</v>
      </c>
      <c r="B37" s="149" t="s">
        <v>31590</v>
      </c>
      <c r="C37" s="153" t="s">
        <v>87</v>
      </c>
      <c r="D37" s="154">
        <v>5057.6000000000004</v>
      </c>
      <c r="E37" s="231">
        <v>44835</v>
      </c>
      <c r="F37" s="154">
        <v>5057.6000000000004</v>
      </c>
      <c r="G37" s="197">
        <f>Tabla111[[#This Row],[Importe]]-Tabla111[[#This Row],[Pagado]]</f>
        <v>0</v>
      </c>
      <c r="H37" s="153" t="s">
        <v>10</v>
      </c>
    </row>
    <row r="38" spans="1:8" x14ac:dyDescent="0.25">
      <c r="A38" s="73">
        <v>44835</v>
      </c>
      <c r="B38" s="74" t="s">
        <v>31591</v>
      </c>
      <c r="C38" s="75" t="s">
        <v>89</v>
      </c>
      <c r="D38" s="81">
        <v>11805.9</v>
      </c>
      <c r="E38" s="230">
        <v>44837</v>
      </c>
      <c r="F38" s="81">
        <v>11805.9</v>
      </c>
      <c r="G38" s="197">
        <f>Tabla111[[#This Row],[Importe]]-Tabla111[[#This Row],[Pagado]]</f>
        <v>0</v>
      </c>
      <c r="H38" s="75" t="s">
        <v>10</v>
      </c>
    </row>
    <row r="39" spans="1:8" x14ac:dyDescent="0.25">
      <c r="A39" s="148">
        <v>44835</v>
      </c>
      <c r="B39" s="149" t="s">
        <v>31592</v>
      </c>
      <c r="C39" s="153" t="s">
        <v>31</v>
      </c>
      <c r="D39" s="154">
        <v>1359.3</v>
      </c>
      <c r="E39" s="231">
        <v>44835</v>
      </c>
      <c r="F39" s="154">
        <v>1359.3</v>
      </c>
      <c r="G39" s="197">
        <f>Tabla111[[#This Row],[Importe]]-Tabla111[[#This Row],[Pagado]]</f>
        <v>0</v>
      </c>
      <c r="H39" s="153" t="s">
        <v>10</v>
      </c>
    </row>
    <row r="40" spans="1:8" x14ac:dyDescent="0.25">
      <c r="A40" s="73">
        <v>44835</v>
      </c>
      <c r="B40" s="74" t="s">
        <v>31593</v>
      </c>
      <c r="C40" s="75" t="s">
        <v>314</v>
      </c>
      <c r="D40" s="81">
        <v>6798</v>
      </c>
      <c r="E40" s="230">
        <v>44835</v>
      </c>
      <c r="F40" s="81">
        <v>6798</v>
      </c>
      <c r="G40" s="197">
        <f>Tabla111[[#This Row],[Importe]]-Tabla111[[#This Row],[Pagado]]</f>
        <v>0</v>
      </c>
      <c r="H40" s="75" t="s">
        <v>10</v>
      </c>
    </row>
    <row r="41" spans="1:8" x14ac:dyDescent="0.25">
      <c r="A41" s="148">
        <v>44835</v>
      </c>
      <c r="B41" s="149" t="s">
        <v>31594</v>
      </c>
      <c r="C41" s="153" t="s">
        <v>2151</v>
      </c>
      <c r="D41" s="154">
        <v>470.4</v>
      </c>
      <c r="E41" s="231">
        <v>44835</v>
      </c>
      <c r="F41" s="154">
        <v>470.4</v>
      </c>
      <c r="G41" s="197">
        <f>Tabla111[[#This Row],[Importe]]-Tabla111[[#This Row],[Pagado]]</f>
        <v>0</v>
      </c>
      <c r="H41" s="153" t="s">
        <v>10</v>
      </c>
    </row>
    <row r="42" spans="1:8" x14ac:dyDescent="0.25">
      <c r="A42" s="73">
        <v>44835</v>
      </c>
      <c r="B42" s="74" t="s">
        <v>31595</v>
      </c>
      <c r="C42" s="75" t="s">
        <v>30029</v>
      </c>
      <c r="D42" s="81">
        <v>5707</v>
      </c>
      <c r="E42" s="230">
        <v>44837</v>
      </c>
      <c r="F42" s="81">
        <v>5707</v>
      </c>
      <c r="G42" s="197">
        <f>Tabla111[[#This Row],[Importe]]-Tabla111[[#This Row],[Pagado]]</f>
        <v>0</v>
      </c>
      <c r="H42" s="75" t="s">
        <v>10</v>
      </c>
    </row>
    <row r="43" spans="1:8" x14ac:dyDescent="0.25">
      <c r="A43" s="148">
        <v>44835</v>
      </c>
      <c r="B43" s="149" t="s">
        <v>31596</v>
      </c>
      <c r="C43" s="153" t="s">
        <v>29</v>
      </c>
      <c r="D43" s="154">
        <v>9007.5</v>
      </c>
      <c r="E43" s="231">
        <v>44835</v>
      </c>
      <c r="F43" s="154">
        <v>9007.5</v>
      </c>
      <c r="G43" s="197">
        <f>Tabla111[[#This Row],[Importe]]-Tabla111[[#This Row],[Pagado]]</f>
        <v>0</v>
      </c>
      <c r="H43" s="153" t="s">
        <v>10</v>
      </c>
    </row>
    <row r="44" spans="1:8" x14ac:dyDescent="0.25">
      <c r="A44" s="73">
        <v>44835</v>
      </c>
      <c r="B44" s="74" t="s">
        <v>31597</v>
      </c>
      <c r="C44" s="75" t="s">
        <v>345</v>
      </c>
      <c r="D44" s="81">
        <v>424.8</v>
      </c>
      <c r="E44" s="230">
        <v>44835</v>
      </c>
      <c r="F44" s="81">
        <v>424.8</v>
      </c>
      <c r="G44" s="197">
        <f>Tabla111[[#This Row],[Importe]]-Tabla111[[#This Row],[Pagado]]</f>
        <v>0</v>
      </c>
      <c r="H44" s="75" t="s">
        <v>10</v>
      </c>
    </row>
    <row r="45" spans="1:8" x14ac:dyDescent="0.25">
      <c r="A45" s="148">
        <v>44835</v>
      </c>
      <c r="B45" s="149" t="s">
        <v>31598</v>
      </c>
      <c r="C45" s="153" t="s">
        <v>22</v>
      </c>
      <c r="D45" s="154">
        <v>45193.5</v>
      </c>
      <c r="E45" s="231">
        <v>44836</v>
      </c>
      <c r="F45" s="154">
        <v>45193.5</v>
      </c>
      <c r="G45" s="197">
        <f>Tabla111[[#This Row],[Importe]]-Tabla111[[#This Row],[Pagado]]</f>
        <v>0</v>
      </c>
      <c r="H45" s="153" t="s">
        <v>10</v>
      </c>
    </row>
    <row r="46" spans="1:8" x14ac:dyDescent="0.25">
      <c r="A46" s="73">
        <v>44835</v>
      </c>
      <c r="B46" s="74" t="s">
        <v>31599</v>
      </c>
      <c r="C46" s="75" t="s">
        <v>17556</v>
      </c>
      <c r="D46" s="81">
        <v>5144.3</v>
      </c>
      <c r="E46" s="230">
        <v>44835</v>
      </c>
      <c r="F46" s="81">
        <v>5144.3</v>
      </c>
      <c r="G46" s="197">
        <f>Tabla111[[#This Row],[Importe]]-Tabla111[[#This Row],[Pagado]]</f>
        <v>0</v>
      </c>
      <c r="H46" s="75" t="s">
        <v>10</v>
      </c>
    </row>
    <row r="47" spans="1:8" x14ac:dyDescent="0.25">
      <c r="A47" s="148">
        <v>44835</v>
      </c>
      <c r="B47" s="149" t="s">
        <v>31600</v>
      </c>
      <c r="C47" s="153" t="s">
        <v>520</v>
      </c>
      <c r="D47" s="154">
        <v>8549.6</v>
      </c>
      <c r="E47" s="231">
        <v>44836</v>
      </c>
      <c r="F47" s="154">
        <v>8549.6</v>
      </c>
      <c r="G47" s="197">
        <f>Tabla111[[#This Row],[Importe]]-Tabla111[[#This Row],[Pagado]]</f>
        <v>0</v>
      </c>
      <c r="H47" s="153" t="s">
        <v>10</v>
      </c>
    </row>
    <row r="48" spans="1:8" x14ac:dyDescent="0.25">
      <c r="A48" s="73">
        <v>44835</v>
      </c>
      <c r="B48" s="74" t="s">
        <v>31601</v>
      </c>
      <c r="C48" s="75" t="s">
        <v>157</v>
      </c>
      <c r="D48" s="81">
        <v>7688.2</v>
      </c>
      <c r="E48" s="230">
        <v>44836</v>
      </c>
      <c r="F48" s="81">
        <v>7688.2</v>
      </c>
      <c r="G48" s="197">
        <f>Tabla111[[#This Row],[Importe]]-Tabla111[[#This Row],[Pagado]]</f>
        <v>0</v>
      </c>
      <c r="H48" s="75" t="s">
        <v>10</v>
      </c>
    </row>
    <row r="49" spans="1:8" x14ac:dyDescent="0.25">
      <c r="A49" s="148">
        <v>44835</v>
      </c>
      <c r="B49" s="149" t="s">
        <v>31602</v>
      </c>
      <c r="C49" s="153" t="s">
        <v>146</v>
      </c>
      <c r="D49" s="154">
        <v>10332</v>
      </c>
      <c r="E49" s="231">
        <v>44835</v>
      </c>
      <c r="F49" s="154">
        <v>10332</v>
      </c>
      <c r="G49" s="197">
        <f>Tabla111[[#This Row],[Importe]]-Tabla111[[#This Row],[Pagado]]</f>
        <v>0</v>
      </c>
      <c r="H49" s="153" t="s">
        <v>10</v>
      </c>
    </row>
    <row r="50" spans="1:8" x14ac:dyDescent="0.25">
      <c r="A50" s="73">
        <v>44835</v>
      </c>
      <c r="B50" s="74" t="s">
        <v>31603</v>
      </c>
      <c r="C50" s="75" t="s">
        <v>319</v>
      </c>
      <c r="D50" s="81">
        <v>7218.5</v>
      </c>
      <c r="E50" s="230">
        <v>44836</v>
      </c>
      <c r="F50" s="81">
        <v>7218.5</v>
      </c>
      <c r="G50" s="197">
        <f>Tabla111[[#This Row],[Importe]]-Tabla111[[#This Row],[Pagado]]</f>
        <v>0</v>
      </c>
      <c r="H50" s="75" t="s">
        <v>10</v>
      </c>
    </row>
    <row r="51" spans="1:8" x14ac:dyDescent="0.25">
      <c r="A51" s="148">
        <v>44835</v>
      </c>
      <c r="B51" s="149" t="s">
        <v>31604</v>
      </c>
      <c r="C51" s="153" t="s">
        <v>33</v>
      </c>
      <c r="D51" s="154">
        <v>16138.3</v>
      </c>
      <c r="E51" s="231">
        <v>44835</v>
      </c>
      <c r="F51" s="154">
        <v>16138.3</v>
      </c>
      <c r="G51" s="197">
        <f>Tabla111[[#This Row],[Importe]]-Tabla111[[#This Row],[Pagado]]</f>
        <v>0</v>
      </c>
      <c r="H51" s="153" t="s">
        <v>10</v>
      </c>
    </row>
    <row r="52" spans="1:8" x14ac:dyDescent="0.25">
      <c r="A52" s="73">
        <v>44835</v>
      </c>
      <c r="B52" s="74" t="s">
        <v>31605</v>
      </c>
      <c r="C52" s="75" t="s">
        <v>35</v>
      </c>
      <c r="D52" s="81">
        <v>1934.4</v>
      </c>
      <c r="E52" s="230">
        <v>44836</v>
      </c>
      <c r="F52" s="81">
        <v>1934.4</v>
      </c>
      <c r="G52" s="197">
        <f>Tabla111[[#This Row],[Importe]]-Tabla111[[#This Row],[Pagado]]</f>
        <v>0</v>
      </c>
      <c r="H52" s="75" t="s">
        <v>10</v>
      </c>
    </row>
    <row r="53" spans="1:8" x14ac:dyDescent="0.25">
      <c r="A53" s="148">
        <v>44835</v>
      </c>
      <c r="B53" s="149" t="s">
        <v>31606</v>
      </c>
      <c r="C53" s="153" t="s">
        <v>33</v>
      </c>
      <c r="D53" s="154">
        <v>1248</v>
      </c>
      <c r="E53" s="231">
        <v>44835</v>
      </c>
      <c r="F53" s="154">
        <v>1248</v>
      </c>
      <c r="G53" s="197">
        <f>Tabla111[[#This Row],[Importe]]-Tabla111[[#This Row],[Pagado]]</f>
        <v>0</v>
      </c>
      <c r="H53" s="153" t="s">
        <v>10</v>
      </c>
    </row>
    <row r="54" spans="1:8" x14ac:dyDescent="0.25">
      <c r="A54" s="73">
        <v>44835</v>
      </c>
      <c r="B54" s="74" t="s">
        <v>31607</v>
      </c>
      <c r="C54" s="75" t="s">
        <v>555</v>
      </c>
      <c r="D54" s="81">
        <v>26600</v>
      </c>
      <c r="E54" s="230">
        <v>44836</v>
      </c>
      <c r="F54" s="81">
        <v>26600</v>
      </c>
      <c r="G54" s="197">
        <f>Tabla111[[#This Row],[Importe]]-Tabla111[[#This Row],[Pagado]]</f>
        <v>0</v>
      </c>
      <c r="H54" s="75" t="s">
        <v>10</v>
      </c>
    </row>
    <row r="55" spans="1:8" x14ac:dyDescent="0.25">
      <c r="A55" s="148">
        <v>44835</v>
      </c>
      <c r="B55" s="149" t="s">
        <v>31608</v>
      </c>
      <c r="C55" s="153" t="s">
        <v>51</v>
      </c>
      <c r="D55" s="154">
        <v>4362.3999999999996</v>
      </c>
      <c r="E55" s="231">
        <v>44835</v>
      </c>
      <c r="F55" s="154">
        <v>4362.3999999999996</v>
      </c>
      <c r="G55" s="197">
        <f>Tabla111[[#This Row],[Importe]]-Tabla111[[#This Row],[Pagado]]</f>
        <v>0</v>
      </c>
      <c r="H55" s="153" t="s">
        <v>10</v>
      </c>
    </row>
    <row r="56" spans="1:8" x14ac:dyDescent="0.25">
      <c r="A56" s="73">
        <v>44835</v>
      </c>
      <c r="B56" s="74" t="s">
        <v>31609</v>
      </c>
      <c r="C56" s="75" t="s">
        <v>5906</v>
      </c>
      <c r="D56" s="81">
        <v>1698.4</v>
      </c>
      <c r="E56" s="230">
        <v>44836</v>
      </c>
      <c r="F56" s="81">
        <v>1698.4</v>
      </c>
      <c r="G56" s="197">
        <f>Tabla111[[#This Row],[Importe]]-Tabla111[[#This Row],[Pagado]]</f>
        <v>0</v>
      </c>
      <c r="H56" s="75" t="s">
        <v>10</v>
      </c>
    </row>
    <row r="57" spans="1:8" x14ac:dyDescent="0.25">
      <c r="A57" s="148">
        <v>44835</v>
      </c>
      <c r="B57" s="149" t="s">
        <v>31610</v>
      </c>
      <c r="C57" s="153" t="s">
        <v>520</v>
      </c>
      <c r="D57" s="154">
        <v>5207</v>
      </c>
      <c r="E57" s="231">
        <v>44836</v>
      </c>
      <c r="F57" s="154">
        <v>5207</v>
      </c>
      <c r="G57" s="197">
        <f>Tabla111[[#This Row],[Importe]]-Tabla111[[#This Row],[Pagado]]</f>
        <v>0</v>
      </c>
      <c r="H57" s="153" t="s">
        <v>10</v>
      </c>
    </row>
    <row r="58" spans="1:8" x14ac:dyDescent="0.25">
      <c r="A58" s="73">
        <v>44835</v>
      </c>
      <c r="B58" s="74" t="s">
        <v>31611</v>
      </c>
      <c r="C58" s="75" t="s">
        <v>333</v>
      </c>
      <c r="D58" s="81">
        <v>594</v>
      </c>
      <c r="E58" s="230">
        <v>44835</v>
      </c>
      <c r="F58" s="81">
        <v>594</v>
      </c>
      <c r="G58" s="197">
        <f>Tabla111[[#This Row],[Importe]]-Tabla111[[#This Row],[Pagado]]</f>
        <v>0</v>
      </c>
      <c r="H58" s="75" t="s">
        <v>10</v>
      </c>
    </row>
    <row r="59" spans="1:8" x14ac:dyDescent="0.25">
      <c r="A59" s="148">
        <v>44835</v>
      </c>
      <c r="B59" s="149" t="s">
        <v>31612</v>
      </c>
      <c r="C59" s="153" t="s">
        <v>924</v>
      </c>
      <c r="D59" s="154">
        <v>2295</v>
      </c>
      <c r="E59" s="231">
        <v>44835</v>
      </c>
      <c r="F59" s="154">
        <v>2295</v>
      </c>
      <c r="G59" s="197">
        <f>Tabla111[[#This Row],[Importe]]-Tabla111[[#This Row],[Pagado]]</f>
        <v>0</v>
      </c>
      <c r="H59" s="153" t="s">
        <v>10</v>
      </c>
    </row>
    <row r="60" spans="1:8" x14ac:dyDescent="0.25">
      <c r="A60" s="73">
        <v>44835</v>
      </c>
      <c r="B60" s="74" t="s">
        <v>31613</v>
      </c>
      <c r="C60" s="75" t="s">
        <v>49</v>
      </c>
      <c r="D60" s="81">
        <v>3686.3</v>
      </c>
      <c r="E60" s="230">
        <v>44835</v>
      </c>
      <c r="F60" s="81">
        <v>3686.3</v>
      </c>
      <c r="G60" s="197">
        <f>Tabla111[[#This Row],[Importe]]-Tabla111[[#This Row],[Pagado]]</f>
        <v>0</v>
      </c>
      <c r="H60" s="75" t="s">
        <v>10</v>
      </c>
    </row>
    <row r="61" spans="1:8" x14ac:dyDescent="0.25">
      <c r="A61" s="148">
        <v>44835</v>
      </c>
      <c r="B61" s="149" t="s">
        <v>31614</v>
      </c>
      <c r="C61" s="153" t="s">
        <v>804</v>
      </c>
      <c r="D61" s="154">
        <v>19450.5</v>
      </c>
      <c r="E61" s="231">
        <v>44835</v>
      </c>
      <c r="F61" s="154">
        <v>19450.5</v>
      </c>
      <c r="G61" s="197">
        <f>Tabla111[[#This Row],[Importe]]-Tabla111[[#This Row],[Pagado]]</f>
        <v>0</v>
      </c>
      <c r="H61" s="153" t="s">
        <v>10</v>
      </c>
    </row>
    <row r="62" spans="1:8" x14ac:dyDescent="0.25">
      <c r="A62" s="73">
        <v>44835</v>
      </c>
      <c r="B62" s="74" t="s">
        <v>31615</v>
      </c>
      <c r="C62" s="75" t="s">
        <v>27</v>
      </c>
      <c r="D62" s="81">
        <v>1348.5</v>
      </c>
      <c r="E62" s="230">
        <v>44835</v>
      </c>
      <c r="F62" s="81">
        <v>1348.5</v>
      </c>
      <c r="G62" s="197">
        <f>Tabla111[[#This Row],[Importe]]-Tabla111[[#This Row],[Pagado]]</f>
        <v>0</v>
      </c>
      <c r="H62" s="75" t="s">
        <v>10</v>
      </c>
    </row>
    <row r="63" spans="1:8" x14ac:dyDescent="0.25">
      <c r="A63" s="148">
        <v>44835</v>
      </c>
      <c r="B63" s="149" t="s">
        <v>31616</v>
      </c>
      <c r="C63" s="153" t="s">
        <v>142</v>
      </c>
      <c r="D63" s="154">
        <v>29303.81</v>
      </c>
      <c r="E63" s="231">
        <v>44868</v>
      </c>
      <c r="F63" s="154">
        <v>29303.81</v>
      </c>
      <c r="G63" s="197">
        <f>Tabla111[[#This Row],[Importe]]-Tabla111[[#This Row],[Pagado]]</f>
        <v>0</v>
      </c>
      <c r="H63" s="153" t="s">
        <v>10</v>
      </c>
    </row>
    <row r="64" spans="1:8" x14ac:dyDescent="0.25">
      <c r="A64" s="73">
        <v>44835</v>
      </c>
      <c r="B64" s="74" t="s">
        <v>31617</v>
      </c>
      <c r="C64" s="75" t="s">
        <v>107</v>
      </c>
      <c r="D64" s="81">
        <v>31994.5</v>
      </c>
      <c r="E64" s="230">
        <v>44835</v>
      </c>
      <c r="F64" s="81">
        <v>31994.5</v>
      </c>
      <c r="G64" s="197">
        <f>Tabla111[[#This Row],[Importe]]-Tabla111[[#This Row],[Pagado]]</f>
        <v>0</v>
      </c>
      <c r="H64" s="75" t="s">
        <v>10</v>
      </c>
    </row>
    <row r="65" spans="1:8" x14ac:dyDescent="0.25">
      <c r="A65" s="148">
        <v>44835</v>
      </c>
      <c r="B65" s="149" t="s">
        <v>31618</v>
      </c>
      <c r="C65" s="153" t="s">
        <v>140</v>
      </c>
      <c r="D65" s="154">
        <v>6080.6</v>
      </c>
      <c r="E65" s="231">
        <v>44835</v>
      </c>
      <c r="F65" s="154">
        <v>6080.6</v>
      </c>
      <c r="G65" s="197">
        <f>Tabla111[[#This Row],[Importe]]-Tabla111[[#This Row],[Pagado]]</f>
        <v>0</v>
      </c>
      <c r="H65" s="153" t="s">
        <v>10</v>
      </c>
    </row>
    <row r="66" spans="1:8" x14ac:dyDescent="0.25">
      <c r="A66" s="73">
        <v>44835</v>
      </c>
      <c r="B66" s="74" t="s">
        <v>31619</v>
      </c>
      <c r="C66" s="75" t="s">
        <v>127</v>
      </c>
      <c r="D66" s="81">
        <v>6646.1</v>
      </c>
      <c r="E66" s="230">
        <v>44835</v>
      </c>
      <c r="F66" s="81">
        <v>6646.1</v>
      </c>
      <c r="G66" s="197">
        <f>Tabla111[[#This Row],[Importe]]-Tabla111[[#This Row],[Pagado]]</f>
        <v>0</v>
      </c>
      <c r="H66" s="75" t="s">
        <v>10</v>
      </c>
    </row>
    <row r="67" spans="1:8" x14ac:dyDescent="0.25">
      <c r="A67" s="148">
        <v>44835</v>
      </c>
      <c r="B67" s="149" t="s">
        <v>31620</v>
      </c>
      <c r="C67" s="153" t="s">
        <v>200</v>
      </c>
      <c r="D67" s="154">
        <v>1995</v>
      </c>
      <c r="E67" s="231">
        <v>44835</v>
      </c>
      <c r="F67" s="154">
        <v>1995</v>
      </c>
      <c r="G67" s="197">
        <f>Tabla111[[#This Row],[Importe]]-Tabla111[[#This Row],[Pagado]]</f>
        <v>0</v>
      </c>
      <c r="H67" s="153" t="s">
        <v>10</v>
      </c>
    </row>
    <row r="68" spans="1:8" x14ac:dyDescent="0.25">
      <c r="A68" s="73">
        <v>44835</v>
      </c>
      <c r="B68" s="74" t="s">
        <v>31621</v>
      </c>
      <c r="C68" s="75" t="s">
        <v>12010</v>
      </c>
      <c r="D68" s="81">
        <v>0</v>
      </c>
      <c r="E68" s="232" t="s">
        <v>189</v>
      </c>
      <c r="F68" s="81">
        <v>0</v>
      </c>
      <c r="G68" s="197">
        <f>Tabla111[[#This Row],[Importe]]-Tabla111[[#This Row],[Pagado]]</f>
        <v>0</v>
      </c>
      <c r="H68" s="161" t="s">
        <v>31622</v>
      </c>
    </row>
    <row r="69" spans="1:8" x14ac:dyDescent="0.25">
      <c r="A69" s="148">
        <v>44835</v>
      </c>
      <c r="B69" s="149" t="s">
        <v>31623</v>
      </c>
      <c r="C69" s="153" t="s">
        <v>31624</v>
      </c>
      <c r="D69" s="154">
        <v>0</v>
      </c>
      <c r="E69" s="233" t="s">
        <v>189</v>
      </c>
      <c r="F69" s="154">
        <v>0</v>
      </c>
      <c r="G69" s="197">
        <f>Tabla111[[#This Row],[Importe]]-Tabla111[[#This Row],[Pagado]]</f>
        <v>0</v>
      </c>
      <c r="H69" s="153" t="s">
        <v>189</v>
      </c>
    </row>
    <row r="70" spans="1:8" x14ac:dyDescent="0.25">
      <c r="A70" s="73">
        <v>44835</v>
      </c>
      <c r="B70" s="74" t="s">
        <v>31625</v>
      </c>
      <c r="C70" s="75" t="s">
        <v>181</v>
      </c>
      <c r="D70" s="81">
        <v>13242.6</v>
      </c>
      <c r="E70" s="230">
        <v>44835</v>
      </c>
      <c r="F70" s="81">
        <v>13242.6</v>
      </c>
      <c r="G70" s="197">
        <f>Tabla111[[#This Row],[Importe]]-Tabla111[[#This Row],[Pagado]]</f>
        <v>0</v>
      </c>
      <c r="H70" s="75" t="s">
        <v>10</v>
      </c>
    </row>
    <row r="71" spans="1:8" x14ac:dyDescent="0.25">
      <c r="A71" s="148">
        <v>44835</v>
      </c>
      <c r="B71" s="149" t="s">
        <v>31626</v>
      </c>
      <c r="C71" s="153" t="s">
        <v>230</v>
      </c>
      <c r="D71" s="154">
        <v>11221</v>
      </c>
      <c r="E71" s="231">
        <v>44835</v>
      </c>
      <c r="F71" s="154">
        <v>11221</v>
      </c>
      <c r="G71" s="197">
        <f>Tabla111[[#This Row],[Importe]]-Tabla111[[#This Row],[Pagado]]</f>
        <v>0</v>
      </c>
      <c r="H71" s="153" t="s">
        <v>10</v>
      </c>
    </row>
    <row r="72" spans="1:8" x14ac:dyDescent="0.25">
      <c r="A72" s="73">
        <v>44835</v>
      </c>
      <c r="B72" s="74" t="s">
        <v>31627</v>
      </c>
      <c r="C72" s="75" t="s">
        <v>359</v>
      </c>
      <c r="D72" s="81">
        <v>1875.4</v>
      </c>
      <c r="E72" s="230">
        <v>44835</v>
      </c>
      <c r="F72" s="81">
        <v>1875.4</v>
      </c>
      <c r="G72" s="197">
        <f>Tabla111[[#This Row],[Importe]]-Tabla111[[#This Row],[Pagado]]</f>
        <v>0</v>
      </c>
      <c r="H72" s="75" t="s">
        <v>10</v>
      </c>
    </row>
    <row r="73" spans="1:8" x14ac:dyDescent="0.25">
      <c r="A73" s="148">
        <v>44835</v>
      </c>
      <c r="B73" s="149" t="s">
        <v>31628</v>
      </c>
      <c r="C73" s="153" t="s">
        <v>135</v>
      </c>
      <c r="D73" s="154">
        <v>1504.5</v>
      </c>
      <c r="E73" s="231">
        <v>44835</v>
      </c>
      <c r="F73" s="154">
        <v>1504.5</v>
      </c>
      <c r="G73" s="197">
        <f>Tabla111[[#This Row],[Importe]]-Tabla111[[#This Row],[Pagado]]</f>
        <v>0</v>
      </c>
      <c r="H73" s="153" t="s">
        <v>10</v>
      </c>
    </row>
    <row r="74" spans="1:8" x14ac:dyDescent="0.25">
      <c r="A74" s="73">
        <v>44835</v>
      </c>
      <c r="B74" s="74" t="s">
        <v>31629</v>
      </c>
      <c r="C74" s="75" t="s">
        <v>196</v>
      </c>
      <c r="D74" s="81">
        <v>120954.27</v>
      </c>
      <c r="E74" s="230">
        <v>44841</v>
      </c>
      <c r="F74" s="81">
        <v>120954.27</v>
      </c>
      <c r="G74" s="197">
        <f>Tabla111[[#This Row],[Importe]]-Tabla111[[#This Row],[Pagado]]</f>
        <v>0</v>
      </c>
      <c r="H74" s="75" t="s">
        <v>10</v>
      </c>
    </row>
    <row r="75" spans="1:8" x14ac:dyDescent="0.25">
      <c r="A75" s="148">
        <v>44835</v>
      </c>
      <c r="B75" s="149" t="s">
        <v>31630</v>
      </c>
      <c r="C75" s="153" t="s">
        <v>1362</v>
      </c>
      <c r="D75" s="154">
        <v>4843.8</v>
      </c>
      <c r="E75" s="231">
        <v>44835</v>
      </c>
      <c r="F75" s="154">
        <v>4843.8</v>
      </c>
      <c r="G75" s="197">
        <f>Tabla111[[#This Row],[Importe]]-Tabla111[[#This Row],[Pagado]]</f>
        <v>0</v>
      </c>
      <c r="H75" s="153" t="s">
        <v>10</v>
      </c>
    </row>
    <row r="76" spans="1:8" x14ac:dyDescent="0.25">
      <c r="A76" s="73">
        <v>44835</v>
      </c>
      <c r="B76" s="74" t="s">
        <v>31631</v>
      </c>
      <c r="C76" s="75" t="s">
        <v>45</v>
      </c>
      <c r="D76" s="81">
        <v>10516.5</v>
      </c>
      <c r="E76" s="230">
        <v>44835</v>
      </c>
      <c r="F76" s="81">
        <v>10516.5</v>
      </c>
      <c r="G76" s="197">
        <f>Tabla111[[#This Row],[Importe]]-Tabla111[[#This Row],[Pagado]]</f>
        <v>0</v>
      </c>
      <c r="H76" s="75" t="s">
        <v>10</v>
      </c>
    </row>
    <row r="77" spans="1:8" x14ac:dyDescent="0.25">
      <c r="A77" s="148">
        <v>44835</v>
      </c>
      <c r="B77" s="149" t="s">
        <v>31632</v>
      </c>
      <c r="C77" s="153" t="s">
        <v>11383</v>
      </c>
      <c r="D77" s="154">
        <v>28304</v>
      </c>
      <c r="E77" s="231">
        <v>44835</v>
      </c>
      <c r="F77" s="154">
        <v>28304</v>
      </c>
      <c r="G77" s="197">
        <f>Tabla111[[#This Row],[Importe]]-Tabla111[[#This Row],[Pagado]]</f>
        <v>0</v>
      </c>
      <c r="H77" s="153" t="s">
        <v>10</v>
      </c>
    </row>
    <row r="78" spans="1:8" x14ac:dyDescent="0.25">
      <c r="A78" s="73">
        <v>44835</v>
      </c>
      <c r="B78" s="74" t="s">
        <v>31633</v>
      </c>
      <c r="C78" s="75" t="s">
        <v>216</v>
      </c>
      <c r="D78" s="81">
        <v>1500</v>
      </c>
      <c r="E78" s="230">
        <v>44835</v>
      </c>
      <c r="F78" s="81">
        <v>1500</v>
      </c>
      <c r="G78" s="197">
        <f>Tabla111[[#This Row],[Importe]]-Tabla111[[#This Row],[Pagado]]</f>
        <v>0</v>
      </c>
      <c r="H78" s="75" t="s">
        <v>10</v>
      </c>
    </row>
    <row r="79" spans="1:8" x14ac:dyDescent="0.25">
      <c r="A79" s="148">
        <v>44835</v>
      </c>
      <c r="B79" s="149" t="s">
        <v>31634</v>
      </c>
      <c r="C79" s="153" t="s">
        <v>1003</v>
      </c>
      <c r="D79" s="154">
        <v>7050.2</v>
      </c>
      <c r="E79" s="231">
        <v>44836</v>
      </c>
      <c r="F79" s="154">
        <v>7050.2</v>
      </c>
      <c r="G79" s="197">
        <f>Tabla111[[#This Row],[Importe]]-Tabla111[[#This Row],[Pagado]]</f>
        <v>0</v>
      </c>
      <c r="H79" s="153" t="s">
        <v>10</v>
      </c>
    </row>
    <row r="80" spans="1:8" x14ac:dyDescent="0.25">
      <c r="A80" s="73">
        <v>44835</v>
      </c>
      <c r="B80" s="74" t="s">
        <v>31635</v>
      </c>
      <c r="C80" s="75" t="s">
        <v>31</v>
      </c>
      <c r="D80" s="81">
        <v>712.5</v>
      </c>
      <c r="E80" s="230">
        <v>44835</v>
      </c>
      <c r="F80" s="81">
        <v>712.5</v>
      </c>
      <c r="G80" s="197">
        <f>Tabla111[[#This Row],[Importe]]-Tabla111[[#This Row],[Pagado]]</f>
        <v>0</v>
      </c>
      <c r="H80" s="75" t="s">
        <v>10</v>
      </c>
    </row>
    <row r="81" spans="1:8" x14ac:dyDescent="0.25">
      <c r="A81" s="148">
        <v>44835</v>
      </c>
      <c r="B81" s="149" t="s">
        <v>31636</v>
      </c>
      <c r="C81" s="153" t="s">
        <v>4136</v>
      </c>
      <c r="D81" s="154">
        <v>1340.9</v>
      </c>
      <c r="E81" s="231">
        <v>44835</v>
      </c>
      <c r="F81" s="154">
        <v>1340.9</v>
      </c>
      <c r="G81" s="197">
        <f>Tabla111[[#This Row],[Importe]]-Tabla111[[#This Row],[Pagado]]</f>
        <v>0</v>
      </c>
      <c r="H81" s="153" t="s">
        <v>10</v>
      </c>
    </row>
    <row r="82" spans="1:8" x14ac:dyDescent="0.25">
      <c r="A82" s="73">
        <v>44835</v>
      </c>
      <c r="B82" s="74" t="s">
        <v>31637</v>
      </c>
      <c r="C82" s="75" t="s">
        <v>69</v>
      </c>
      <c r="D82" s="81">
        <v>2572.5</v>
      </c>
      <c r="E82" s="230">
        <v>44835</v>
      </c>
      <c r="F82" s="81">
        <v>2572.5</v>
      </c>
      <c r="G82" s="197">
        <f>Tabla111[[#This Row],[Importe]]-Tabla111[[#This Row],[Pagado]]</f>
        <v>0</v>
      </c>
      <c r="H82" s="75" t="s">
        <v>10</v>
      </c>
    </row>
    <row r="83" spans="1:8" x14ac:dyDescent="0.25">
      <c r="A83" s="148">
        <v>44835</v>
      </c>
      <c r="B83" s="149" t="s">
        <v>31638</v>
      </c>
      <c r="C83" s="153" t="s">
        <v>31</v>
      </c>
      <c r="D83" s="154">
        <v>752</v>
      </c>
      <c r="E83" s="231">
        <v>44835</v>
      </c>
      <c r="F83" s="154">
        <v>752</v>
      </c>
      <c r="G83" s="197">
        <f>Tabla111[[#This Row],[Importe]]-Tabla111[[#This Row],[Pagado]]</f>
        <v>0</v>
      </c>
      <c r="H83" s="153" t="s">
        <v>10</v>
      </c>
    </row>
    <row r="84" spans="1:8" x14ac:dyDescent="0.25">
      <c r="A84" s="73">
        <v>44835</v>
      </c>
      <c r="B84" s="74" t="s">
        <v>31639</v>
      </c>
      <c r="C84" s="75" t="s">
        <v>8190</v>
      </c>
      <c r="D84" s="81">
        <v>4354.8</v>
      </c>
      <c r="E84" s="230">
        <v>44835</v>
      </c>
      <c r="F84" s="81">
        <v>4354.8</v>
      </c>
      <c r="G84" s="197">
        <f>Tabla111[[#This Row],[Importe]]-Tabla111[[#This Row],[Pagado]]</f>
        <v>0</v>
      </c>
      <c r="H84" s="75" t="s">
        <v>10</v>
      </c>
    </row>
    <row r="85" spans="1:8" x14ac:dyDescent="0.25">
      <c r="A85" s="148">
        <v>44835</v>
      </c>
      <c r="B85" s="149" t="s">
        <v>31640</v>
      </c>
      <c r="C85" s="153" t="s">
        <v>28087</v>
      </c>
      <c r="D85" s="154">
        <v>193335.18</v>
      </c>
      <c r="E85" s="231">
        <v>44837</v>
      </c>
      <c r="F85" s="154">
        <v>193335.18</v>
      </c>
      <c r="G85" s="197">
        <f>Tabla111[[#This Row],[Importe]]-Tabla111[[#This Row],[Pagado]]</f>
        <v>0</v>
      </c>
      <c r="H85" s="153" t="s">
        <v>10</v>
      </c>
    </row>
    <row r="86" spans="1:8" x14ac:dyDescent="0.25">
      <c r="A86" s="73">
        <v>44835</v>
      </c>
      <c r="B86" s="74" t="s">
        <v>31641</v>
      </c>
      <c r="C86" s="75" t="s">
        <v>1362</v>
      </c>
      <c r="D86" s="81">
        <v>4758</v>
      </c>
      <c r="E86" s="230">
        <v>44835</v>
      </c>
      <c r="F86" s="81">
        <v>4758</v>
      </c>
      <c r="G86" s="197">
        <f>Tabla111[[#This Row],[Importe]]-Tabla111[[#This Row],[Pagado]]</f>
        <v>0</v>
      </c>
      <c r="H86" s="75" t="s">
        <v>10</v>
      </c>
    </row>
    <row r="87" spans="1:8" x14ac:dyDescent="0.25">
      <c r="A87" s="148">
        <v>44835</v>
      </c>
      <c r="B87" s="149" t="s">
        <v>31642</v>
      </c>
      <c r="C87" s="153" t="s">
        <v>31</v>
      </c>
      <c r="D87" s="154">
        <v>5156.2</v>
      </c>
      <c r="E87" s="231">
        <v>44835</v>
      </c>
      <c r="F87" s="154">
        <v>5156.2</v>
      </c>
      <c r="G87" s="197">
        <f>Tabla111[[#This Row],[Importe]]-Tabla111[[#This Row],[Pagado]]</f>
        <v>0</v>
      </c>
      <c r="H87" s="153" t="s">
        <v>10</v>
      </c>
    </row>
    <row r="88" spans="1:8" x14ac:dyDescent="0.25">
      <c r="A88" s="73">
        <v>44835</v>
      </c>
      <c r="B88" s="74" t="s">
        <v>31643</v>
      </c>
      <c r="C88" s="75" t="s">
        <v>56</v>
      </c>
      <c r="D88" s="81">
        <v>4247.6000000000004</v>
      </c>
      <c r="E88" s="230">
        <v>44835</v>
      </c>
      <c r="F88" s="81">
        <v>4247.6000000000004</v>
      </c>
      <c r="G88" s="197">
        <f>Tabla111[[#This Row],[Importe]]-Tabla111[[#This Row],[Pagado]]</f>
        <v>0</v>
      </c>
      <c r="H88" s="75" t="s">
        <v>10</v>
      </c>
    </row>
    <row r="89" spans="1:8" x14ac:dyDescent="0.25">
      <c r="A89" s="148">
        <v>44835</v>
      </c>
      <c r="B89" s="149" t="s">
        <v>31644</v>
      </c>
      <c r="C89" s="153" t="s">
        <v>31</v>
      </c>
      <c r="D89" s="154">
        <v>1267.5</v>
      </c>
      <c r="E89" s="231">
        <v>44835</v>
      </c>
      <c r="F89" s="154">
        <v>1267.5</v>
      </c>
      <c r="G89" s="197">
        <f>Tabla111[[#This Row],[Importe]]-Tabla111[[#This Row],[Pagado]]</f>
        <v>0</v>
      </c>
      <c r="H89" s="153" t="s">
        <v>10</v>
      </c>
    </row>
    <row r="90" spans="1:8" x14ac:dyDescent="0.25">
      <c r="A90" s="73">
        <v>44835</v>
      </c>
      <c r="B90" s="74" t="s">
        <v>31645</v>
      </c>
      <c r="C90" s="75" t="s">
        <v>31</v>
      </c>
      <c r="D90" s="81">
        <v>1238.8</v>
      </c>
      <c r="E90" s="230">
        <v>44835</v>
      </c>
      <c r="F90" s="81">
        <v>1238.8</v>
      </c>
      <c r="G90" s="197">
        <f>Tabla111[[#This Row],[Importe]]-Tabla111[[#This Row],[Pagado]]</f>
        <v>0</v>
      </c>
      <c r="H90" s="75" t="s">
        <v>10</v>
      </c>
    </row>
    <row r="91" spans="1:8" x14ac:dyDescent="0.25">
      <c r="A91" s="148">
        <v>44835</v>
      </c>
      <c r="B91" s="149" t="s">
        <v>31646</v>
      </c>
      <c r="C91" s="153" t="s">
        <v>31</v>
      </c>
      <c r="D91" s="154">
        <v>680</v>
      </c>
      <c r="E91" s="231">
        <v>44835</v>
      </c>
      <c r="F91" s="154">
        <v>680</v>
      </c>
      <c r="G91" s="197">
        <f>Tabla111[[#This Row],[Importe]]-Tabla111[[#This Row],[Pagado]]</f>
        <v>0</v>
      </c>
      <c r="H91" s="153" t="s">
        <v>10</v>
      </c>
    </row>
    <row r="92" spans="1:8" x14ac:dyDescent="0.25">
      <c r="A92" s="73">
        <v>44835</v>
      </c>
      <c r="B92" s="74" t="s">
        <v>31647</v>
      </c>
      <c r="C92" s="75" t="s">
        <v>421</v>
      </c>
      <c r="D92" s="81">
        <v>10647.8</v>
      </c>
      <c r="E92" s="230">
        <v>44835</v>
      </c>
      <c r="F92" s="81">
        <v>10647.8</v>
      </c>
      <c r="G92" s="197">
        <f>Tabla111[[#This Row],[Importe]]-Tabla111[[#This Row],[Pagado]]</f>
        <v>0</v>
      </c>
      <c r="H92" s="75" t="s">
        <v>10</v>
      </c>
    </row>
    <row r="93" spans="1:8" x14ac:dyDescent="0.25">
      <c r="A93" s="148">
        <v>44835</v>
      </c>
      <c r="B93" s="149" t="s">
        <v>31648</v>
      </c>
      <c r="C93" s="153" t="s">
        <v>857</v>
      </c>
      <c r="D93" s="154">
        <v>666.7</v>
      </c>
      <c r="E93" s="231">
        <v>44835</v>
      </c>
      <c r="F93" s="154">
        <v>666.7</v>
      </c>
      <c r="G93" s="197">
        <f>Tabla111[[#This Row],[Importe]]-Tabla111[[#This Row],[Pagado]]</f>
        <v>0</v>
      </c>
      <c r="H93" s="153" t="s">
        <v>10</v>
      </c>
    </row>
    <row r="94" spans="1:8" x14ac:dyDescent="0.25">
      <c r="A94" s="73">
        <v>44835</v>
      </c>
      <c r="B94" s="74" t="s">
        <v>31649</v>
      </c>
      <c r="C94" s="75" t="s">
        <v>31</v>
      </c>
      <c r="D94" s="81">
        <v>1260</v>
      </c>
      <c r="E94" s="230">
        <v>44835</v>
      </c>
      <c r="F94" s="81">
        <v>1260</v>
      </c>
      <c r="G94" s="197">
        <f>Tabla111[[#This Row],[Importe]]-Tabla111[[#This Row],[Pagado]]</f>
        <v>0</v>
      </c>
      <c r="H94" s="75" t="s">
        <v>10</v>
      </c>
    </row>
    <row r="95" spans="1:8" x14ac:dyDescent="0.25">
      <c r="A95" s="148">
        <v>44835</v>
      </c>
      <c r="B95" s="149" t="s">
        <v>31650</v>
      </c>
      <c r="C95" s="153" t="s">
        <v>58</v>
      </c>
      <c r="D95" s="154">
        <v>4939.3999999999996</v>
      </c>
      <c r="E95" s="231">
        <v>44835</v>
      </c>
      <c r="F95" s="154">
        <v>4939.3999999999996</v>
      </c>
      <c r="G95" s="197">
        <f>Tabla111[[#This Row],[Importe]]-Tabla111[[#This Row],[Pagado]]</f>
        <v>0</v>
      </c>
      <c r="H95" s="153" t="s">
        <v>10</v>
      </c>
    </row>
    <row r="96" spans="1:8" x14ac:dyDescent="0.25">
      <c r="A96" s="73">
        <v>44835</v>
      </c>
      <c r="B96" s="74" t="s">
        <v>31651</v>
      </c>
      <c r="C96" s="75" t="s">
        <v>214</v>
      </c>
      <c r="D96" s="81">
        <v>2107.5</v>
      </c>
      <c r="E96" s="230">
        <v>44835</v>
      </c>
      <c r="F96" s="81">
        <v>2107.5</v>
      </c>
      <c r="G96" s="197">
        <f>Tabla111[[#This Row],[Importe]]-Tabla111[[#This Row],[Pagado]]</f>
        <v>0</v>
      </c>
      <c r="H96" s="75" t="s">
        <v>10</v>
      </c>
    </row>
    <row r="97" spans="1:8" x14ac:dyDescent="0.25">
      <c r="A97" s="148">
        <v>44835</v>
      </c>
      <c r="B97" s="149" t="s">
        <v>31652</v>
      </c>
      <c r="C97" s="153" t="s">
        <v>67</v>
      </c>
      <c r="D97" s="154">
        <v>4400</v>
      </c>
      <c r="E97" s="231">
        <v>44835</v>
      </c>
      <c r="F97" s="154">
        <v>4400</v>
      </c>
      <c r="G97" s="197">
        <f>Tabla111[[#This Row],[Importe]]-Tabla111[[#This Row],[Pagado]]</f>
        <v>0</v>
      </c>
      <c r="H97" s="153" t="s">
        <v>10</v>
      </c>
    </row>
    <row r="98" spans="1:8" x14ac:dyDescent="0.25">
      <c r="A98" s="73">
        <v>44835</v>
      </c>
      <c r="B98" s="74" t="s">
        <v>31653</v>
      </c>
      <c r="C98" s="75" t="s">
        <v>53</v>
      </c>
      <c r="D98" s="81">
        <v>2948.3</v>
      </c>
      <c r="E98" s="230">
        <v>44835</v>
      </c>
      <c r="F98" s="81">
        <v>2948.3</v>
      </c>
      <c r="G98" s="197">
        <f>Tabla111[[#This Row],[Importe]]-Tabla111[[#This Row],[Pagado]]</f>
        <v>0</v>
      </c>
      <c r="H98" s="75" t="s">
        <v>10</v>
      </c>
    </row>
    <row r="99" spans="1:8" x14ac:dyDescent="0.25">
      <c r="A99" s="148">
        <v>44835</v>
      </c>
      <c r="B99" s="149" t="s">
        <v>31654</v>
      </c>
      <c r="C99" s="153" t="s">
        <v>62</v>
      </c>
      <c r="D99" s="154">
        <v>5912.8</v>
      </c>
      <c r="E99" s="231">
        <v>44835</v>
      </c>
      <c r="F99" s="154">
        <v>5912.8</v>
      </c>
      <c r="G99" s="197">
        <f>Tabla111[[#This Row],[Importe]]-Tabla111[[#This Row],[Pagado]]</f>
        <v>0</v>
      </c>
      <c r="H99" s="153" t="s">
        <v>10</v>
      </c>
    </row>
    <row r="100" spans="1:8" x14ac:dyDescent="0.25">
      <c r="A100" s="73">
        <v>44835</v>
      </c>
      <c r="B100" s="74" t="s">
        <v>31655</v>
      </c>
      <c r="C100" s="75" t="s">
        <v>681</v>
      </c>
      <c r="D100" s="81">
        <v>2.41</v>
      </c>
      <c r="E100" s="230">
        <v>44839</v>
      </c>
      <c r="F100" s="81">
        <v>2.41</v>
      </c>
      <c r="G100" s="197">
        <f>Tabla111[[#This Row],[Importe]]-Tabla111[[#This Row],[Pagado]]</f>
        <v>0</v>
      </c>
      <c r="H100" s="75" t="s">
        <v>10</v>
      </c>
    </row>
    <row r="101" spans="1:8" x14ac:dyDescent="0.25">
      <c r="A101" s="148">
        <v>44835</v>
      </c>
      <c r="B101" s="149" t="s">
        <v>31656</v>
      </c>
      <c r="C101" s="153" t="s">
        <v>296</v>
      </c>
      <c r="D101" s="154">
        <v>3726.8</v>
      </c>
      <c r="E101" s="231">
        <v>44835</v>
      </c>
      <c r="F101" s="154">
        <v>3726.8</v>
      </c>
      <c r="G101" s="197">
        <f>Tabla111[[#This Row],[Importe]]-Tabla111[[#This Row],[Pagado]]</f>
        <v>0</v>
      </c>
      <c r="H101" s="153" t="s">
        <v>10</v>
      </c>
    </row>
    <row r="102" spans="1:8" x14ac:dyDescent="0.25">
      <c r="A102" s="73">
        <v>44835</v>
      </c>
      <c r="B102" s="74" t="s">
        <v>31657</v>
      </c>
      <c r="C102" s="75" t="s">
        <v>244</v>
      </c>
      <c r="D102" s="81">
        <v>1278</v>
      </c>
      <c r="E102" s="230">
        <v>44835</v>
      </c>
      <c r="F102" s="81">
        <v>1278</v>
      </c>
      <c r="G102" s="197">
        <f>Tabla111[[#This Row],[Importe]]-Tabla111[[#This Row],[Pagado]]</f>
        <v>0</v>
      </c>
      <c r="H102" s="75" t="s">
        <v>10</v>
      </c>
    </row>
    <row r="103" spans="1:8" x14ac:dyDescent="0.25">
      <c r="A103" s="148">
        <v>44835</v>
      </c>
      <c r="B103" s="149" t="s">
        <v>31658</v>
      </c>
      <c r="C103" s="153" t="s">
        <v>62</v>
      </c>
      <c r="D103" s="154">
        <v>2804.4</v>
      </c>
      <c r="E103" s="231">
        <v>44835</v>
      </c>
      <c r="F103" s="154">
        <v>2804.4</v>
      </c>
      <c r="G103" s="197">
        <f>Tabla111[[#This Row],[Importe]]-Tabla111[[#This Row],[Pagado]]</f>
        <v>0</v>
      </c>
      <c r="H103" s="153" t="s">
        <v>10</v>
      </c>
    </row>
    <row r="104" spans="1:8" x14ac:dyDescent="0.25">
      <c r="A104" s="73">
        <v>44835</v>
      </c>
      <c r="B104" s="74" t="s">
        <v>31659</v>
      </c>
      <c r="C104" s="75" t="s">
        <v>9827</v>
      </c>
      <c r="D104" s="81">
        <v>5617.5</v>
      </c>
      <c r="E104" s="230">
        <v>44835</v>
      </c>
      <c r="F104" s="81">
        <v>5617.5</v>
      </c>
      <c r="G104" s="197">
        <f>Tabla111[[#This Row],[Importe]]-Tabla111[[#This Row],[Pagado]]</f>
        <v>0</v>
      </c>
      <c r="H104" s="75" t="s">
        <v>10</v>
      </c>
    </row>
    <row r="105" spans="1:8" x14ac:dyDescent="0.25">
      <c r="A105" s="148">
        <v>44835</v>
      </c>
      <c r="B105" s="149" t="s">
        <v>31660</v>
      </c>
      <c r="C105" s="153" t="s">
        <v>31</v>
      </c>
      <c r="D105" s="154">
        <v>304</v>
      </c>
      <c r="E105" s="231">
        <v>44835</v>
      </c>
      <c r="F105" s="154">
        <v>304</v>
      </c>
      <c r="G105" s="197">
        <f>Tabla111[[#This Row],[Importe]]-Tabla111[[#This Row],[Pagado]]</f>
        <v>0</v>
      </c>
      <c r="H105" s="153" t="s">
        <v>10</v>
      </c>
    </row>
    <row r="106" spans="1:8" x14ac:dyDescent="0.25">
      <c r="A106" s="73">
        <v>44835</v>
      </c>
      <c r="B106" s="74" t="s">
        <v>31661</v>
      </c>
      <c r="C106" s="75" t="s">
        <v>452</v>
      </c>
      <c r="D106" s="81">
        <v>3990</v>
      </c>
      <c r="E106" s="230">
        <v>44835</v>
      </c>
      <c r="F106" s="81">
        <v>3990</v>
      </c>
      <c r="G106" s="197">
        <f>Tabla111[[#This Row],[Importe]]-Tabla111[[#This Row],[Pagado]]</f>
        <v>0</v>
      </c>
      <c r="H106" s="75" t="s">
        <v>10</v>
      </c>
    </row>
    <row r="107" spans="1:8" x14ac:dyDescent="0.25">
      <c r="A107" s="148">
        <v>44835</v>
      </c>
      <c r="B107" s="149" t="s">
        <v>31662</v>
      </c>
      <c r="C107" s="153" t="s">
        <v>452</v>
      </c>
      <c r="D107" s="154">
        <v>1159</v>
      </c>
      <c r="E107" s="231">
        <v>44835</v>
      </c>
      <c r="F107" s="154">
        <v>1159</v>
      </c>
      <c r="G107" s="197">
        <f>Tabla111[[#This Row],[Importe]]-Tabla111[[#This Row],[Pagado]]</f>
        <v>0</v>
      </c>
      <c r="H107" s="153" t="s">
        <v>10</v>
      </c>
    </row>
    <row r="108" spans="1:8" x14ac:dyDescent="0.25">
      <c r="A108" s="73">
        <v>44835</v>
      </c>
      <c r="B108" s="74" t="s">
        <v>31663</v>
      </c>
      <c r="C108" s="75" t="s">
        <v>28087</v>
      </c>
      <c r="D108" s="81">
        <v>2000</v>
      </c>
      <c r="E108" s="230">
        <v>44838</v>
      </c>
      <c r="F108" s="81">
        <v>2000</v>
      </c>
      <c r="G108" s="197">
        <f>Tabla111[[#This Row],[Importe]]-Tabla111[[#This Row],[Pagado]]</f>
        <v>0</v>
      </c>
      <c r="H108" s="75" t="s">
        <v>10</v>
      </c>
    </row>
    <row r="109" spans="1:8" x14ac:dyDescent="0.25">
      <c r="A109" s="148">
        <v>44835</v>
      </c>
      <c r="B109" s="149" t="s">
        <v>31664</v>
      </c>
      <c r="C109" s="153" t="s">
        <v>670</v>
      </c>
      <c r="D109" s="154">
        <v>1994.3</v>
      </c>
      <c r="E109" s="231">
        <v>44835</v>
      </c>
      <c r="F109" s="154">
        <v>1994.3</v>
      </c>
      <c r="G109" s="197">
        <f>Tabla111[[#This Row],[Importe]]-Tabla111[[#This Row],[Pagado]]</f>
        <v>0</v>
      </c>
      <c r="H109" s="153" t="s">
        <v>10</v>
      </c>
    </row>
    <row r="110" spans="1:8" x14ac:dyDescent="0.25">
      <c r="A110" s="73">
        <v>44835</v>
      </c>
      <c r="B110" s="74" t="s">
        <v>31665</v>
      </c>
      <c r="C110" s="75" t="s">
        <v>670</v>
      </c>
      <c r="D110" s="81">
        <v>615.6</v>
      </c>
      <c r="E110" s="230">
        <v>44835</v>
      </c>
      <c r="F110" s="81">
        <v>615.6</v>
      </c>
      <c r="G110" s="197">
        <f>Tabla111[[#This Row],[Importe]]-Tabla111[[#This Row],[Pagado]]</f>
        <v>0</v>
      </c>
      <c r="H110" s="75" t="s">
        <v>10</v>
      </c>
    </row>
    <row r="111" spans="1:8" x14ac:dyDescent="0.25">
      <c r="A111" s="148">
        <v>44835</v>
      </c>
      <c r="B111" s="149" t="s">
        <v>31666</v>
      </c>
      <c r="C111" s="153" t="s">
        <v>12</v>
      </c>
      <c r="D111" s="154">
        <v>4402.5</v>
      </c>
      <c r="E111" s="231">
        <v>44836</v>
      </c>
      <c r="F111" s="154">
        <v>4402.5</v>
      </c>
      <c r="G111" s="197">
        <f>Tabla111[[#This Row],[Importe]]-Tabla111[[#This Row],[Pagado]]</f>
        <v>0</v>
      </c>
      <c r="H111" s="153" t="s">
        <v>10</v>
      </c>
    </row>
    <row r="112" spans="1:8" x14ac:dyDescent="0.25">
      <c r="A112" s="73">
        <v>44835</v>
      </c>
      <c r="B112" s="74" t="s">
        <v>31667</v>
      </c>
      <c r="C112" s="75" t="s">
        <v>51</v>
      </c>
      <c r="D112" s="81">
        <v>2473.94</v>
      </c>
      <c r="E112" s="230">
        <v>44835</v>
      </c>
      <c r="F112" s="81">
        <v>2473.94</v>
      </c>
      <c r="G112" s="197">
        <f>Tabla111[[#This Row],[Importe]]-Tabla111[[#This Row],[Pagado]]</f>
        <v>0</v>
      </c>
      <c r="H112" s="75" t="s">
        <v>10</v>
      </c>
    </row>
    <row r="113" spans="1:8" x14ac:dyDescent="0.25">
      <c r="A113" s="148">
        <v>44835</v>
      </c>
      <c r="B113" s="149" t="s">
        <v>31668</v>
      </c>
      <c r="C113" s="153" t="s">
        <v>31</v>
      </c>
      <c r="D113" s="154">
        <v>5700</v>
      </c>
      <c r="E113" s="231">
        <v>44835</v>
      </c>
      <c r="F113" s="154">
        <v>5700</v>
      </c>
      <c r="G113" s="197">
        <f>Tabla111[[#This Row],[Importe]]-Tabla111[[#This Row],[Pagado]]</f>
        <v>0</v>
      </c>
      <c r="H113" s="153" t="s">
        <v>10</v>
      </c>
    </row>
    <row r="114" spans="1:8" x14ac:dyDescent="0.25">
      <c r="A114" s="73">
        <v>44835</v>
      </c>
      <c r="B114" s="74" t="s">
        <v>31669</v>
      </c>
      <c r="C114" s="75" t="s">
        <v>14375</v>
      </c>
      <c r="D114" s="81">
        <v>0</v>
      </c>
      <c r="E114" s="232" t="s">
        <v>189</v>
      </c>
      <c r="F114" s="81">
        <v>0</v>
      </c>
      <c r="G114" s="197">
        <f>Tabla111[[#This Row],[Importe]]-Tabla111[[#This Row],[Pagado]]</f>
        <v>0</v>
      </c>
      <c r="H114" s="75" t="s">
        <v>189</v>
      </c>
    </row>
    <row r="115" spans="1:8" x14ac:dyDescent="0.25">
      <c r="A115" s="148">
        <v>44835</v>
      </c>
      <c r="B115" s="149" t="s">
        <v>31670</v>
      </c>
      <c r="C115" s="153" t="s">
        <v>14375</v>
      </c>
      <c r="D115" s="154">
        <v>0</v>
      </c>
      <c r="E115" s="233" t="s">
        <v>189</v>
      </c>
      <c r="F115" s="154">
        <v>0</v>
      </c>
      <c r="G115" s="197">
        <f>Tabla111[[#This Row],[Importe]]-Tabla111[[#This Row],[Pagado]]</f>
        <v>0</v>
      </c>
      <c r="H115" s="153" t="s">
        <v>189</v>
      </c>
    </row>
    <row r="116" spans="1:8" x14ac:dyDescent="0.25">
      <c r="A116" s="73">
        <v>44835</v>
      </c>
      <c r="B116" s="74" t="s">
        <v>31671</v>
      </c>
      <c r="C116" s="75" t="s">
        <v>1421</v>
      </c>
      <c r="D116" s="81">
        <v>64171.8</v>
      </c>
      <c r="E116" s="230">
        <v>44835</v>
      </c>
      <c r="F116" s="81">
        <v>64171.8</v>
      </c>
      <c r="G116" s="197">
        <f>Tabla111[[#This Row],[Importe]]-Tabla111[[#This Row],[Pagado]]</f>
        <v>0</v>
      </c>
      <c r="H116" s="75" t="s">
        <v>10</v>
      </c>
    </row>
    <row r="117" spans="1:8" x14ac:dyDescent="0.25">
      <c r="A117" s="148">
        <v>44835</v>
      </c>
      <c r="B117" s="149" t="s">
        <v>31672</v>
      </c>
      <c r="C117" s="153" t="s">
        <v>450</v>
      </c>
      <c r="D117" s="154">
        <v>1286.2</v>
      </c>
      <c r="E117" s="231">
        <v>44835</v>
      </c>
      <c r="F117" s="154">
        <v>1286.2</v>
      </c>
      <c r="G117" s="197">
        <f>Tabla111[[#This Row],[Importe]]-Tabla111[[#This Row],[Pagado]]</f>
        <v>0</v>
      </c>
      <c r="H117" s="153" t="s">
        <v>10</v>
      </c>
    </row>
    <row r="118" spans="1:8" x14ac:dyDescent="0.25">
      <c r="A118" s="73">
        <v>44835</v>
      </c>
      <c r="B118" s="74" t="s">
        <v>31673</v>
      </c>
      <c r="C118" s="75" t="s">
        <v>461</v>
      </c>
      <c r="D118" s="81">
        <v>394</v>
      </c>
      <c r="E118" s="230">
        <v>44835</v>
      </c>
      <c r="F118" s="81">
        <v>394</v>
      </c>
      <c r="G118" s="197">
        <f>Tabla111[[#This Row],[Importe]]-Tabla111[[#This Row],[Pagado]]</f>
        <v>0</v>
      </c>
      <c r="H118" s="75" t="s">
        <v>10</v>
      </c>
    </row>
    <row r="119" spans="1:8" x14ac:dyDescent="0.25">
      <c r="A119" s="148">
        <v>44835</v>
      </c>
      <c r="B119" s="149" t="s">
        <v>31674</v>
      </c>
      <c r="C119" s="153" t="s">
        <v>31</v>
      </c>
      <c r="D119" s="154">
        <v>2166</v>
      </c>
      <c r="E119" s="231">
        <v>44835</v>
      </c>
      <c r="F119" s="154">
        <v>2166</v>
      </c>
      <c r="G119" s="197">
        <f>Tabla111[[#This Row],[Importe]]-Tabla111[[#This Row],[Pagado]]</f>
        <v>0</v>
      </c>
      <c r="H119" s="153" t="s">
        <v>10</v>
      </c>
    </row>
    <row r="120" spans="1:8" x14ac:dyDescent="0.25">
      <c r="A120" s="73">
        <v>44835</v>
      </c>
      <c r="B120" s="74" t="s">
        <v>31675</v>
      </c>
      <c r="C120" s="75" t="s">
        <v>53</v>
      </c>
      <c r="D120" s="81">
        <v>663</v>
      </c>
      <c r="E120" s="230">
        <v>44835</v>
      </c>
      <c r="F120" s="81">
        <v>663</v>
      </c>
      <c r="G120" s="197">
        <f>Tabla111[[#This Row],[Importe]]-Tabla111[[#This Row],[Pagado]]</f>
        <v>0</v>
      </c>
      <c r="H120" s="75" t="s">
        <v>10</v>
      </c>
    </row>
    <row r="121" spans="1:8" x14ac:dyDescent="0.25">
      <c r="A121" s="148">
        <v>44835</v>
      </c>
      <c r="B121" s="149" t="s">
        <v>31676</v>
      </c>
      <c r="C121" s="153" t="s">
        <v>1008</v>
      </c>
      <c r="D121" s="154">
        <v>660</v>
      </c>
      <c r="E121" s="231">
        <v>44835</v>
      </c>
      <c r="F121" s="154">
        <v>660</v>
      </c>
      <c r="G121" s="197">
        <f>Tabla111[[#This Row],[Importe]]-Tabla111[[#This Row],[Pagado]]</f>
        <v>0</v>
      </c>
      <c r="H121" s="153" t="s">
        <v>10</v>
      </c>
    </row>
    <row r="122" spans="1:8" x14ac:dyDescent="0.25">
      <c r="A122" s="73">
        <v>44835</v>
      </c>
      <c r="B122" s="74" t="s">
        <v>31677</v>
      </c>
      <c r="C122" s="75" t="s">
        <v>24</v>
      </c>
      <c r="D122" s="81">
        <v>6080.8</v>
      </c>
      <c r="E122" s="230">
        <v>44835</v>
      </c>
      <c r="F122" s="81">
        <v>6080.8</v>
      </c>
      <c r="G122" s="197">
        <f>Tabla111[[#This Row],[Importe]]-Tabla111[[#This Row],[Pagado]]</f>
        <v>0</v>
      </c>
      <c r="H122" s="75" t="s">
        <v>10</v>
      </c>
    </row>
    <row r="123" spans="1:8" x14ac:dyDescent="0.25">
      <c r="A123" s="148">
        <v>44835</v>
      </c>
      <c r="B123" s="149" t="s">
        <v>31678</v>
      </c>
      <c r="C123" s="153" t="s">
        <v>296</v>
      </c>
      <c r="D123" s="154">
        <v>593.6</v>
      </c>
      <c r="E123" s="231">
        <v>44835</v>
      </c>
      <c r="F123" s="154">
        <v>593.6</v>
      </c>
      <c r="G123" s="197">
        <f>Tabla111[[#This Row],[Importe]]-Tabla111[[#This Row],[Pagado]]</f>
        <v>0</v>
      </c>
      <c r="H123" s="153" t="s">
        <v>10</v>
      </c>
    </row>
    <row r="124" spans="1:8" x14ac:dyDescent="0.25">
      <c r="A124" s="73">
        <v>44835</v>
      </c>
      <c r="B124" s="74" t="s">
        <v>31679</v>
      </c>
      <c r="C124" s="75" t="s">
        <v>296</v>
      </c>
      <c r="D124" s="81">
        <v>3891.2</v>
      </c>
      <c r="E124" s="230">
        <v>44835</v>
      </c>
      <c r="F124" s="81">
        <v>3891.2</v>
      </c>
      <c r="G124" s="197">
        <f>Tabla111[[#This Row],[Importe]]-Tabla111[[#This Row],[Pagado]]</f>
        <v>0</v>
      </c>
      <c r="H124" s="75" t="s">
        <v>10</v>
      </c>
    </row>
    <row r="125" spans="1:8" x14ac:dyDescent="0.25">
      <c r="A125" s="148">
        <v>44835</v>
      </c>
      <c r="B125" s="149" t="s">
        <v>31680</v>
      </c>
      <c r="C125" s="153" t="s">
        <v>284</v>
      </c>
      <c r="D125" s="154">
        <v>15142.5</v>
      </c>
      <c r="E125" s="231">
        <v>44836</v>
      </c>
      <c r="F125" s="154">
        <v>15142.5</v>
      </c>
      <c r="G125" s="197">
        <f>Tabla111[[#This Row],[Importe]]-Tabla111[[#This Row],[Pagado]]</f>
        <v>0</v>
      </c>
      <c r="H125" s="153" t="s">
        <v>10</v>
      </c>
    </row>
    <row r="126" spans="1:8" x14ac:dyDescent="0.25">
      <c r="A126" s="73">
        <v>44835</v>
      </c>
      <c r="B126" s="74" t="s">
        <v>31681</v>
      </c>
      <c r="C126" s="75" t="s">
        <v>31</v>
      </c>
      <c r="D126" s="81">
        <v>121.5</v>
      </c>
      <c r="E126" s="230">
        <v>44835</v>
      </c>
      <c r="F126" s="81">
        <v>121.5</v>
      </c>
      <c r="G126" s="197">
        <f>Tabla111[[#This Row],[Importe]]-Tabla111[[#This Row],[Pagado]]</f>
        <v>0</v>
      </c>
      <c r="H126" s="75" t="s">
        <v>10</v>
      </c>
    </row>
    <row r="127" spans="1:8" x14ac:dyDescent="0.25">
      <c r="A127" s="148">
        <v>44835</v>
      </c>
      <c r="B127" s="149" t="s">
        <v>31682</v>
      </c>
      <c r="C127" s="153" t="s">
        <v>5345</v>
      </c>
      <c r="D127" s="154">
        <v>3045</v>
      </c>
      <c r="E127" s="231">
        <v>44836</v>
      </c>
      <c r="F127" s="154">
        <v>3045</v>
      </c>
      <c r="G127" s="197">
        <f>Tabla111[[#This Row],[Importe]]-Tabla111[[#This Row],[Pagado]]</f>
        <v>0</v>
      </c>
      <c r="H127" s="153" t="s">
        <v>10</v>
      </c>
    </row>
    <row r="128" spans="1:8" x14ac:dyDescent="0.25">
      <c r="A128" s="73">
        <v>44835</v>
      </c>
      <c r="B128" s="74" t="s">
        <v>31683</v>
      </c>
      <c r="C128" s="75" t="s">
        <v>282</v>
      </c>
      <c r="D128" s="81">
        <v>2437.5</v>
      </c>
      <c r="E128" s="230">
        <v>44836</v>
      </c>
      <c r="F128" s="81">
        <v>2437.5</v>
      </c>
      <c r="G128" s="197">
        <f>Tabla111[[#This Row],[Importe]]-Tabla111[[#This Row],[Pagado]]</f>
        <v>0</v>
      </c>
      <c r="H128" s="75" t="s">
        <v>10</v>
      </c>
    </row>
    <row r="129" spans="1:8" x14ac:dyDescent="0.25">
      <c r="A129" s="148">
        <v>44835</v>
      </c>
      <c r="B129" s="149" t="s">
        <v>31684</v>
      </c>
      <c r="C129" s="153" t="s">
        <v>463</v>
      </c>
      <c r="D129" s="154">
        <v>550</v>
      </c>
      <c r="E129" s="231">
        <v>44837</v>
      </c>
      <c r="F129" s="154">
        <v>550</v>
      </c>
      <c r="G129" s="197">
        <f>Tabla111[[#This Row],[Importe]]-Tabla111[[#This Row],[Pagado]]</f>
        <v>0</v>
      </c>
      <c r="H129" s="153" t="s">
        <v>10</v>
      </c>
    </row>
    <row r="130" spans="1:8" x14ac:dyDescent="0.25">
      <c r="A130" s="73">
        <v>44835</v>
      </c>
      <c r="B130" s="74" t="s">
        <v>31685</v>
      </c>
      <c r="C130" s="75" t="s">
        <v>459</v>
      </c>
      <c r="D130" s="81">
        <v>213</v>
      </c>
      <c r="E130" s="230">
        <v>44835</v>
      </c>
      <c r="F130" s="81">
        <v>213</v>
      </c>
      <c r="G130" s="197">
        <f>Tabla111[[#This Row],[Importe]]-Tabla111[[#This Row],[Pagado]]</f>
        <v>0</v>
      </c>
      <c r="H130" s="75" t="s">
        <v>10</v>
      </c>
    </row>
    <row r="131" spans="1:8" x14ac:dyDescent="0.25">
      <c r="A131" s="148">
        <v>44835</v>
      </c>
      <c r="B131" s="149" t="s">
        <v>31686</v>
      </c>
      <c r="C131" s="153" t="s">
        <v>457</v>
      </c>
      <c r="D131" s="154">
        <v>248</v>
      </c>
      <c r="E131" s="231">
        <v>44835</v>
      </c>
      <c r="F131" s="154">
        <v>248</v>
      </c>
      <c r="G131" s="197">
        <f>Tabla111[[#This Row],[Importe]]-Tabla111[[#This Row],[Pagado]]</f>
        <v>0</v>
      </c>
      <c r="H131" s="153" t="s">
        <v>10</v>
      </c>
    </row>
    <row r="132" spans="1:8" x14ac:dyDescent="0.25">
      <c r="A132" s="73">
        <v>44835</v>
      </c>
      <c r="B132" s="74" t="s">
        <v>31687</v>
      </c>
      <c r="C132" s="75" t="s">
        <v>280</v>
      </c>
      <c r="D132" s="81">
        <v>1882.5</v>
      </c>
      <c r="E132" s="230">
        <v>44836</v>
      </c>
      <c r="F132" s="81">
        <v>1882.5</v>
      </c>
      <c r="G132" s="197">
        <f>Tabla111[[#This Row],[Importe]]-Tabla111[[#This Row],[Pagado]]</f>
        <v>0</v>
      </c>
      <c r="H132" s="75" t="s">
        <v>10</v>
      </c>
    </row>
    <row r="133" spans="1:8" x14ac:dyDescent="0.25">
      <c r="A133" s="148">
        <v>44835</v>
      </c>
      <c r="B133" s="149" t="s">
        <v>31688</v>
      </c>
      <c r="C133" s="153" t="s">
        <v>31</v>
      </c>
      <c r="D133" s="154">
        <v>292.5</v>
      </c>
      <c r="E133" s="231">
        <v>44835</v>
      </c>
      <c r="F133" s="154">
        <v>292.5</v>
      </c>
      <c r="G133" s="197">
        <f>Tabla111[[#This Row],[Importe]]-Tabla111[[#This Row],[Pagado]]</f>
        <v>0</v>
      </c>
      <c r="H133" s="153" t="s">
        <v>10</v>
      </c>
    </row>
    <row r="134" spans="1:8" x14ac:dyDescent="0.25">
      <c r="A134" s="73">
        <v>44835</v>
      </c>
      <c r="B134" s="74" t="s">
        <v>31689</v>
      </c>
      <c r="C134" s="75" t="s">
        <v>31</v>
      </c>
      <c r="D134" s="81">
        <v>202.4</v>
      </c>
      <c r="E134" s="230">
        <v>44837</v>
      </c>
      <c r="F134" s="81">
        <v>202.4</v>
      </c>
      <c r="G134" s="197">
        <f>Tabla111[[#This Row],[Importe]]-Tabla111[[#This Row],[Pagado]]</f>
        <v>0</v>
      </c>
      <c r="H134" s="75" t="s">
        <v>10</v>
      </c>
    </row>
    <row r="135" spans="1:8" x14ac:dyDescent="0.25">
      <c r="A135" s="148">
        <v>44835</v>
      </c>
      <c r="B135" s="149" t="s">
        <v>31690</v>
      </c>
      <c r="C135" s="153" t="s">
        <v>31</v>
      </c>
      <c r="D135" s="154">
        <v>2763</v>
      </c>
      <c r="E135" s="231">
        <v>44835</v>
      </c>
      <c r="F135" s="154">
        <v>2763</v>
      </c>
      <c r="G135" s="197">
        <f>Tabla111[[#This Row],[Importe]]-Tabla111[[#This Row],[Pagado]]</f>
        <v>0</v>
      </c>
      <c r="H135" s="153" t="s">
        <v>10</v>
      </c>
    </row>
    <row r="136" spans="1:8" x14ac:dyDescent="0.25">
      <c r="A136" s="73">
        <v>44835</v>
      </c>
      <c r="B136" s="74" t="s">
        <v>31691</v>
      </c>
      <c r="C136" s="75" t="s">
        <v>31</v>
      </c>
      <c r="D136" s="81">
        <v>1734.8</v>
      </c>
      <c r="E136" s="230">
        <v>44835</v>
      </c>
      <c r="F136" s="81">
        <v>1734.8</v>
      </c>
      <c r="G136" s="197">
        <f>Tabla111[[#This Row],[Importe]]-Tabla111[[#This Row],[Pagado]]</f>
        <v>0</v>
      </c>
      <c r="H136" s="75" t="s">
        <v>10</v>
      </c>
    </row>
    <row r="137" spans="1:8" x14ac:dyDescent="0.25">
      <c r="A137" s="148">
        <v>44835</v>
      </c>
      <c r="B137" s="149" t="s">
        <v>31692</v>
      </c>
      <c r="C137" s="153" t="s">
        <v>224</v>
      </c>
      <c r="D137" s="154">
        <v>1995.8</v>
      </c>
      <c r="E137" s="231">
        <v>44835</v>
      </c>
      <c r="F137" s="154">
        <v>1995.8</v>
      </c>
      <c r="G137" s="197">
        <f>Tabla111[[#This Row],[Importe]]-Tabla111[[#This Row],[Pagado]]</f>
        <v>0</v>
      </c>
      <c r="H137" s="153" t="s">
        <v>10</v>
      </c>
    </row>
    <row r="138" spans="1:8" x14ac:dyDescent="0.25">
      <c r="A138" s="73">
        <v>44835</v>
      </c>
      <c r="B138" s="74" t="s">
        <v>31693</v>
      </c>
      <c r="C138" s="75" t="s">
        <v>31</v>
      </c>
      <c r="D138" s="81">
        <v>7554.4</v>
      </c>
      <c r="E138" s="230">
        <v>44836</v>
      </c>
      <c r="F138" s="81">
        <v>7554.4</v>
      </c>
      <c r="G138" s="197">
        <f>Tabla111[[#This Row],[Importe]]-Tabla111[[#This Row],[Pagado]]</f>
        <v>0</v>
      </c>
      <c r="H138" s="75" t="s">
        <v>10</v>
      </c>
    </row>
    <row r="139" spans="1:8" x14ac:dyDescent="0.25">
      <c r="A139" s="148">
        <v>44835</v>
      </c>
      <c r="B139" s="149" t="s">
        <v>31694</v>
      </c>
      <c r="C139" s="153" t="s">
        <v>35</v>
      </c>
      <c r="D139" s="154">
        <v>3829.1</v>
      </c>
      <c r="E139" s="231">
        <v>44835</v>
      </c>
      <c r="F139" s="154">
        <v>3829.1</v>
      </c>
      <c r="G139" s="197">
        <f>Tabla111[[#This Row],[Importe]]-Tabla111[[#This Row],[Pagado]]</f>
        <v>0</v>
      </c>
      <c r="H139" s="153" t="s">
        <v>10</v>
      </c>
    </row>
    <row r="140" spans="1:8" x14ac:dyDescent="0.25">
      <c r="A140" s="73">
        <v>44835</v>
      </c>
      <c r="B140" s="74" t="s">
        <v>31695</v>
      </c>
      <c r="C140" s="75" t="s">
        <v>31</v>
      </c>
      <c r="D140" s="81">
        <v>1383.5</v>
      </c>
      <c r="E140" s="230">
        <v>44835</v>
      </c>
      <c r="F140" s="81">
        <v>1383.5</v>
      </c>
      <c r="G140" s="197">
        <f>Tabla111[[#This Row],[Importe]]-Tabla111[[#This Row],[Pagado]]</f>
        <v>0</v>
      </c>
      <c r="H140" s="75" t="s">
        <v>10</v>
      </c>
    </row>
    <row r="141" spans="1:8" x14ac:dyDescent="0.25">
      <c r="A141" s="148">
        <v>44835</v>
      </c>
      <c r="B141" s="149" t="s">
        <v>31696</v>
      </c>
      <c r="C141" s="153" t="s">
        <v>16</v>
      </c>
      <c r="D141" s="154">
        <v>696.2</v>
      </c>
      <c r="E141" s="231">
        <v>44835</v>
      </c>
      <c r="F141" s="154">
        <v>696.2</v>
      </c>
      <c r="G141" s="197">
        <f>Tabla111[[#This Row],[Importe]]-Tabla111[[#This Row],[Pagado]]</f>
        <v>0</v>
      </c>
      <c r="H141" s="153" t="s">
        <v>10</v>
      </c>
    </row>
    <row r="142" spans="1:8" x14ac:dyDescent="0.25">
      <c r="A142" s="73">
        <v>44835</v>
      </c>
      <c r="B142" s="74" t="s">
        <v>31697</v>
      </c>
      <c r="C142" s="75" t="s">
        <v>31698</v>
      </c>
      <c r="D142" s="81">
        <v>0</v>
      </c>
      <c r="E142" s="232" t="s">
        <v>189</v>
      </c>
      <c r="F142" s="81">
        <v>0</v>
      </c>
      <c r="G142" s="197">
        <f>Tabla111[[#This Row],[Importe]]-Tabla111[[#This Row],[Pagado]]</f>
        <v>0</v>
      </c>
      <c r="H142" s="75" t="s">
        <v>189</v>
      </c>
    </row>
    <row r="143" spans="1:8" x14ac:dyDescent="0.25">
      <c r="A143" s="148">
        <v>44835</v>
      </c>
      <c r="B143" s="149" t="s">
        <v>31699</v>
      </c>
      <c r="C143" s="153" t="s">
        <v>14</v>
      </c>
      <c r="D143" s="154">
        <v>22459</v>
      </c>
      <c r="E143" s="231">
        <v>44836</v>
      </c>
      <c r="F143" s="154">
        <v>22459</v>
      </c>
      <c r="G143" s="197">
        <f>Tabla111[[#This Row],[Importe]]-Tabla111[[#This Row],[Pagado]]</f>
        <v>0</v>
      </c>
      <c r="H143" s="153" t="s">
        <v>10</v>
      </c>
    </row>
    <row r="144" spans="1:8" x14ac:dyDescent="0.25">
      <c r="A144" s="73">
        <v>44836</v>
      </c>
      <c r="B144" s="74" t="s">
        <v>31700</v>
      </c>
      <c r="C144" s="75" t="s">
        <v>28087</v>
      </c>
      <c r="D144" s="81">
        <v>58674.3</v>
      </c>
      <c r="E144" s="230">
        <v>44837</v>
      </c>
      <c r="F144" s="81">
        <v>58674.3</v>
      </c>
      <c r="G144" s="197">
        <f>Tabla111[[#This Row],[Importe]]-Tabla111[[#This Row],[Pagado]]</f>
        <v>0</v>
      </c>
      <c r="H144" s="75" t="s">
        <v>10</v>
      </c>
    </row>
    <row r="145" spans="1:8" x14ac:dyDescent="0.25">
      <c r="A145" s="148">
        <v>44836</v>
      </c>
      <c r="B145" s="149" t="s">
        <v>31701</v>
      </c>
      <c r="C145" s="153" t="s">
        <v>20</v>
      </c>
      <c r="D145" s="154">
        <v>12462</v>
      </c>
      <c r="E145" s="231">
        <v>44836</v>
      </c>
      <c r="F145" s="154">
        <v>12462</v>
      </c>
      <c r="G145" s="197">
        <f>Tabla111[[#This Row],[Importe]]-Tabla111[[#This Row],[Pagado]]</f>
        <v>0</v>
      </c>
      <c r="H145" s="153" t="s">
        <v>10</v>
      </c>
    </row>
    <row r="146" spans="1:8" x14ac:dyDescent="0.25">
      <c r="A146" s="73">
        <v>44836</v>
      </c>
      <c r="B146" s="74" t="s">
        <v>31702</v>
      </c>
      <c r="C146" s="75" t="s">
        <v>20</v>
      </c>
      <c r="D146" s="81">
        <v>4015.4</v>
      </c>
      <c r="E146" s="230">
        <v>44836</v>
      </c>
      <c r="F146" s="81">
        <v>4015.4</v>
      </c>
      <c r="G146" s="197">
        <f>Tabla111[[#This Row],[Importe]]-Tabla111[[#This Row],[Pagado]]</f>
        <v>0</v>
      </c>
      <c r="H146" s="75" t="s">
        <v>10</v>
      </c>
    </row>
    <row r="147" spans="1:8" x14ac:dyDescent="0.25">
      <c r="A147" s="148">
        <v>44836</v>
      </c>
      <c r="B147" s="149" t="s">
        <v>31703</v>
      </c>
      <c r="C147" s="153" t="s">
        <v>12</v>
      </c>
      <c r="D147" s="154">
        <v>45235.7</v>
      </c>
      <c r="E147" s="231">
        <v>44837</v>
      </c>
      <c r="F147" s="154">
        <v>45235.7</v>
      </c>
      <c r="G147" s="197">
        <f>Tabla111[[#This Row],[Importe]]-Tabla111[[#This Row],[Pagado]]</f>
        <v>0</v>
      </c>
      <c r="H147" s="153" t="s">
        <v>10</v>
      </c>
    </row>
    <row r="148" spans="1:8" x14ac:dyDescent="0.25">
      <c r="A148" s="73">
        <v>44836</v>
      </c>
      <c r="B148" s="74" t="s">
        <v>31704</v>
      </c>
      <c r="C148" s="75" t="s">
        <v>9</v>
      </c>
      <c r="D148" s="81">
        <v>10844.1</v>
      </c>
      <c r="E148" s="230">
        <v>44836</v>
      </c>
      <c r="F148" s="81">
        <v>10844.1</v>
      </c>
      <c r="G148" s="197">
        <f>Tabla111[[#This Row],[Importe]]-Tabla111[[#This Row],[Pagado]]</f>
        <v>0</v>
      </c>
      <c r="H148" s="75" t="s">
        <v>10</v>
      </c>
    </row>
    <row r="149" spans="1:8" x14ac:dyDescent="0.25">
      <c r="A149" s="148">
        <v>44836</v>
      </c>
      <c r="B149" s="149" t="s">
        <v>31705</v>
      </c>
      <c r="C149" s="153" t="s">
        <v>29</v>
      </c>
      <c r="D149" s="154">
        <v>11745</v>
      </c>
      <c r="E149" s="231">
        <v>44836</v>
      </c>
      <c r="F149" s="154">
        <v>11745</v>
      </c>
      <c r="G149" s="197">
        <f>Tabla111[[#This Row],[Importe]]-Tabla111[[#This Row],[Pagado]]</f>
        <v>0</v>
      </c>
      <c r="H149" s="153" t="s">
        <v>10</v>
      </c>
    </row>
    <row r="150" spans="1:8" x14ac:dyDescent="0.25">
      <c r="A150" s="73">
        <v>44836</v>
      </c>
      <c r="B150" s="74" t="s">
        <v>31706</v>
      </c>
      <c r="C150" s="75" t="s">
        <v>475</v>
      </c>
      <c r="D150" s="81">
        <v>75236</v>
      </c>
      <c r="E150" s="230">
        <v>44837</v>
      </c>
      <c r="F150" s="81">
        <v>75236</v>
      </c>
      <c r="G150" s="197">
        <f>Tabla111[[#This Row],[Importe]]-Tabla111[[#This Row],[Pagado]]</f>
        <v>0</v>
      </c>
      <c r="H150" s="75" t="s">
        <v>10</v>
      </c>
    </row>
    <row r="151" spans="1:8" x14ac:dyDescent="0.25">
      <c r="A151" s="148">
        <v>44836</v>
      </c>
      <c r="B151" s="149" t="s">
        <v>31707</v>
      </c>
      <c r="C151" s="153" t="s">
        <v>1187</v>
      </c>
      <c r="D151" s="154">
        <v>2152.1999999999998</v>
      </c>
      <c r="E151" s="231">
        <v>44836</v>
      </c>
      <c r="F151" s="154">
        <v>2152.1999999999998</v>
      </c>
      <c r="G151" s="197">
        <f>Tabla111[[#This Row],[Importe]]-Tabla111[[#This Row],[Pagado]]</f>
        <v>0</v>
      </c>
      <c r="H151" s="153" t="s">
        <v>10</v>
      </c>
    </row>
    <row r="152" spans="1:8" x14ac:dyDescent="0.25">
      <c r="A152" s="73">
        <v>44836</v>
      </c>
      <c r="B152" s="74" t="s">
        <v>31708</v>
      </c>
      <c r="C152" s="75" t="s">
        <v>22</v>
      </c>
      <c r="D152" s="81">
        <v>39437.5</v>
      </c>
      <c r="E152" s="230">
        <v>44837</v>
      </c>
      <c r="F152" s="81">
        <v>39437.5</v>
      </c>
      <c r="G152" s="197">
        <f>Tabla111[[#This Row],[Importe]]-Tabla111[[#This Row],[Pagado]]</f>
        <v>0</v>
      </c>
      <c r="H152" s="75" t="s">
        <v>10</v>
      </c>
    </row>
    <row r="153" spans="1:8" x14ac:dyDescent="0.25">
      <c r="A153" s="148">
        <v>44836</v>
      </c>
      <c r="B153" s="149" t="s">
        <v>31709</v>
      </c>
      <c r="C153" s="153" t="s">
        <v>222</v>
      </c>
      <c r="D153" s="154">
        <v>3433.8</v>
      </c>
      <c r="E153" s="231">
        <v>44836</v>
      </c>
      <c r="F153" s="154">
        <v>3433.8</v>
      </c>
      <c r="G153" s="197">
        <f>Tabla111[[#This Row],[Importe]]-Tabla111[[#This Row],[Pagado]]</f>
        <v>0</v>
      </c>
      <c r="H153" s="153" t="s">
        <v>10</v>
      </c>
    </row>
    <row r="154" spans="1:8" x14ac:dyDescent="0.25">
      <c r="A154" s="73">
        <v>44836</v>
      </c>
      <c r="B154" s="74" t="s">
        <v>31710</v>
      </c>
      <c r="C154" s="75" t="s">
        <v>31</v>
      </c>
      <c r="D154" s="81">
        <v>884.4</v>
      </c>
      <c r="E154" s="230">
        <v>44836</v>
      </c>
      <c r="F154" s="81">
        <v>884.4</v>
      </c>
      <c r="G154" s="197">
        <f>Tabla111[[#This Row],[Importe]]-Tabla111[[#This Row],[Pagado]]</f>
        <v>0</v>
      </c>
      <c r="H154" s="75" t="s">
        <v>10</v>
      </c>
    </row>
    <row r="155" spans="1:8" x14ac:dyDescent="0.25">
      <c r="A155" s="148">
        <v>44836</v>
      </c>
      <c r="B155" s="149" t="s">
        <v>31711</v>
      </c>
      <c r="C155" s="153" t="s">
        <v>348</v>
      </c>
      <c r="D155" s="154">
        <v>1656.8</v>
      </c>
      <c r="E155" s="231">
        <v>44836</v>
      </c>
      <c r="F155" s="154">
        <v>1656.8</v>
      </c>
      <c r="G155" s="197">
        <f>Tabla111[[#This Row],[Importe]]-Tabla111[[#This Row],[Pagado]]</f>
        <v>0</v>
      </c>
      <c r="H155" s="153" t="s">
        <v>10</v>
      </c>
    </row>
    <row r="156" spans="1:8" x14ac:dyDescent="0.25">
      <c r="A156" s="73">
        <v>44836</v>
      </c>
      <c r="B156" s="74" t="s">
        <v>31712</v>
      </c>
      <c r="C156" s="75" t="s">
        <v>56</v>
      </c>
      <c r="D156" s="81">
        <v>7166.8</v>
      </c>
      <c r="E156" s="230">
        <v>44836</v>
      </c>
      <c r="F156" s="81">
        <v>7166.8</v>
      </c>
      <c r="G156" s="197">
        <f>Tabla111[[#This Row],[Importe]]-Tabla111[[#This Row],[Pagado]]</f>
        <v>0</v>
      </c>
      <c r="H156" s="75" t="s">
        <v>10</v>
      </c>
    </row>
    <row r="157" spans="1:8" x14ac:dyDescent="0.25">
      <c r="A157" s="148">
        <v>44836</v>
      </c>
      <c r="B157" s="149" t="s">
        <v>31713</v>
      </c>
      <c r="C157" s="153" t="s">
        <v>2780</v>
      </c>
      <c r="D157" s="154">
        <v>12818.7</v>
      </c>
      <c r="E157" s="231">
        <v>44836</v>
      </c>
      <c r="F157" s="154">
        <v>12818.7</v>
      </c>
      <c r="G157" s="197">
        <f>Tabla111[[#This Row],[Importe]]-Tabla111[[#This Row],[Pagado]]</f>
        <v>0</v>
      </c>
      <c r="H157" s="153" t="s">
        <v>10</v>
      </c>
    </row>
    <row r="158" spans="1:8" x14ac:dyDescent="0.25">
      <c r="A158" s="73">
        <v>44836</v>
      </c>
      <c r="B158" s="74" t="s">
        <v>31714</v>
      </c>
      <c r="C158" s="75" t="s">
        <v>9415</v>
      </c>
      <c r="D158" s="81">
        <v>32282.400000000001</v>
      </c>
      <c r="E158" s="230">
        <v>44839</v>
      </c>
      <c r="F158" s="81">
        <v>32282.400000000001</v>
      </c>
      <c r="G158" s="197">
        <f>Tabla111[[#This Row],[Importe]]-Tabla111[[#This Row],[Pagado]]</f>
        <v>0</v>
      </c>
      <c r="H158" s="75" t="s">
        <v>10</v>
      </c>
    </row>
    <row r="159" spans="1:8" x14ac:dyDescent="0.25">
      <c r="A159" s="148">
        <v>44836</v>
      </c>
      <c r="B159" s="149" t="s">
        <v>31715</v>
      </c>
      <c r="C159" s="153" t="s">
        <v>16</v>
      </c>
      <c r="D159" s="154">
        <v>11634.1</v>
      </c>
      <c r="E159" s="231">
        <v>44836</v>
      </c>
      <c r="F159" s="154">
        <v>11634.1</v>
      </c>
      <c r="G159" s="197">
        <f>Tabla111[[#This Row],[Importe]]-Tabla111[[#This Row],[Pagado]]</f>
        <v>0</v>
      </c>
      <c r="H159" s="153" t="s">
        <v>10</v>
      </c>
    </row>
    <row r="160" spans="1:8" x14ac:dyDescent="0.25">
      <c r="A160" s="73">
        <v>44836</v>
      </c>
      <c r="B160" s="74" t="s">
        <v>31716</v>
      </c>
      <c r="C160" s="75" t="s">
        <v>49</v>
      </c>
      <c r="D160" s="81">
        <v>3953</v>
      </c>
      <c r="E160" s="230">
        <v>44836</v>
      </c>
      <c r="F160" s="81">
        <v>3953</v>
      </c>
      <c r="G160" s="197">
        <f>Tabla111[[#This Row],[Importe]]-Tabla111[[#This Row],[Pagado]]</f>
        <v>0</v>
      </c>
      <c r="H160" s="75" t="s">
        <v>10</v>
      </c>
    </row>
    <row r="161" spans="1:8" x14ac:dyDescent="0.25">
      <c r="A161" s="148">
        <v>44836</v>
      </c>
      <c r="B161" s="149" t="s">
        <v>31717</v>
      </c>
      <c r="C161" s="153" t="s">
        <v>16</v>
      </c>
      <c r="D161" s="154">
        <v>1292.0999999999999</v>
      </c>
      <c r="E161" s="231">
        <v>44836</v>
      </c>
      <c r="F161" s="154">
        <v>1292.0999999999999</v>
      </c>
      <c r="G161" s="197">
        <f>Tabla111[[#This Row],[Importe]]-Tabla111[[#This Row],[Pagado]]</f>
        <v>0</v>
      </c>
      <c r="H161" s="153" t="s">
        <v>10</v>
      </c>
    </row>
    <row r="162" spans="1:8" x14ac:dyDescent="0.25">
      <c r="A162" s="73">
        <v>44836</v>
      </c>
      <c r="B162" s="74" t="s">
        <v>31718</v>
      </c>
      <c r="C162" s="75" t="s">
        <v>97</v>
      </c>
      <c r="D162" s="81">
        <v>4308.2</v>
      </c>
      <c r="E162" s="230">
        <v>44836</v>
      </c>
      <c r="F162" s="81">
        <v>4308.2</v>
      </c>
      <c r="G162" s="197">
        <f>Tabla111[[#This Row],[Importe]]-Tabla111[[#This Row],[Pagado]]</f>
        <v>0</v>
      </c>
      <c r="H162" s="75" t="s">
        <v>10</v>
      </c>
    </row>
    <row r="163" spans="1:8" x14ac:dyDescent="0.25">
      <c r="A163" s="148">
        <v>44836</v>
      </c>
      <c r="B163" s="149" t="s">
        <v>31719</v>
      </c>
      <c r="C163" s="153" t="s">
        <v>35</v>
      </c>
      <c r="D163" s="154">
        <v>1303.2</v>
      </c>
      <c r="E163" s="231">
        <v>44836</v>
      </c>
      <c r="F163" s="154">
        <v>1303.2</v>
      </c>
      <c r="G163" s="197">
        <f>Tabla111[[#This Row],[Importe]]-Tabla111[[#This Row],[Pagado]]</f>
        <v>0</v>
      </c>
      <c r="H163" s="153" t="s">
        <v>10</v>
      </c>
    </row>
    <row r="164" spans="1:8" x14ac:dyDescent="0.25">
      <c r="A164" s="73">
        <v>44836</v>
      </c>
      <c r="B164" s="74" t="s">
        <v>31720</v>
      </c>
      <c r="C164" s="75" t="s">
        <v>49</v>
      </c>
      <c r="D164" s="81">
        <v>637.20000000000005</v>
      </c>
      <c r="E164" s="230">
        <v>44836</v>
      </c>
      <c r="F164" s="81">
        <v>637.20000000000005</v>
      </c>
      <c r="G164" s="197">
        <f>Tabla111[[#This Row],[Importe]]-Tabla111[[#This Row],[Pagado]]</f>
        <v>0</v>
      </c>
      <c r="H164" s="75" t="s">
        <v>10</v>
      </c>
    </row>
    <row r="165" spans="1:8" x14ac:dyDescent="0.25">
      <c r="A165" s="148">
        <v>44836</v>
      </c>
      <c r="B165" s="149" t="s">
        <v>31721</v>
      </c>
      <c r="C165" s="153" t="s">
        <v>1003</v>
      </c>
      <c r="D165" s="154">
        <v>16790.400000000001</v>
      </c>
      <c r="E165" s="231">
        <v>44840</v>
      </c>
      <c r="F165" s="154">
        <v>16790.400000000001</v>
      </c>
      <c r="G165" s="197">
        <f>Tabla111[[#This Row],[Importe]]-Tabla111[[#This Row],[Pagado]]</f>
        <v>0</v>
      </c>
      <c r="H165" s="153" t="s">
        <v>10</v>
      </c>
    </row>
    <row r="166" spans="1:8" x14ac:dyDescent="0.25">
      <c r="A166" s="73">
        <v>44836</v>
      </c>
      <c r="B166" s="74" t="s">
        <v>31722</v>
      </c>
      <c r="C166" s="75" t="s">
        <v>224</v>
      </c>
      <c r="D166" s="81">
        <v>3556</v>
      </c>
      <c r="E166" s="230">
        <v>44836</v>
      </c>
      <c r="F166" s="81">
        <v>3556</v>
      </c>
      <c r="G166" s="197">
        <f>Tabla111[[#This Row],[Importe]]-Tabla111[[#This Row],[Pagado]]</f>
        <v>0</v>
      </c>
      <c r="H166" s="75" t="s">
        <v>10</v>
      </c>
    </row>
    <row r="167" spans="1:8" x14ac:dyDescent="0.25">
      <c r="A167" s="148">
        <v>44836</v>
      </c>
      <c r="B167" s="149" t="s">
        <v>31723</v>
      </c>
      <c r="C167" s="153" t="s">
        <v>31</v>
      </c>
      <c r="D167" s="154">
        <v>1230</v>
      </c>
      <c r="E167" s="231">
        <v>44836</v>
      </c>
      <c r="F167" s="154">
        <v>1230</v>
      </c>
      <c r="G167" s="197">
        <f>Tabla111[[#This Row],[Importe]]-Tabla111[[#This Row],[Pagado]]</f>
        <v>0</v>
      </c>
      <c r="H167" s="153" t="s">
        <v>10</v>
      </c>
    </row>
    <row r="168" spans="1:8" x14ac:dyDescent="0.25">
      <c r="A168" s="73">
        <v>44836</v>
      </c>
      <c r="B168" s="74" t="s">
        <v>31724</v>
      </c>
      <c r="C168" s="75" t="s">
        <v>45</v>
      </c>
      <c r="D168" s="81">
        <v>7363.2</v>
      </c>
      <c r="E168" s="230">
        <v>44836</v>
      </c>
      <c r="F168" s="81">
        <v>7363.2</v>
      </c>
      <c r="G168" s="197">
        <f>Tabla111[[#This Row],[Importe]]-Tabla111[[#This Row],[Pagado]]</f>
        <v>0</v>
      </c>
      <c r="H168" s="75" t="s">
        <v>10</v>
      </c>
    </row>
    <row r="169" spans="1:8" x14ac:dyDescent="0.25">
      <c r="A169" s="148">
        <v>44836</v>
      </c>
      <c r="B169" s="149" t="s">
        <v>31725</v>
      </c>
      <c r="C169" s="153" t="s">
        <v>1003</v>
      </c>
      <c r="D169" s="154">
        <v>5280</v>
      </c>
      <c r="E169" s="231">
        <v>44840</v>
      </c>
      <c r="F169" s="154">
        <v>5280</v>
      </c>
      <c r="G169" s="197">
        <f>Tabla111[[#This Row],[Importe]]-Tabla111[[#This Row],[Pagado]]</f>
        <v>0</v>
      </c>
      <c r="H169" s="153" t="s">
        <v>10</v>
      </c>
    </row>
    <row r="170" spans="1:8" x14ac:dyDescent="0.25">
      <c r="A170" s="73">
        <v>44836</v>
      </c>
      <c r="B170" s="74" t="s">
        <v>31726</v>
      </c>
      <c r="C170" s="75" t="s">
        <v>382</v>
      </c>
      <c r="D170" s="81">
        <v>7736.8</v>
      </c>
      <c r="E170" s="230">
        <v>44836</v>
      </c>
      <c r="F170" s="81">
        <v>7736.8</v>
      </c>
      <c r="G170" s="197">
        <f>Tabla111[[#This Row],[Importe]]-Tabla111[[#This Row],[Pagado]]</f>
        <v>0</v>
      </c>
      <c r="H170" s="75" t="s">
        <v>10</v>
      </c>
    </row>
    <row r="171" spans="1:8" x14ac:dyDescent="0.25">
      <c r="A171" s="148">
        <v>44836</v>
      </c>
      <c r="B171" s="149" t="s">
        <v>31727</v>
      </c>
      <c r="C171" s="153" t="s">
        <v>216</v>
      </c>
      <c r="D171" s="154">
        <v>2437.5</v>
      </c>
      <c r="E171" s="231">
        <v>44836</v>
      </c>
      <c r="F171" s="154">
        <v>2437.5</v>
      </c>
      <c r="G171" s="197">
        <f>Tabla111[[#This Row],[Importe]]-Tabla111[[#This Row],[Pagado]]</f>
        <v>0</v>
      </c>
      <c r="H171" s="153" t="s">
        <v>10</v>
      </c>
    </row>
    <row r="172" spans="1:8" x14ac:dyDescent="0.25">
      <c r="A172" s="73">
        <v>44836</v>
      </c>
      <c r="B172" s="74" t="s">
        <v>31728</v>
      </c>
      <c r="C172" s="75" t="s">
        <v>442</v>
      </c>
      <c r="D172" s="81">
        <v>70</v>
      </c>
      <c r="E172" s="230">
        <v>44836</v>
      </c>
      <c r="F172" s="81">
        <v>70</v>
      </c>
      <c r="G172" s="197">
        <f>Tabla111[[#This Row],[Importe]]-Tabla111[[#This Row],[Pagado]]</f>
        <v>0</v>
      </c>
      <c r="H172" s="75" t="s">
        <v>10</v>
      </c>
    </row>
    <row r="173" spans="1:8" x14ac:dyDescent="0.25">
      <c r="A173" s="148">
        <v>44836</v>
      </c>
      <c r="B173" s="149" t="s">
        <v>31729</v>
      </c>
      <c r="C173" s="153" t="s">
        <v>26388</v>
      </c>
      <c r="D173" s="154">
        <v>0</v>
      </c>
      <c r="E173" s="233" t="s">
        <v>189</v>
      </c>
      <c r="F173" s="154">
        <v>0</v>
      </c>
      <c r="G173" s="197">
        <f>Tabla111[[#This Row],[Importe]]-Tabla111[[#This Row],[Pagado]]</f>
        <v>0</v>
      </c>
      <c r="H173" s="153" t="s">
        <v>189</v>
      </c>
    </row>
    <row r="174" spans="1:8" x14ac:dyDescent="0.25">
      <c r="A174" s="73">
        <v>44836</v>
      </c>
      <c r="B174" s="74" t="s">
        <v>31730</v>
      </c>
      <c r="C174" s="75" t="s">
        <v>24</v>
      </c>
      <c r="D174" s="81">
        <v>3650</v>
      </c>
      <c r="E174" s="230">
        <v>44836</v>
      </c>
      <c r="F174" s="81">
        <v>3650</v>
      </c>
      <c r="G174" s="197">
        <f>Tabla111[[#This Row],[Importe]]-Tabla111[[#This Row],[Pagado]]</f>
        <v>0</v>
      </c>
      <c r="H174" s="75" t="s">
        <v>10</v>
      </c>
    </row>
    <row r="175" spans="1:8" x14ac:dyDescent="0.25">
      <c r="A175" s="148">
        <v>44836</v>
      </c>
      <c r="B175" s="149" t="s">
        <v>31731</v>
      </c>
      <c r="C175" s="153" t="s">
        <v>1676</v>
      </c>
      <c r="D175" s="154">
        <v>4942.5</v>
      </c>
      <c r="E175" s="231">
        <v>44836</v>
      </c>
      <c r="F175" s="154">
        <v>4942.5</v>
      </c>
      <c r="G175" s="197">
        <f>Tabla111[[#This Row],[Importe]]-Tabla111[[#This Row],[Pagado]]</f>
        <v>0</v>
      </c>
      <c r="H175" s="153" t="s">
        <v>10</v>
      </c>
    </row>
    <row r="176" spans="1:8" x14ac:dyDescent="0.25">
      <c r="A176" s="73">
        <v>44836</v>
      </c>
      <c r="B176" s="74" t="s">
        <v>31732</v>
      </c>
      <c r="C176" s="75" t="s">
        <v>9827</v>
      </c>
      <c r="D176" s="81">
        <v>5032.5</v>
      </c>
      <c r="E176" s="230">
        <v>44836</v>
      </c>
      <c r="F176" s="81">
        <v>5032.5</v>
      </c>
      <c r="G176" s="197">
        <f>Tabla111[[#This Row],[Importe]]-Tabla111[[#This Row],[Pagado]]</f>
        <v>0</v>
      </c>
      <c r="H176" s="75" t="s">
        <v>10</v>
      </c>
    </row>
    <row r="177" spans="1:8" x14ac:dyDescent="0.25">
      <c r="A177" s="148">
        <v>44836</v>
      </c>
      <c r="B177" s="149" t="s">
        <v>31733</v>
      </c>
      <c r="C177" s="153" t="s">
        <v>8721</v>
      </c>
      <c r="D177" s="154">
        <v>0</v>
      </c>
      <c r="E177" s="233" t="s">
        <v>189</v>
      </c>
      <c r="F177" s="154">
        <v>0</v>
      </c>
      <c r="G177" s="197">
        <f>Tabla111[[#This Row],[Importe]]-Tabla111[[#This Row],[Pagado]]</f>
        <v>0</v>
      </c>
      <c r="H177" s="153" t="s">
        <v>189</v>
      </c>
    </row>
    <row r="178" spans="1:8" x14ac:dyDescent="0.25">
      <c r="A178" s="73">
        <v>44836</v>
      </c>
      <c r="B178" s="74" t="s">
        <v>31734</v>
      </c>
      <c r="C178" s="75" t="s">
        <v>53</v>
      </c>
      <c r="D178" s="81">
        <v>2310.9</v>
      </c>
      <c r="E178" s="230">
        <v>44836</v>
      </c>
      <c r="F178" s="81">
        <v>2310.9</v>
      </c>
      <c r="G178" s="197">
        <f>Tabla111[[#This Row],[Importe]]-Tabla111[[#This Row],[Pagado]]</f>
        <v>0</v>
      </c>
      <c r="H178" s="75" t="s">
        <v>10</v>
      </c>
    </row>
    <row r="179" spans="1:8" x14ac:dyDescent="0.25">
      <c r="A179" s="148">
        <v>44836</v>
      </c>
      <c r="B179" s="149" t="s">
        <v>31735</v>
      </c>
      <c r="C179" s="153" t="s">
        <v>296</v>
      </c>
      <c r="D179" s="154">
        <v>4591.2</v>
      </c>
      <c r="E179" s="231">
        <v>44836</v>
      </c>
      <c r="F179" s="154">
        <v>4591.2</v>
      </c>
      <c r="G179" s="197">
        <f>Tabla111[[#This Row],[Importe]]-Tabla111[[#This Row],[Pagado]]</f>
        <v>0</v>
      </c>
      <c r="H179" s="153" t="s">
        <v>10</v>
      </c>
    </row>
    <row r="180" spans="1:8" x14ac:dyDescent="0.25">
      <c r="A180" s="73">
        <v>44836</v>
      </c>
      <c r="B180" s="74" t="s">
        <v>31736</v>
      </c>
      <c r="C180" s="75" t="s">
        <v>244</v>
      </c>
      <c r="D180" s="81">
        <v>2101.1999999999998</v>
      </c>
      <c r="E180" s="230">
        <v>44836</v>
      </c>
      <c r="F180" s="81">
        <v>2101.1999999999998</v>
      </c>
      <c r="G180" s="197">
        <f>Tabla111[[#This Row],[Importe]]-Tabla111[[#This Row],[Pagado]]</f>
        <v>0</v>
      </c>
      <c r="H180" s="75" t="s">
        <v>10</v>
      </c>
    </row>
    <row r="181" spans="1:8" x14ac:dyDescent="0.25">
      <c r="A181" s="148">
        <v>44836</v>
      </c>
      <c r="B181" s="149" t="s">
        <v>31737</v>
      </c>
      <c r="C181" s="153" t="s">
        <v>1421</v>
      </c>
      <c r="D181" s="154">
        <v>31350</v>
      </c>
      <c r="E181" s="231">
        <v>44836</v>
      </c>
      <c r="F181" s="154">
        <v>31350</v>
      </c>
      <c r="G181" s="197">
        <f>Tabla111[[#This Row],[Importe]]-Tabla111[[#This Row],[Pagado]]</f>
        <v>0</v>
      </c>
      <c r="H181" s="153" t="s">
        <v>10</v>
      </c>
    </row>
    <row r="182" spans="1:8" x14ac:dyDescent="0.25">
      <c r="A182" s="73">
        <v>44836</v>
      </c>
      <c r="B182" s="74" t="s">
        <v>31738</v>
      </c>
      <c r="C182" s="75" t="s">
        <v>31</v>
      </c>
      <c r="D182" s="81">
        <v>7500</v>
      </c>
      <c r="E182" s="230">
        <v>44836</v>
      </c>
      <c r="F182" s="81">
        <v>7500</v>
      </c>
      <c r="G182" s="197">
        <f>Tabla111[[#This Row],[Importe]]-Tabla111[[#This Row],[Pagado]]</f>
        <v>0</v>
      </c>
      <c r="H182" s="75" t="s">
        <v>10</v>
      </c>
    </row>
    <row r="183" spans="1:8" x14ac:dyDescent="0.25">
      <c r="A183" s="148">
        <v>44836</v>
      </c>
      <c r="B183" s="149" t="s">
        <v>31739</v>
      </c>
      <c r="C183" s="153" t="s">
        <v>31</v>
      </c>
      <c r="D183" s="154">
        <v>585</v>
      </c>
      <c r="E183" s="231">
        <v>44836</v>
      </c>
      <c r="F183" s="154">
        <v>585</v>
      </c>
      <c r="G183" s="197">
        <f>Tabla111[[#This Row],[Importe]]-Tabla111[[#This Row],[Pagado]]</f>
        <v>0</v>
      </c>
      <c r="H183" s="153" t="s">
        <v>10</v>
      </c>
    </row>
    <row r="184" spans="1:8" x14ac:dyDescent="0.25">
      <c r="A184" s="73">
        <v>44836</v>
      </c>
      <c r="B184" s="74" t="s">
        <v>31740</v>
      </c>
      <c r="C184" s="75" t="s">
        <v>67</v>
      </c>
      <c r="D184" s="81">
        <v>2617.5</v>
      </c>
      <c r="E184" s="230">
        <v>44836</v>
      </c>
      <c r="F184" s="81">
        <v>2617.5</v>
      </c>
      <c r="G184" s="197">
        <f>Tabla111[[#This Row],[Importe]]-Tabla111[[#This Row],[Pagado]]</f>
        <v>0</v>
      </c>
      <c r="H184" s="75" t="s">
        <v>10</v>
      </c>
    </row>
    <row r="185" spans="1:8" x14ac:dyDescent="0.25">
      <c r="A185" s="148">
        <v>44836</v>
      </c>
      <c r="B185" s="149" t="s">
        <v>31741</v>
      </c>
      <c r="C185" s="153" t="s">
        <v>214</v>
      </c>
      <c r="D185" s="154">
        <v>2475</v>
      </c>
      <c r="E185" s="231">
        <v>44836</v>
      </c>
      <c r="F185" s="154">
        <v>2475</v>
      </c>
      <c r="G185" s="197">
        <f>Tabla111[[#This Row],[Importe]]-Tabla111[[#This Row],[Pagado]]</f>
        <v>0</v>
      </c>
      <c r="H185" s="153" t="s">
        <v>10</v>
      </c>
    </row>
    <row r="186" spans="1:8" x14ac:dyDescent="0.25">
      <c r="A186" s="73">
        <v>44836</v>
      </c>
      <c r="B186" s="74" t="s">
        <v>31742</v>
      </c>
      <c r="C186" s="75" t="s">
        <v>67</v>
      </c>
      <c r="D186" s="81">
        <v>286</v>
      </c>
      <c r="E186" s="230">
        <v>44836</v>
      </c>
      <c r="F186" s="81">
        <v>286</v>
      </c>
      <c r="G186" s="197">
        <f>Tabla111[[#This Row],[Importe]]-Tabla111[[#This Row],[Pagado]]</f>
        <v>0</v>
      </c>
      <c r="H186" s="75" t="s">
        <v>10</v>
      </c>
    </row>
    <row r="187" spans="1:8" x14ac:dyDescent="0.25">
      <c r="A187" s="148">
        <v>44836</v>
      </c>
      <c r="B187" s="149" t="s">
        <v>31743</v>
      </c>
      <c r="C187" s="153" t="s">
        <v>31</v>
      </c>
      <c r="D187" s="154">
        <v>630</v>
      </c>
      <c r="E187" s="231">
        <v>44836</v>
      </c>
      <c r="F187" s="154">
        <v>630</v>
      </c>
      <c r="G187" s="197">
        <f>Tabla111[[#This Row],[Importe]]-Tabla111[[#This Row],[Pagado]]</f>
        <v>0</v>
      </c>
      <c r="H187" s="153" t="s">
        <v>10</v>
      </c>
    </row>
    <row r="188" spans="1:8" x14ac:dyDescent="0.25">
      <c r="A188" s="73">
        <v>44836</v>
      </c>
      <c r="B188" s="74" t="s">
        <v>31744</v>
      </c>
      <c r="C188" s="75" t="s">
        <v>71</v>
      </c>
      <c r="D188" s="81">
        <v>2378.6999999999998</v>
      </c>
      <c r="E188" s="230">
        <v>44836</v>
      </c>
      <c r="F188" s="81">
        <v>2378.6999999999998</v>
      </c>
      <c r="G188" s="197">
        <f>Tabla111[[#This Row],[Importe]]-Tabla111[[#This Row],[Pagado]]</f>
        <v>0</v>
      </c>
      <c r="H188" s="75" t="s">
        <v>10</v>
      </c>
    </row>
    <row r="189" spans="1:8" x14ac:dyDescent="0.25">
      <c r="A189" s="148">
        <v>44836</v>
      </c>
      <c r="B189" s="149" t="s">
        <v>31745</v>
      </c>
      <c r="C189" s="153" t="s">
        <v>226</v>
      </c>
      <c r="D189" s="154">
        <v>13452</v>
      </c>
      <c r="E189" s="231">
        <v>44836</v>
      </c>
      <c r="F189" s="154">
        <v>13452</v>
      </c>
      <c r="G189" s="197">
        <f>Tabla111[[#This Row],[Importe]]-Tabla111[[#This Row],[Pagado]]</f>
        <v>0</v>
      </c>
      <c r="H189" s="153" t="s">
        <v>10</v>
      </c>
    </row>
    <row r="190" spans="1:8" x14ac:dyDescent="0.25">
      <c r="A190" s="73">
        <v>44836</v>
      </c>
      <c r="B190" s="74" t="s">
        <v>31746</v>
      </c>
      <c r="C190" s="75" t="s">
        <v>149</v>
      </c>
      <c r="D190" s="81">
        <v>840</v>
      </c>
      <c r="E190" s="230">
        <v>44836</v>
      </c>
      <c r="F190" s="81">
        <v>840</v>
      </c>
      <c r="G190" s="197">
        <f>Tabla111[[#This Row],[Importe]]-Tabla111[[#This Row],[Pagado]]</f>
        <v>0</v>
      </c>
      <c r="H190" s="75" t="s">
        <v>10</v>
      </c>
    </row>
    <row r="191" spans="1:8" x14ac:dyDescent="0.25">
      <c r="A191" s="148">
        <v>44836</v>
      </c>
      <c r="B191" s="149" t="s">
        <v>31747</v>
      </c>
      <c r="C191" s="153" t="s">
        <v>31</v>
      </c>
      <c r="D191" s="154">
        <v>2301</v>
      </c>
      <c r="E191" s="231">
        <v>44836</v>
      </c>
      <c r="F191" s="154">
        <v>2301</v>
      </c>
      <c r="G191" s="197">
        <f>Tabla111[[#This Row],[Importe]]-Tabla111[[#This Row],[Pagado]]</f>
        <v>0</v>
      </c>
      <c r="H191" s="153" t="s">
        <v>10</v>
      </c>
    </row>
    <row r="192" spans="1:8" x14ac:dyDescent="0.25">
      <c r="A192" s="73">
        <v>44836</v>
      </c>
      <c r="B192" s="74" t="s">
        <v>31748</v>
      </c>
      <c r="C192" s="75" t="s">
        <v>56</v>
      </c>
      <c r="D192" s="81">
        <v>4616.6000000000004</v>
      </c>
      <c r="E192" s="230">
        <v>44836</v>
      </c>
      <c r="F192" s="81">
        <v>4616.6000000000004</v>
      </c>
      <c r="G192" s="197">
        <f>Tabla111[[#This Row],[Importe]]-Tabla111[[#This Row],[Pagado]]</f>
        <v>0</v>
      </c>
      <c r="H192" s="75" t="s">
        <v>10</v>
      </c>
    </row>
    <row r="193" spans="1:8" x14ac:dyDescent="0.25">
      <c r="A193" s="148">
        <v>44836</v>
      </c>
      <c r="B193" s="149" t="s">
        <v>31749</v>
      </c>
      <c r="C193" s="153" t="s">
        <v>75</v>
      </c>
      <c r="D193" s="154">
        <v>11160</v>
      </c>
      <c r="E193" s="231">
        <v>44836</v>
      </c>
      <c r="F193" s="154">
        <v>11160</v>
      </c>
      <c r="G193" s="197">
        <f>Tabla111[[#This Row],[Importe]]-Tabla111[[#This Row],[Pagado]]</f>
        <v>0</v>
      </c>
      <c r="H193" s="153" t="s">
        <v>10</v>
      </c>
    </row>
    <row r="194" spans="1:8" x14ac:dyDescent="0.25">
      <c r="A194" s="73">
        <v>44836</v>
      </c>
      <c r="B194" s="74" t="s">
        <v>31750</v>
      </c>
      <c r="C194" s="75" t="s">
        <v>31</v>
      </c>
      <c r="D194" s="81">
        <v>1809.6</v>
      </c>
      <c r="E194" s="230">
        <v>44836</v>
      </c>
      <c r="F194" s="81">
        <v>1809.6</v>
      </c>
      <c r="G194" s="197">
        <f>Tabla111[[#This Row],[Importe]]-Tabla111[[#This Row],[Pagado]]</f>
        <v>0</v>
      </c>
      <c r="H194" s="75" t="s">
        <v>10</v>
      </c>
    </row>
    <row r="195" spans="1:8" x14ac:dyDescent="0.25">
      <c r="A195" s="148">
        <v>44836</v>
      </c>
      <c r="B195" s="149" t="s">
        <v>31751</v>
      </c>
      <c r="C195" s="153" t="s">
        <v>16</v>
      </c>
      <c r="D195" s="154">
        <v>2365.9</v>
      </c>
      <c r="E195" s="231">
        <v>44836</v>
      </c>
      <c r="F195" s="154">
        <v>2365.9</v>
      </c>
      <c r="G195" s="197">
        <f>Tabla111[[#This Row],[Importe]]-Tabla111[[#This Row],[Pagado]]</f>
        <v>0</v>
      </c>
      <c r="H195" s="153" t="s">
        <v>10</v>
      </c>
    </row>
    <row r="196" spans="1:8" x14ac:dyDescent="0.25">
      <c r="A196" s="73">
        <v>44836</v>
      </c>
      <c r="B196" s="74" t="s">
        <v>31752</v>
      </c>
      <c r="C196" s="75" t="s">
        <v>67</v>
      </c>
      <c r="D196" s="81">
        <v>1320</v>
      </c>
      <c r="E196" s="230">
        <v>44836</v>
      </c>
      <c r="F196" s="81">
        <v>1320</v>
      </c>
      <c r="G196" s="197">
        <f>Tabla111[[#This Row],[Importe]]-Tabla111[[#This Row],[Pagado]]</f>
        <v>0</v>
      </c>
      <c r="H196" s="75" t="s">
        <v>10</v>
      </c>
    </row>
    <row r="197" spans="1:8" x14ac:dyDescent="0.25">
      <c r="A197" s="148">
        <v>44837</v>
      </c>
      <c r="B197" s="149" t="s">
        <v>31753</v>
      </c>
      <c r="C197" s="153" t="s">
        <v>887</v>
      </c>
      <c r="D197" s="154">
        <v>14880.7</v>
      </c>
      <c r="E197" s="231">
        <v>44837</v>
      </c>
      <c r="F197" s="154">
        <v>14880.7</v>
      </c>
      <c r="G197" s="197">
        <f>Tabla111[[#This Row],[Importe]]-Tabla111[[#This Row],[Pagado]]</f>
        <v>0</v>
      </c>
      <c r="H197" s="153" t="s">
        <v>10</v>
      </c>
    </row>
    <row r="198" spans="1:8" x14ac:dyDescent="0.25">
      <c r="A198" s="73">
        <v>44837</v>
      </c>
      <c r="B198" s="74" t="s">
        <v>31754</v>
      </c>
      <c r="C198" s="75" t="s">
        <v>83</v>
      </c>
      <c r="D198" s="81">
        <v>12478</v>
      </c>
      <c r="E198" s="230">
        <v>44837</v>
      </c>
      <c r="F198" s="81">
        <v>12478</v>
      </c>
      <c r="G198" s="197">
        <f>Tabla111[[#This Row],[Importe]]-Tabla111[[#This Row],[Pagado]]</f>
        <v>0</v>
      </c>
      <c r="H198" s="75" t="s">
        <v>10</v>
      </c>
    </row>
    <row r="199" spans="1:8" x14ac:dyDescent="0.25">
      <c r="A199" s="148">
        <v>44837</v>
      </c>
      <c r="B199" s="149" t="s">
        <v>31755</v>
      </c>
      <c r="C199" s="153" t="s">
        <v>12</v>
      </c>
      <c r="D199" s="154">
        <v>28128.6</v>
      </c>
      <c r="E199" s="231">
        <v>44838</v>
      </c>
      <c r="F199" s="154">
        <v>28128.6</v>
      </c>
      <c r="G199" s="197">
        <f>Tabla111[[#This Row],[Importe]]-Tabla111[[#This Row],[Pagado]]</f>
        <v>0</v>
      </c>
      <c r="H199" s="153" t="s">
        <v>10</v>
      </c>
    </row>
    <row r="200" spans="1:8" x14ac:dyDescent="0.25">
      <c r="A200" s="73">
        <v>44837</v>
      </c>
      <c r="B200" s="74" t="s">
        <v>31756</v>
      </c>
      <c r="C200" s="75" t="s">
        <v>475</v>
      </c>
      <c r="D200" s="81">
        <v>127351.2</v>
      </c>
      <c r="E200" s="230" t="s">
        <v>31757</v>
      </c>
      <c r="F200" s="81">
        <f>114000+13351.2</f>
        <v>127351.2</v>
      </c>
      <c r="G200" s="197">
        <f>Tabla111[[#This Row],[Importe]]-Tabla111[[#This Row],[Pagado]]</f>
        <v>0</v>
      </c>
      <c r="H200" s="75" t="s">
        <v>10</v>
      </c>
    </row>
    <row r="201" spans="1:8" x14ac:dyDescent="0.25">
      <c r="A201" s="148">
        <v>44837</v>
      </c>
      <c r="B201" s="149" t="s">
        <v>31758</v>
      </c>
      <c r="C201" s="153" t="s">
        <v>1187</v>
      </c>
      <c r="D201" s="154">
        <v>2191.8000000000002</v>
      </c>
      <c r="E201" s="231">
        <v>44837</v>
      </c>
      <c r="F201" s="154">
        <v>2191.8000000000002</v>
      </c>
      <c r="G201" s="197">
        <f>Tabla111[[#This Row],[Importe]]-Tabla111[[#This Row],[Pagado]]</f>
        <v>0</v>
      </c>
      <c r="H201" s="153" t="s">
        <v>10</v>
      </c>
    </row>
    <row r="202" spans="1:8" x14ac:dyDescent="0.25">
      <c r="A202" s="73">
        <v>44837</v>
      </c>
      <c r="B202" s="74" t="s">
        <v>31759</v>
      </c>
      <c r="C202" s="75" t="s">
        <v>60</v>
      </c>
      <c r="D202" s="81">
        <v>4797</v>
      </c>
      <c r="E202" s="230">
        <v>44839</v>
      </c>
      <c r="F202" s="81">
        <v>4797</v>
      </c>
      <c r="G202" s="197">
        <f>Tabla111[[#This Row],[Importe]]-Tabla111[[#This Row],[Pagado]]</f>
        <v>0</v>
      </c>
      <c r="H202" s="75" t="s">
        <v>10</v>
      </c>
    </row>
    <row r="203" spans="1:8" x14ac:dyDescent="0.25">
      <c r="A203" s="148">
        <v>44837</v>
      </c>
      <c r="B203" s="149" t="s">
        <v>31760</v>
      </c>
      <c r="C203" s="153" t="s">
        <v>64</v>
      </c>
      <c r="D203" s="154">
        <v>10062</v>
      </c>
      <c r="E203" s="231">
        <v>44838</v>
      </c>
      <c r="F203" s="154">
        <v>10062</v>
      </c>
      <c r="G203" s="197">
        <f>Tabla111[[#This Row],[Importe]]-Tabla111[[#This Row],[Pagado]]</f>
        <v>0</v>
      </c>
      <c r="H203" s="153" t="s">
        <v>10</v>
      </c>
    </row>
    <row r="204" spans="1:8" x14ac:dyDescent="0.25">
      <c r="A204" s="73">
        <v>44837</v>
      </c>
      <c r="B204" s="74" t="s">
        <v>31761</v>
      </c>
      <c r="C204" s="75" t="s">
        <v>111</v>
      </c>
      <c r="D204" s="81">
        <v>4693</v>
      </c>
      <c r="E204" s="230">
        <v>44838</v>
      </c>
      <c r="F204" s="81">
        <v>4693</v>
      </c>
      <c r="G204" s="197">
        <f>Tabla111[[#This Row],[Importe]]-Tabla111[[#This Row],[Pagado]]</f>
        <v>0</v>
      </c>
      <c r="H204" s="75" t="s">
        <v>10</v>
      </c>
    </row>
    <row r="205" spans="1:8" x14ac:dyDescent="0.25">
      <c r="A205" s="148">
        <v>44837</v>
      </c>
      <c r="B205" s="149" t="s">
        <v>31762</v>
      </c>
      <c r="C205" s="153" t="s">
        <v>348</v>
      </c>
      <c r="D205" s="154">
        <v>4889.2</v>
      </c>
      <c r="E205" s="231">
        <v>44837</v>
      </c>
      <c r="F205" s="154">
        <v>4889.2</v>
      </c>
      <c r="G205" s="197">
        <f>Tabla111[[#This Row],[Importe]]-Tabla111[[#This Row],[Pagado]]</f>
        <v>0</v>
      </c>
      <c r="H205" s="153" t="s">
        <v>10</v>
      </c>
    </row>
    <row r="206" spans="1:8" x14ac:dyDescent="0.25">
      <c r="A206" s="73">
        <v>44837</v>
      </c>
      <c r="B206" s="74" t="s">
        <v>31763</v>
      </c>
      <c r="C206" s="75" t="s">
        <v>18045</v>
      </c>
      <c r="D206" s="81">
        <v>0</v>
      </c>
      <c r="E206" s="232" t="s">
        <v>189</v>
      </c>
      <c r="F206" s="81">
        <v>0</v>
      </c>
      <c r="G206" s="197">
        <f>Tabla111[[#This Row],[Importe]]-Tabla111[[#This Row],[Pagado]]</f>
        <v>0</v>
      </c>
      <c r="H206" s="75" t="s">
        <v>189</v>
      </c>
    </row>
    <row r="207" spans="1:8" x14ac:dyDescent="0.25">
      <c r="A207" s="148">
        <v>44837</v>
      </c>
      <c r="B207" s="149" t="s">
        <v>31764</v>
      </c>
      <c r="C207" s="153" t="s">
        <v>105</v>
      </c>
      <c r="D207" s="154">
        <v>7452</v>
      </c>
      <c r="E207" s="231">
        <v>44837</v>
      </c>
      <c r="F207" s="154">
        <v>7452</v>
      </c>
      <c r="G207" s="197">
        <f>Tabla111[[#This Row],[Importe]]-Tabla111[[#This Row],[Pagado]]</f>
        <v>0</v>
      </c>
      <c r="H207" s="153" t="s">
        <v>10</v>
      </c>
    </row>
    <row r="208" spans="1:8" x14ac:dyDescent="0.25">
      <c r="A208" s="73">
        <v>44837</v>
      </c>
      <c r="B208" s="74" t="s">
        <v>31765</v>
      </c>
      <c r="C208" s="75" t="s">
        <v>481</v>
      </c>
      <c r="D208" s="81">
        <v>702</v>
      </c>
      <c r="E208" s="230">
        <v>44837</v>
      </c>
      <c r="F208" s="81">
        <v>702</v>
      </c>
      <c r="G208" s="197">
        <f>Tabla111[[#This Row],[Importe]]-Tabla111[[#This Row],[Pagado]]</f>
        <v>0</v>
      </c>
      <c r="H208" s="75" t="s">
        <v>10</v>
      </c>
    </row>
    <row r="209" spans="1:8" x14ac:dyDescent="0.25">
      <c r="A209" s="148">
        <v>44837</v>
      </c>
      <c r="B209" s="149" t="s">
        <v>31766</v>
      </c>
      <c r="C209" s="153" t="s">
        <v>353</v>
      </c>
      <c r="D209" s="154">
        <v>1560</v>
      </c>
      <c r="E209" s="231">
        <v>44837</v>
      </c>
      <c r="F209" s="154">
        <v>1560</v>
      </c>
      <c r="G209" s="197">
        <f>Tabla111[[#This Row],[Importe]]-Tabla111[[#This Row],[Pagado]]</f>
        <v>0</v>
      </c>
      <c r="H209" s="153" t="s">
        <v>10</v>
      </c>
    </row>
    <row r="210" spans="1:8" x14ac:dyDescent="0.25">
      <c r="A210" s="73">
        <v>44837</v>
      </c>
      <c r="B210" s="74" t="s">
        <v>31767</v>
      </c>
      <c r="C210" s="75" t="s">
        <v>93</v>
      </c>
      <c r="D210" s="81">
        <v>9286.2999999999993</v>
      </c>
      <c r="E210" s="230" t="s">
        <v>31757</v>
      </c>
      <c r="F210" s="81">
        <f>5000+4286.3</f>
        <v>9286.2999999999993</v>
      </c>
      <c r="G210" s="197">
        <f>Tabla111[[#This Row],[Importe]]-Tabla111[[#This Row],[Pagado]]</f>
        <v>0</v>
      </c>
      <c r="H210" s="75" t="s">
        <v>10</v>
      </c>
    </row>
    <row r="211" spans="1:8" x14ac:dyDescent="0.25">
      <c r="A211" s="148">
        <v>44837</v>
      </c>
      <c r="B211" s="149" t="s">
        <v>31768</v>
      </c>
      <c r="C211" s="153" t="s">
        <v>2151</v>
      </c>
      <c r="D211" s="154">
        <v>18151.5</v>
      </c>
      <c r="E211" s="231">
        <v>44837</v>
      </c>
      <c r="F211" s="154">
        <v>18151.5</v>
      </c>
      <c r="G211" s="197">
        <f>Tabla111[[#This Row],[Importe]]-Tabla111[[#This Row],[Pagado]]</f>
        <v>0</v>
      </c>
      <c r="H211" s="153" t="s">
        <v>10</v>
      </c>
    </row>
    <row r="212" spans="1:8" x14ac:dyDescent="0.25">
      <c r="A212" s="73">
        <v>44837</v>
      </c>
      <c r="B212" s="74" t="s">
        <v>31769</v>
      </c>
      <c r="C212" s="75" t="s">
        <v>97</v>
      </c>
      <c r="D212" s="81">
        <v>10021</v>
      </c>
      <c r="E212" s="230">
        <v>44838</v>
      </c>
      <c r="F212" s="81">
        <v>10021</v>
      </c>
      <c r="G212" s="197">
        <f>Tabla111[[#This Row],[Importe]]-Tabla111[[#This Row],[Pagado]]</f>
        <v>0</v>
      </c>
      <c r="H212" s="75" t="s">
        <v>10</v>
      </c>
    </row>
    <row r="213" spans="1:8" x14ac:dyDescent="0.25">
      <c r="A213" s="148">
        <v>44837</v>
      </c>
      <c r="B213" s="149" t="s">
        <v>31770</v>
      </c>
      <c r="C213" s="153" t="s">
        <v>9</v>
      </c>
      <c r="D213" s="154">
        <v>7375.8</v>
      </c>
      <c r="E213" s="231">
        <v>44837</v>
      </c>
      <c r="F213" s="154">
        <v>7375.8</v>
      </c>
      <c r="G213" s="197">
        <f>Tabla111[[#This Row],[Importe]]-Tabla111[[#This Row],[Pagado]]</f>
        <v>0</v>
      </c>
      <c r="H213" s="153" t="s">
        <v>10</v>
      </c>
    </row>
    <row r="214" spans="1:8" x14ac:dyDescent="0.25">
      <c r="A214" s="73">
        <v>44837</v>
      </c>
      <c r="B214" s="74" t="s">
        <v>31771</v>
      </c>
      <c r="C214" s="75" t="s">
        <v>345</v>
      </c>
      <c r="D214" s="81">
        <v>266.39999999999998</v>
      </c>
      <c r="E214" s="230">
        <v>44837</v>
      </c>
      <c r="F214" s="81">
        <v>266.39999999999998</v>
      </c>
      <c r="G214" s="197">
        <f>Tabla111[[#This Row],[Importe]]-Tabla111[[#This Row],[Pagado]]</f>
        <v>0</v>
      </c>
      <c r="H214" s="75" t="s">
        <v>10</v>
      </c>
    </row>
    <row r="215" spans="1:8" x14ac:dyDescent="0.25">
      <c r="A215" s="148">
        <v>44837</v>
      </c>
      <c r="B215" s="149" t="s">
        <v>31772</v>
      </c>
      <c r="C215" s="153" t="s">
        <v>30029</v>
      </c>
      <c r="D215" s="154">
        <v>11817.4</v>
      </c>
      <c r="E215" s="231" t="s">
        <v>31773</v>
      </c>
      <c r="F215" s="154">
        <f>3000+8817.4</f>
        <v>11817.4</v>
      </c>
      <c r="G215" s="197">
        <f>Tabla111[[#This Row],[Importe]]-Tabla111[[#This Row],[Pagado]]</f>
        <v>0</v>
      </c>
      <c r="H215" s="153" t="s">
        <v>10</v>
      </c>
    </row>
    <row r="216" spans="1:8" x14ac:dyDescent="0.25">
      <c r="A216" s="73">
        <v>44837</v>
      </c>
      <c r="B216" s="74" t="s">
        <v>31774</v>
      </c>
      <c r="C216" s="75" t="s">
        <v>109</v>
      </c>
      <c r="D216" s="81">
        <v>5642</v>
      </c>
      <c r="E216" s="230">
        <v>44838</v>
      </c>
      <c r="F216" s="81">
        <v>5642</v>
      </c>
      <c r="G216" s="197">
        <f>Tabla111[[#This Row],[Importe]]-Tabla111[[#This Row],[Pagado]]</f>
        <v>0</v>
      </c>
      <c r="H216" s="75" t="s">
        <v>10</v>
      </c>
    </row>
    <row r="217" spans="1:8" x14ac:dyDescent="0.25">
      <c r="A217" s="148">
        <v>44837</v>
      </c>
      <c r="B217" s="149" t="s">
        <v>31775</v>
      </c>
      <c r="C217" s="153" t="s">
        <v>924</v>
      </c>
      <c r="D217" s="154">
        <v>3409.5</v>
      </c>
      <c r="E217" s="231">
        <v>44837</v>
      </c>
      <c r="F217" s="154">
        <v>3409.5</v>
      </c>
      <c r="G217" s="197">
        <f>Tabla111[[#This Row],[Importe]]-Tabla111[[#This Row],[Pagado]]</f>
        <v>0</v>
      </c>
      <c r="H217" s="153" t="s">
        <v>10</v>
      </c>
    </row>
    <row r="218" spans="1:8" x14ac:dyDescent="0.25">
      <c r="A218" s="73">
        <v>44837</v>
      </c>
      <c r="B218" s="74" t="s">
        <v>31776</v>
      </c>
      <c r="C218" s="75" t="s">
        <v>39</v>
      </c>
      <c r="D218" s="81">
        <v>6281.9</v>
      </c>
      <c r="E218" s="230">
        <v>44838</v>
      </c>
      <c r="F218" s="81">
        <v>6281.9</v>
      </c>
      <c r="G218" s="197">
        <f>Tabla111[[#This Row],[Importe]]-Tabla111[[#This Row],[Pagado]]</f>
        <v>0</v>
      </c>
      <c r="H218" s="75" t="s">
        <v>10</v>
      </c>
    </row>
    <row r="219" spans="1:8" x14ac:dyDescent="0.25">
      <c r="A219" s="148">
        <v>44837</v>
      </c>
      <c r="B219" s="149" t="s">
        <v>31777</v>
      </c>
      <c r="C219" s="153" t="s">
        <v>22</v>
      </c>
      <c r="D219" s="154">
        <v>68170.5</v>
      </c>
      <c r="E219" s="231">
        <v>44838</v>
      </c>
      <c r="F219" s="154">
        <v>68170.5</v>
      </c>
      <c r="G219" s="197">
        <f>Tabla111[[#This Row],[Importe]]-Tabla111[[#This Row],[Pagado]]</f>
        <v>0</v>
      </c>
      <c r="H219" s="153" t="s">
        <v>10</v>
      </c>
    </row>
    <row r="220" spans="1:8" x14ac:dyDescent="0.25">
      <c r="A220" s="73">
        <v>44837</v>
      </c>
      <c r="B220" s="74" t="s">
        <v>31778</v>
      </c>
      <c r="C220" s="75" t="s">
        <v>87</v>
      </c>
      <c r="D220" s="81">
        <v>3382.3</v>
      </c>
      <c r="E220" s="230">
        <v>44837</v>
      </c>
      <c r="F220" s="81">
        <v>3382.3</v>
      </c>
      <c r="G220" s="197">
        <f>Tabla111[[#This Row],[Importe]]-Tabla111[[#This Row],[Pagado]]</f>
        <v>0</v>
      </c>
      <c r="H220" s="75" t="s">
        <v>10</v>
      </c>
    </row>
    <row r="221" spans="1:8" x14ac:dyDescent="0.25">
      <c r="A221" s="148">
        <v>44837</v>
      </c>
      <c r="B221" s="149" t="s">
        <v>31779</v>
      </c>
      <c r="C221" s="153" t="s">
        <v>314</v>
      </c>
      <c r="D221" s="154">
        <v>2197.5</v>
      </c>
      <c r="E221" s="231">
        <v>44837</v>
      </c>
      <c r="F221" s="154">
        <v>2197.5</v>
      </c>
      <c r="G221" s="197">
        <f>Tabla111[[#This Row],[Importe]]-Tabla111[[#This Row],[Pagado]]</f>
        <v>0</v>
      </c>
      <c r="H221" s="153" t="s">
        <v>10</v>
      </c>
    </row>
    <row r="222" spans="1:8" x14ac:dyDescent="0.25">
      <c r="A222" s="73">
        <v>44837</v>
      </c>
      <c r="B222" s="74" t="s">
        <v>31780</v>
      </c>
      <c r="C222" s="75" t="s">
        <v>326</v>
      </c>
      <c r="D222" s="81">
        <v>5011.5</v>
      </c>
      <c r="E222" s="230">
        <v>44838</v>
      </c>
      <c r="F222" s="81">
        <v>5011.5</v>
      </c>
      <c r="G222" s="197">
        <f>Tabla111[[#This Row],[Importe]]-Tabla111[[#This Row],[Pagado]]</f>
        <v>0</v>
      </c>
      <c r="H222" s="75" t="s">
        <v>10</v>
      </c>
    </row>
    <row r="223" spans="1:8" x14ac:dyDescent="0.25">
      <c r="A223" s="148">
        <v>44837</v>
      </c>
      <c r="B223" s="149" t="s">
        <v>31781</v>
      </c>
      <c r="C223" s="153" t="s">
        <v>89</v>
      </c>
      <c r="D223" s="154">
        <v>11912.1</v>
      </c>
      <c r="E223" s="231">
        <v>44839</v>
      </c>
      <c r="F223" s="154">
        <v>11912.1</v>
      </c>
      <c r="G223" s="197">
        <f>Tabla111[[#This Row],[Importe]]-Tabla111[[#This Row],[Pagado]]</f>
        <v>0</v>
      </c>
      <c r="H223" s="153" t="s">
        <v>10</v>
      </c>
    </row>
    <row r="224" spans="1:8" x14ac:dyDescent="0.25">
      <c r="A224" s="73">
        <v>44837</v>
      </c>
      <c r="B224" s="74" t="s">
        <v>31782</v>
      </c>
      <c r="C224" s="75" t="s">
        <v>226</v>
      </c>
      <c r="D224" s="81">
        <v>4932.3999999999996</v>
      </c>
      <c r="E224" s="230">
        <v>44837</v>
      </c>
      <c r="F224" s="81">
        <v>4932.3999999999996</v>
      </c>
      <c r="G224" s="197">
        <f>Tabla111[[#This Row],[Importe]]-Tabla111[[#This Row],[Pagado]]</f>
        <v>0</v>
      </c>
      <c r="H224" s="75" t="s">
        <v>10</v>
      </c>
    </row>
    <row r="225" spans="1:8" x14ac:dyDescent="0.25">
      <c r="A225" s="148">
        <v>44837</v>
      </c>
      <c r="B225" s="149" t="s">
        <v>31783</v>
      </c>
      <c r="C225" s="153" t="s">
        <v>17556</v>
      </c>
      <c r="D225" s="154">
        <v>6850.4</v>
      </c>
      <c r="E225" s="231">
        <v>44837</v>
      </c>
      <c r="F225" s="154">
        <v>6850.4</v>
      </c>
      <c r="G225" s="197">
        <f>Tabla111[[#This Row],[Importe]]-Tabla111[[#This Row],[Pagado]]</f>
        <v>0</v>
      </c>
      <c r="H225" s="153" t="s">
        <v>10</v>
      </c>
    </row>
    <row r="226" spans="1:8" x14ac:dyDescent="0.25">
      <c r="A226" s="73">
        <v>44837</v>
      </c>
      <c r="B226" s="74" t="s">
        <v>31784</v>
      </c>
      <c r="C226" s="75" t="s">
        <v>664</v>
      </c>
      <c r="D226" s="81">
        <v>3813</v>
      </c>
      <c r="E226" s="230">
        <v>44837</v>
      </c>
      <c r="F226" s="81">
        <v>3813</v>
      </c>
      <c r="G226" s="197">
        <f>Tabla111[[#This Row],[Importe]]-Tabla111[[#This Row],[Pagado]]</f>
        <v>0</v>
      </c>
      <c r="H226" s="75" t="s">
        <v>10</v>
      </c>
    </row>
    <row r="227" spans="1:8" x14ac:dyDescent="0.25">
      <c r="A227" s="148">
        <v>44837</v>
      </c>
      <c r="B227" s="149" t="s">
        <v>31785</v>
      </c>
      <c r="C227" s="153" t="s">
        <v>146</v>
      </c>
      <c r="D227" s="154">
        <v>5633.4</v>
      </c>
      <c r="E227" s="231">
        <v>44837</v>
      </c>
      <c r="F227" s="154">
        <v>5633.4</v>
      </c>
      <c r="G227" s="197">
        <f>Tabla111[[#This Row],[Importe]]-Tabla111[[#This Row],[Pagado]]</f>
        <v>0</v>
      </c>
      <c r="H227" s="153" t="s">
        <v>10</v>
      </c>
    </row>
    <row r="228" spans="1:8" x14ac:dyDescent="0.25">
      <c r="A228" s="73">
        <v>44837</v>
      </c>
      <c r="B228" s="74" t="s">
        <v>31786</v>
      </c>
      <c r="C228" s="75" t="s">
        <v>79</v>
      </c>
      <c r="D228" s="81">
        <v>9217.5</v>
      </c>
      <c r="E228" s="230">
        <v>44837</v>
      </c>
      <c r="F228" s="81">
        <v>9217.5</v>
      </c>
      <c r="G228" s="197">
        <f>Tabla111[[#This Row],[Importe]]-Tabla111[[#This Row],[Pagado]]</f>
        <v>0</v>
      </c>
      <c r="H228" s="75" t="s">
        <v>10</v>
      </c>
    </row>
    <row r="229" spans="1:8" x14ac:dyDescent="0.25">
      <c r="A229" s="148">
        <v>44837</v>
      </c>
      <c r="B229" s="149" t="s">
        <v>31787</v>
      </c>
      <c r="C229" s="153" t="s">
        <v>31</v>
      </c>
      <c r="D229" s="154">
        <v>1342</v>
      </c>
      <c r="E229" s="231">
        <v>44837</v>
      </c>
      <c r="F229" s="154">
        <v>1342</v>
      </c>
      <c r="G229" s="197">
        <f>Tabla111[[#This Row],[Importe]]-Tabla111[[#This Row],[Pagado]]</f>
        <v>0</v>
      </c>
      <c r="H229" s="153" t="s">
        <v>10</v>
      </c>
    </row>
    <row r="230" spans="1:8" x14ac:dyDescent="0.25">
      <c r="A230" s="73">
        <v>44837</v>
      </c>
      <c r="B230" s="74" t="s">
        <v>31788</v>
      </c>
      <c r="C230" s="75" t="s">
        <v>31</v>
      </c>
      <c r="D230" s="81">
        <v>7215.8</v>
      </c>
      <c r="E230" s="230">
        <v>44837</v>
      </c>
      <c r="F230" s="81">
        <v>7215.8</v>
      </c>
      <c r="G230" s="197">
        <f>Tabla111[[#This Row],[Importe]]-Tabla111[[#This Row],[Pagado]]</f>
        <v>0</v>
      </c>
      <c r="H230" s="75" t="s">
        <v>10</v>
      </c>
    </row>
    <row r="231" spans="1:8" x14ac:dyDescent="0.25">
      <c r="A231" s="148">
        <v>44837</v>
      </c>
      <c r="B231" s="149" t="s">
        <v>31789</v>
      </c>
      <c r="C231" s="153" t="s">
        <v>181</v>
      </c>
      <c r="D231" s="154">
        <v>12332.8</v>
      </c>
      <c r="E231" s="231">
        <v>44837</v>
      </c>
      <c r="F231" s="154">
        <v>12332.8</v>
      </c>
      <c r="G231" s="197">
        <f>Tabla111[[#This Row],[Importe]]-Tabla111[[#This Row],[Pagado]]</f>
        <v>0</v>
      </c>
      <c r="H231" s="153" t="s">
        <v>10</v>
      </c>
    </row>
    <row r="232" spans="1:8" x14ac:dyDescent="0.25">
      <c r="A232" s="73">
        <v>44837</v>
      </c>
      <c r="B232" s="74" t="s">
        <v>31790</v>
      </c>
      <c r="C232" s="75" t="s">
        <v>426</v>
      </c>
      <c r="D232" s="81">
        <v>5723</v>
      </c>
      <c r="E232" s="230">
        <v>44837</v>
      </c>
      <c r="F232" s="81">
        <v>5723</v>
      </c>
      <c r="G232" s="197">
        <f>Tabla111[[#This Row],[Importe]]-Tabla111[[#This Row],[Pagado]]</f>
        <v>0</v>
      </c>
      <c r="H232" s="75" t="s">
        <v>10</v>
      </c>
    </row>
    <row r="233" spans="1:8" x14ac:dyDescent="0.25">
      <c r="A233" s="148">
        <v>44837</v>
      </c>
      <c r="B233" s="149" t="s">
        <v>31791</v>
      </c>
      <c r="C233" s="153" t="s">
        <v>95</v>
      </c>
      <c r="D233" s="154">
        <v>12678.3</v>
      </c>
      <c r="E233" s="231">
        <v>44837</v>
      </c>
      <c r="F233" s="154">
        <v>12678.3</v>
      </c>
      <c r="G233" s="197">
        <f>Tabla111[[#This Row],[Importe]]-Tabla111[[#This Row],[Pagado]]</f>
        <v>0</v>
      </c>
      <c r="H233" s="153" t="s">
        <v>10</v>
      </c>
    </row>
    <row r="234" spans="1:8" x14ac:dyDescent="0.25">
      <c r="A234" s="73">
        <v>44837</v>
      </c>
      <c r="B234" s="74" t="s">
        <v>31792</v>
      </c>
      <c r="C234" s="75" t="s">
        <v>75</v>
      </c>
      <c r="D234" s="81">
        <v>8047.5</v>
      </c>
      <c r="E234" s="230">
        <v>44837</v>
      </c>
      <c r="F234" s="81">
        <v>8047.5</v>
      </c>
      <c r="G234" s="197">
        <f>Tabla111[[#This Row],[Importe]]-Tabla111[[#This Row],[Pagado]]</f>
        <v>0</v>
      </c>
      <c r="H234" s="75" t="s">
        <v>10</v>
      </c>
    </row>
    <row r="235" spans="1:8" x14ac:dyDescent="0.25">
      <c r="A235" s="148">
        <v>44837</v>
      </c>
      <c r="B235" s="149" t="s">
        <v>31793</v>
      </c>
      <c r="C235" s="153" t="s">
        <v>27</v>
      </c>
      <c r="D235" s="154">
        <v>3212.2</v>
      </c>
      <c r="E235" s="231">
        <v>44837</v>
      </c>
      <c r="F235" s="154">
        <v>3212.2</v>
      </c>
      <c r="G235" s="197">
        <f>Tabla111[[#This Row],[Importe]]-Tabla111[[#This Row],[Pagado]]</f>
        <v>0</v>
      </c>
      <c r="H235" s="153" t="s">
        <v>10</v>
      </c>
    </row>
    <row r="236" spans="1:8" x14ac:dyDescent="0.25">
      <c r="A236" s="73">
        <v>44837</v>
      </c>
      <c r="B236" s="74" t="s">
        <v>31794</v>
      </c>
      <c r="C236" s="75" t="s">
        <v>58</v>
      </c>
      <c r="D236" s="81">
        <v>3363</v>
      </c>
      <c r="E236" s="230">
        <v>44837</v>
      </c>
      <c r="F236" s="81">
        <v>3363</v>
      </c>
      <c r="G236" s="197">
        <f>Tabla111[[#This Row],[Importe]]-Tabla111[[#This Row],[Pagado]]</f>
        <v>0</v>
      </c>
      <c r="H236" s="75" t="s">
        <v>10</v>
      </c>
    </row>
    <row r="237" spans="1:8" x14ac:dyDescent="0.25">
      <c r="A237" s="148">
        <v>44837</v>
      </c>
      <c r="B237" s="149" t="s">
        <v>31795</v>
      </c>
      <c r="C237" s="153" t="s">
        <v>175</v>
      </c>
      <c r="D237" s="154">
        <v>15570.4</v>
      </c>
      <c r="E237" s="231">
        <v>44837</v>
      </c>
      <c r="F237" s="154">
        <v>15570.4</v>
      </c>
      <c r="G237" s="197">
        <f>Tabla111[[#This Row],[Importe]]-Tabla111[[#This Row],[Pagado]]</f>
        <v>0</v>
      </c>
      <c r="H237" s="153" t="s">
        <v>10</v>
      </c>
    </row>
    <row r="238" spans="1:8" x14ac:dyDescent="0.25">
      <c r="A238" s="73">
        <v>44837</v>
      </c>
      <c r="B238" s="74" t="s">
        <v>31796</v>
      </c>
      <c r="C238" s="75" t="s">
        <v>28087</v>
      </c>
      <c r="D238" s="81">
        <v>226928.1</v>
      </c>
      <c r="E238" s="230" t="s">
        <v>31757</v>
      </c>
      <c r="F238" s="81">
        <f>70000+50000+106928.1</f>
        <v>226928.1</v>
      </c>
      <c r="G238" s="197">
        <f>Tabla111[[#This Row],[Importe]]-Tabla111[[#This Row],[Pagado]]</f>
        <v>0</v>
      </c>
      <c r="H238" s="75" t="s">
        <v>10</v>
      </c>
    </row>
    <row r="239" spans="1:8" x14ac:dyDescent="0.25">
      <c r="A239" s="148">
        <v>44837</v>
      </c>
      <c r="B239" s="149" t="s">
        <v>31797</v>
      </c>
      <c r="C239" s="153" t="s">
        <v>196</v>
      </c>
      <c r="D239" s="154">
        <v>151687.98000000001</v>
      </c>
      <c r="E239" s="231">
        <v>44841</v>
      </c>
      <c r="F239" s="154">
        <v>151687.98000000001</v>
      </c>
      <c r="G239" s="197">
        <f>Tabla111[[#This Row],[Importe]]-Tabla111[[#This Row],[Pagado]]</f>
        <v>0</v>
      </c>
      <c r="H239" s="153" t="s">
        <v>10</v>
      </c>
    </row>
    <row r="240" spans="1:8" x14ac:dyDescent="0.25">
      <c r="A240" s="73">
        <v>44837</v>
      </c>
      <c r="B240" s="74" t="s">
        <v>31798</v>
      </c>
      <c r="C240" s="75" t="s">
        <v>16</v>
      </c>
      <c r="D240" s="81">
        <v>4390.8999999999996</v>
      </c>
      <c r="E240" s="230">
        <v>44837</v>
      </c>
      <c r="F240" s="81">
        <v>4390.8999999999996</v>
      </c>
      <c r="G240" s="197">
        <f>Tabla111[[#This Row],[Importe]]-Tabla111[[#This Row],[Pagado]]</f>
        <v>0</v>
      </c>
      <c r="H240" s="75" t="s">
        <v>10</v>
      </c>
    </row>
    <row r="241" spans="1:8" x14ac:dyDescent="0.25">
      <c r="A241" s="148">
        <v>44837</v>
      </c>
      <c r="B241" s="149" t="s">
        <v>31799</v>
      </c>
      <c r="C241" s="153" t="s">
        <v>142</v>
      </c>
      <c r="D241" s="154">
        <v>88125.66</v>
      </c>
      <c r="E241" s="231">
        <v>44876</v>
      </c>
      <c r="F241" s="154">
        <v>88125.66</v>
      </c>
      <c r="G241" s="197">
        <f>Tabla111[[#This Row],[Importe]]-Tabla111[[#This Row],[Pagado]]</f>
        <v>0</v>
      </c>
      <c r="H241" s="153" t="s">
        <v>10</v>
      </c>
    </row>
    <row r="242" spans="1:8" x14ac:dyDescent="0.25">
      <c r="A242" s="73">
        <v>44837</v>
      </c>
      <c r="B242" s="74" t="s">
        <v>31800</v>
      </c>
      <c r="C242" s="75" t="s">
        <v>592</v>
      </c>
      <c r="D242" s="81">
        <v>26934.400000000001</v>
      </c>
      <c r="E242" s="230">
        <v>44838</v>
      </c>
      <c r="F242" s="81">
        <v>26934.400000000001</v>
      </c>
      <c r="G242" s="197">
        <f>Tabla111[[#This Row],[Importe]]-Tabla111[[#This Row],[Pagado]]</f>
        <v>0</v>
      </c>
      <c r="H242" s="75" t="s">
        <v>10</v>
      </c>
    </row>
    <row r="243" spans="1:8" x14ac:dyDescent="0.25">
      <c r="A243" s="148">
        <v>44837</v>
      </c>
      <c r="B243" s="149" t="s">
        <v>31801</v>
      </c>
      <c r="C243" s="153" t="s">
        <v>45</v>
      </c>
      <c r="D243" s="154">
        <v>11075.4</v>
      </c>
      <c r="E243" s="231">
        <v>44837</v>
      </c>
      <c r="F243" s="154">
        <v>11075.4</v>
      </c>
      <c r="G243" s="197">
        <f>Tabla111[[#This Row],[Importe]]-Tabla111[[#This Row],[Pagado]]</f>
        <v>0</v>
      </c>
      <c r="H243" s="153" t="s">
        <v>10</v>
      </c>
    </row>
    <row r="244" spans="1:8" x14ac:dyDescent="0.25">
      <c r="A244" s="73">
        <v>44837</v>
      </c>
      <c r="B244" s="74" t="s">
        <v>31802</v>
      </c>
      <c r="C244" s="75" t="s">
        <v>49</v>
      </c>
      <c r="D244" s="81">
        <v>3981.6</v>
      </c>
      <c r="E244" s="230">
        <v>44837</v>
      </c>
      <c r="F244" s="81">
        <v>3981.6</v>
      </c>
      <c r="G244" s="197">
        <f>Tabla111[[#This Row],[Importe]]-Tabla111[[#This Row],[Pagado]]</f>
        <v>0</v>
      </c>
      <c r="H244" s="75" t="s">
        <v>10</v>
      </c>
    </row>
    <row r="245" spans="1:8" x14ac:dyDescent="0.25">
      <c r="A245" s="148">
        <v>44837</v>
      </c>
      <c r="B245" s="149" t="s">
        <v>31803</v>
      </c>
      <c r="C245" s="153" t="s">
        <v>31</v>
      </c>
      <c r="D245" s="154">
        <v>5210.7</v>
      </c>
      <c r="E245" s="231">
        <v>44837</v>
      </c>
      <c r="F245" s="154">
        <v>5210.7</v>
      </c>
      <c r="G245" s="197">
        <f>Tabla111[[#This Row],[Importe]]-Tabla111[[#This Row],[Pagado]]</f>
        <v>0</v>
      </c>
      <c r="H245" s="153" t="s">
        <v>10</v>
      </c>
    </row>
    <row r="246" spans="1:8" x14ac:dyDescent="0.25">
      <c r="A246" s="73">
        <v>44837</v>
      </c>
      <c r="B246" s="74" t="s">
        <v>31804</v>
      </c>
      <c r="C246" s="75" t="s">
        <v>222</v>
      </c>
      <c r="D246" s="81">
        <v>11829.4</v>
      </c>
      <c r="E246" s="230">
        <v>44837</v>
      </c>
      <c r="F246" s="81">
        <v>11829.4</v>
      </c>
      <c r="G246" s="197">
        <f>Tabla111[[#This Row],[Importe]]-Tabla111[[#This Row],[Pagado]]</f>
        <v>0</v>
      </c>
      <c r="H246" s="75" t="s">
        <v>10</v>
      </c>
    </row>
    <row r="247" spans="1:8" x14ac:dyDescent="0.25">
      <c r="A247" s="148">
        <v>44837</v>
      </c>
      <c r="B247" s="149" t="s">
        <v>31805</v>
      </c>
      <c r="C247" s="153" t="s">
        <v>202</v>
      </c>
      <c r="D247" s="154">
        <v>4027.1</v>
      </c>
      <c r="E247" s="231">
        <v>44837</v>
      </c>
      <c r="F247" s="154">
        <v>4027.1</v>
      </c>
      <c r="G247" s="197">
        <f>Tabla111[[#This Row],[Importe]]-Tabla111[[#This Row],[Pagado]]</f>
        <v>0</v>
      </c>
      <c r="H247" s="153" t="s">
        <v>10</v>
      </c>
    </row>
    <row r="248" spans="1:8" x14ac:dyDescent="0.25">
      <c r="A248" s="73">
        <v>44837</v>
      </c>
      <c r="B248" s="74" t="s">
        <v>31806</v>
      </c>
      <c r="C248" s="75" t="s">
        <v>133</v>
      </c>
      <c r="D248" s="81">
        <v>9876</v>
      </c>
      <c r="E248" s="230">
        <v>44838</v>
      </c>
      <c r="F248" s="81">
        <v>9876</v>
      </c>
      <c r="G248" s="197">
        <f>Tabla111[[#This Row],[Importe]]-Tabla111[[#This Row],[Pagado]]</f>
        <v>0</v>
      </c>
      <c r="H248" s="75" t="s">
        <v>10</v>
      </c>
    </row>
    <row r="249" spans="1:8" x14ac:dyDescent="0.25">
      <c r="A249" s="148">
        <v>44837</v>
      </c>
      <c r="B249" s="149" t="s">
        <v>31807</v>
      </c>
      <c r="C249" s="153" t="s">
        <v>1644</v>
      </c>
      <c r="D249" s="154">
        <v>17026.400000000001</v>
      </c>
      <c r="E249" s="231">
        <v>44838</v>
      </c>
      <c r="F249" s="154">
        <v>17026.400000000001</v>
      </c>
      <c r="G249" s="197">
        <f>Tabla111[[#This Row],[Importe]]-Tabla111[[#This Row],[Pagado]]</f>
        <v>0</v>
      </c>
      <c r="H249" s="153" t="s">
        <v>10</v>
      </c>
    </row>
    <row r="250" spans="1:8" x14ac:dyDescent="0.25">
      <c r="A250" s="73">
        <v>44837</v>
      </c>
      <c r="B250" s="74" t="s">
        <v>31808</v>
      </c>
      <c r="C250" s="75" t="s">
        <v>173</v>
      </c>
      <c r="D250" s="81">
        <v>28367.200000000001</v>
      </c>
      <c r="E250" s="230">
        <v>44838</v>
      </c>
      <c r="F250" s="81">
        <v>28367.200000000001</v>
      </c>
      <c r="G250" s="197">
        <f>Tabla111[[#This Row],[Importe]]-Tabla111[[#This Row],[Pagado]]</f>
        <v>0</v>
      </c>
      <c r="H250" s="75" t="s">
        <v>10</v>
      </c>
    </row>
    <row r="251" spans="1:8" x14ac:dyDescent="0.25">
      <c r="A251" s="148">
        <v>44837</v>
      </c>
      <c r="B251" s="149" t="s">
        <v>31809</v>
      </c>
      <c r="C251" s="153" t="s">
        <v>53</v>
      </c>
      <c r="D251" s="154">
        <v>2714.4</v>
      </c>
      <c r="E251" s="231">
        <v>44837</v>
      </c>
      <c r="F251" s="154">
        <v>2714.4</v>
      </c>
      <c r="G251" s="197">
        <f>Tabla111[[#This Row],[Importe]]-Tabla111[[#This Row],[Pagado]]</f>
        <v>0</v>
      </c>
      <c r="H251" s="153" t="s">
        <v>10</v>
      </c>
    </row>
    <row r="252" spans="1:8" x14ac:dyDescent="0.25">
      <c r="A252" s="73">
        <v>44837</v>
      </c>
      <c r="B252" s="74" t="s">
        <v>31810</v>
      </c>
      <c r="C252" s="75" t="s">
        <v>804</v>
      </c>
      <c r="D252" s="81">
        <v>17844</v>
      </c>
      <c r="E252" s="230">
        <v>44837</v>
      </c>
      <c r="F252" s="81">
        <v>17844</v>
      </c>
      <c r="G252" s="197">
        <f>Tabla111[[#This Row],[Importe]]-Tabla111[[#This Row],[Pagado]]</f>
        <v>0</v>
      </c>
      <c r="H252" s="75" t="s">
        <v>10</v>
      </c>
    </row>
    <row r="253" spans="1:8" x14ac:dyDescent="0.25">
      <c r="A253" s="148">
        <v>44837</v>
      </c>
      <c r="B253" s="149" t="s">
        <v>31811</v>
      </c>
      <c r="C253" s="153" t="s">
        <v>56</v>
      </c>
      <c r="D253" s="154">
        <v>4506.8</v>
      </c>
      <c r="E253" s="231">
        <v>44837</v>
      </c>
      <c r="F253" s="154">
        <v>4506.8</v>
      </c>
      <c r="G253" s="197">
        <f>Tabla111[[#This Row],[Importe]]-Tabla111[[#This Row],[Pagado]]</f>
        <v>0</v>
      </c>
      <c r="H253" s="153" t="s">
        <v>10</v>
      </c>
    </row>
    <row r="254" spans="1:8" x14ac:dyDescent="0.25">
      <c r="A254" s="73">
        <v>44837</v>
      </c>
      <c r="B254" s="74" t="s">
        <v>31812</v>
      </c>
      <c r="C254" s="75" t="s">
        <v>240</v>
      </c>
      <c r="D254" s="81">
        <v>7721.6</v>
      </c>
      <c r="E254" s="230">
        <v>44837</v>
      </c>
      <c r="F254" s="81">
        <v>7721.6</v>
      </c>
      <c r="G254" s="197">
        <f>Tabla111[[#This Row],[Importe]]-Tabla111[[#This Row],[Pagado]]</f>
        <v>0</v>
      </c>
      <c r="H254" s="75" t="s">
        <v>10</v>
      </c>
    </row>
    <row r="255" spans="1:8" x14ac:dyDescent="0.25">
      <c r="A255" s="148">
        <v>44837</v>
      </c>
      <c r="B255" s="149" t="s">
        <v>31813</v>
      </c>
      <c r="C255" s="153" t="s">
        <v>212</v>
      </c>
      <c r="D255" s="154">
        <v>72096.7</v>
      </c>
      <c r="E255" s="231">
        <v>44840</v>
      </c>
      <c r="F255" s="154">
        <v>72096.7</v>
      </c>
      <c r="G255" s="197">
        <f>Tabla111[[#This Row],[Importe]]-Tabla111[[#This Row],[Pagado]]</f>
        <v>0</v>
      </c>
      <c r="H255" s="153" t="s">
        <v>10</v>
      </c>
    </row>
    <row r="256" spans="1:8" x14ac:dyDescent="0.25">
      <c r="A256" s="73">
        <v>44837</v>
      </c>
      <c r="B256" s="74" t="s">
        <v>31814</v>
      </c>
      <c r="C256" s="75" t="s">
        <v>35</v>
      </c>
      <c r="D256" s="81">
        <v>2187.1999999999998</v>
      </c>
      <c r="E256" s="230">
        <v>44837</v>
      </c>
      <c r="F256" s="81">
        <v>2187.1999999999998</v>
      </c>
      <c r="G256" s="197">
        <f>Tabla111[[#This Row],[Importe]]-Tabla111[[#This Row],[Pagado]]</f>
        <v>0</v>
      </c>
      <c r="H256" s="75" t="s">
        <v>10</v>
      </c>
    </row>
    <row r="257" spans="1:8" x14ac:dyDescent="0.25">
      <c r="A257" s="148">
        <v>44837</v>
      </c>
      <c r="B257" s="149" t="s">
        <v>31815</v>
      </c>
      <c r="C257" s="153" t="s">
        <v>218</v>
      </c>
      <c r="D257" s="154">
        <v>14029.6</v>
      </c>
      <c r="E257" s="231">
        <v>44840</v>
      </c>
      <c r="F257" s="154">
        <v>14029.6</v>
      </c>
      <c r="G257" s="197">
        <f>Tabla111[[#This Row],[Importe]]-Tabla111[[#This Row],[Pagado]]</f>
        <v>0</v>
      </c>
      <c r="H257" s="153" t="s">
        <v>10</v>
      </c>
    </row>
    <row r="258" spans="1:8" x14ac:dyDescent="0.25">
      <c r="A258" s="73">
        <v>44837</v>
      </c>
      <c r="B258" s="74" t="s">
        <v>31816</v>
      </c>
      <c r="C258" s="75" t="s">
        <v>24</v>
      </c>
      <c r="D258" s="81">
        <v>3711.4</v>
      </c>
      <c r="E258" s="230">
        <v>44837</v>
      </c>
      <c r="F258" s="81">
        <v>3711.4</v>
      </c>
      <c r="G258" s="197">
        <f>Tabla111[[#This Row],[Importe]]-Tabla111[[#This Row],[Pagado]]</f>
        <v>0</v>
      </c>
      <c r="H258" s="75" t="s">
        <v>10</v>
      </c>
    </row>
    <row r="259" spans="1:8" x14ac:dyDescent="0.25">
      <c r="A259" s="148">
        <v>44837</v>
      </c>
      <c r="B259" s="149" t="s">
        <v>31817</v>
      </c>
      <c r="C259" s="153" t="s">
        <v>127</v>
      </c>
      <c r="D259" s="154">
        <v>6787</v>
      </c>
      <c r="E259" s="231">
        <v>44837</v>
      </c>
      <c r="F259" s="154">
        <v>6787</v>
      </c>
      <c r="G259" s="197">
        <f>Tabla111[[#This Row],[Importe]]-Tabla111[[#This Row],[Pagado]]</f>
        <v>0</v>
      </c>
      <c r="H259" s="153" t="s">
        <v>10</v>
      </c>
    </row>
    <row r="260" spans="1:8" x14ac:dyDescent="0.25">
      <c r="A260" s="73">
        <v>44837</v>
      </c>
      <c r="B260" s="74" t="s">
        <v>31818</v>
      </c>
      <c r="C260" s="75" t="s">
        <v>339</v>
      </c>
      <c r="D260" s="81">
        <v>592.79999999999995</v>
      </c>
      <c r="E260" s="230">
        <v>44837</v>
      </c>
      <c r="F260" s="81">
        <v>592.79999999999995</v>
      </c>
      <c r="G260" s="197">
        <f>Tabla111[[#This Row],[Importe]]-Tabla111[[#This Row],[Pagado]]</f>
        <v>0</v>
      </c>
      <c r="H260" s="75" t="s">
        <v>10</v>
      </c>
    </row>
    <row r="261" spans="1:8" x14ac:dyDescent="0.25">
      <c r="A261" s="148">
        <v>44837</v>
      </c>
      <c r="B261" s="149" t="s">
        <v>31819</v>
      </c>
      <c r="C261" s="153" t="s">
        <v>206</v>
      </c>
      <c r="D261" s="154">
        <v>18191</v>
      </c>
      <c r="E261" s="231">
        <v>44840</v>
      </c>
      <c r="F261" s="154">
        <v>18191</v>
      </c>
      <c r="G261" s="197">
        <f>Tabla111[[#This Row],[Importe]]-Tabla111[[#This Row],[Pagado]]</f>
        <v>0</v>
      </c>
      <c r="H261" s="153" t="s">
        <v>10</v>
      </c>
    </row>
    <row r="262" spans="1:8" x14ac:dyDescent="0.25">
      <c r="A262" s="73">
        <v>44837</v>
      </c>
      <c r="B262" s="74" t="s">
        <v>31820</v>
      </c>
      <c r="C262" s="75" t="s">
        <v>140</v>
      </c>
      <c r="D262" s="81">
        <v>2482.1999999999998</v>
      </c>
      <c r="E262" s="230">
        <v>44837</v>
      </c>
      <c r="F262" s="81">
        <v>2482.1999999999998</v>
      </c>
      <c r="G262" s="197">
        <f>Tabla111[[#This Row],[Importe]]-Tabla111[[#This Row],[Pagado]]</f>
        <v>0</v>
      </c>
      <c r="H262" s="75" t="s">
        <v>10</v>
      </c>
    </row>
    <row r="263" spans="1:8" x14ac:dyDescent="0.25">
      <c r="A263" s="148">
        <v>44837</v>
      </c>
      <c r="B263" s="149" t="s">
        <v>31821</v>
      </c>
      <c r="C263" s="153" t="s">
        <v>24</v>
      </c>
      <c r="D263" s="154">
        <v>608.6</v>
      </c>
      <c r="E263" s="231">
        <v>44837</v>
      </c>
      <c r="F263" s="154">
        <v>608.6</v>
      </c>
      <c r="G263" s="197">
        <f>Tabla111[[#This Row],[Importe]]-Tabla111[[#This Row],[Pagado]]</f>
        <v>0</v>
      </c>
      <c r="H263" s="153" t="s">
        <v>10</v>
      </c>
    </row>
    <row r="264" spans="1:8" x14ac:dyDescent="0.25">
      <c r="A264" s="73">
        <v>44837</v>
      </c>
      <c r="B264" s="74" t="s">
        <v>31822</v>
      </c>
      <c r="C264" s="75" t="s">
        <v>216</v>
      </c>
      <c r="D264" s="81">
        <v>1822.5</v>
      </c>
      <c r="E264" s="230">
        <v>44837</v>
      </c>
      <c r="F264" s="81">
        <v>1822.5</v>
      </c>
      <c r="G264" s="197">
        <f>Tabla111[[#This Row],[Importe]]-Tabla111[[#This Row],[Pagado]]</f>
        <v>0</v>
      </c>
      <c r="H264" s="75" t="s">
        <v>10</v>
      </c>
    </row>
    <row r="265" spans="1:8" x14ac:dyDescent="0.25">
      <c r="A265" s="148">
        <v>44837</v>
      </c>
      <c r="B265" s="149" t="s">
        <v>31823</v>
      </c>
      <c r="C265" s="153" t="s">
        <v>698</v>
      </c>
      <c r="D265" s="154">
        <v>9104.7999999999993</v>
      </c>
      <c r="E265" s="231">
        <v>44837</v>
      </c>
      <c r="F265" s="154">
        <v>9104.7999999999993</v>
      </c>
      <c r="G265" s="197">
        <f>Tabla111[[#This Row],[Importe]]-Tabla111[[#This Row],[Pagado]]</f>
        <v>0</v>
      </c>
      <c r="H265" s="153" t="s">
        <v>10</v>
      </c>
    </row>
    <row r="266" spans="1:8" x14ac:dyDescent="0.25">
      <c r="A266" s="73">
        <v>44837</v>
      </c>
      <c r="B266" s="74" t="s">
        <v>31824</v>
      </c>
      <c r="C266" s="75" t="s">
        <v>698</v>
      </c>
      <c r="D266" s="81">
        <v>1428.8</v>
      </c>
      <c r="E266" s="230">
        <v>44837</v>
      </c>
      <c r="F266" s="81">
        <v>1428.8</v>
      </c>
      <c r="G266" s="197">
        <f>Tabla111[[#This Row],[Importe]]-Tabla111[[#This Row],[Pagado]]</f>
        <v>0</v>
      </c>
      <c r="H266" s="75" t="s">
        <v>10</v>
      </c>
    </row>
    <row r="267" spans="1:8" x14ac:dyDescent="0.25">
      <c r="A267" s="148">
        <v>44837</v>
      </c>
      <c r="B267" s="149" t="s">
        <v>31825</v>
      </c>
      <c r="C267" s="153" t="s">
        <v>414</v>
      </c>
      <c r="D267" s="154">
        <v>22807.5</v>
      </c>
      <c r="E267" s="231">
        <v>44842</v>
      </c>
      <c r="F267" s="154">
        <v>22807.5</v>
      </c>
      <c r="G267" s="197">
        <f>Tabla111[[#This Row],[Importe]]-Tabla111[[#This Row],[Pagado]]</f>
        <v>0</v>
      </c>
      <c r="H267" s="153" t="s">
        <v>10</v>
      </c>
    </row>
    <row r="268" spans="1:8" x14ac:dyDescent="0.25">
      <c r="A268" s="73">
        <v>44837</v>
      </c>
      <c r="B268" s="74" t="s">
        <v>31826</v>
      </c>
      <c r="C268" s="75" t="s">
        <v>562</v>
      </c>
      <c r="D268" s="81">
        <v>4000.4</v>
      </c>
      <c r="E268" s="230">
        <v>44837</v>
      </c>
      <c r="F268" s="81">
        <v>4000.4</v>
      </c>
      <c r="G268" s="197">
        <f>Tabla111[[#This Row],[Importe]]-Tabla111[[#This Row],[Pagado]]</f>
        <v>0</v>
      </c>
      <c r="H268" s="75" t="s">
        <v>10</v>
      </c>
    </row>
    <row r="269" spans="1:8" x14ac:dyDescent="0.25">
      <c r="A269" s="148">
        <v>44837</v>
      </c>
      <c r="B269" s="149" t="s">
        <v>31827</v>
      </c>
      <c r="C269" s="153" t="s">
        <v>135</v>
      </c>
      <c r="D269" s="154">
        <v>1578</v>
      </c>
      <c r="E269" s="231">
        <v>44837</v>
      </c>
      <c r="F269" s="154">
        <v>1578</v>
      </c>
      <c r="G269" s="197">
        <f>Tabla111[[#This Row],[Importe]]-Tabla111[[#This Row],[Pagado]]</f>
        <v>0</v>
      </c>
      <c r="H269" s="153" t="s">
        <v>10</v>
      </c>
    </row>
    <row r="270" spans="1:8" x14ac:dyDescent="0.25">
      <c r="A270" s="73">
        <v>44837</v>
      </c>
      <c r="B270" s="74" t="s">
        <v>31828</v>
      </c>
      <c r="C270" s="75" t="s">
        <v>154</v>
      </c>
      <c r="D270" s="81">
        <v>30028.7</v>
      </c>
      <c r="E270" s="230">
        <v>44840</v>
      </c>
      <c r="F270" s="81">
        <v>30028.7</v>
      </c>
      <c r="G270" s="197">
        <f>Tabla111[[#This Row],[Importe]]-Tabla111[[#This Row],[Pagado]]</f>
        <v>0</v>
      </c>
      <c r="H270" s="75" t="s">
        <v>10</v>
      </c>
    </row>
    <row r="271" spans="1:8" x14ac:dyDescent="0.25">
      <c r="A271" s="148">
        <v>44837</v>
      </c>
      <c r="B271" s="149" t="s">
        <v>31829</v>
      </c>
      <c r="C271" s="153" t="s">
        <v>233</v>
      </c>
      <c r="D271" s="154">
        <v>6275.5</v>
      </c>
      <c r="E271" s="231">
        <v>44837</v>
      </c>
      <c r="F271" s="154">
        <v>6275.5</v>
      </c>
      <c r="G271" s="197">
        <f>Tabla111[[#This Row],[Importe]]-Tabla111[[#This Row],[Pagado]]</f>
        <v>0</v>
      </c>
      <c r="H271" s="153" t="s">
        <v>10</v>
      </c>
    </row>
    <row r="272" spans="1:8" x14ac:dyDescent="0.25">
      <c r="A272" s="73">
        <v>44837</v>
      </c>
      <c r="B272" s="74" t="s">
        <v>31830</v>
      </c>
      <c r="C272" s="75" t="s">
        <v>31323</v>
      </c>
      <c r="D272" s="81">
        <v>4218</v>
      </c>
      <c r="E272" s="230">
        <v>44837</v>
      </c>
      <c r="F272" s="81">
        <v>4218</v>
      </c>
      <c r="G272" s="197">
        <f>Tabla111[[#This Row],[Importe]]-Tabla111[[#This Row],[Pagado]]</f>
        <v>0</v>
      </c>
      <c r="H272" s="75" t="s">
        <v>10</v>
      </c>
    </row>
    <row r="273" spans="1:8" x14ac:dyDescent="0.25">
      <c r="A273" s="148">
        <v>44837</v>
      </c>
      <c r="B273" s="149" t="s">
        <v>31831</v>
      </c>
      <c r="C273" s="153" t="s">
        <v>204</v>
      </c>
      <c r="D273" s="154">
        <v>1871.8</v>
      </c>
      <c r="E273" s="231">
        <v>44837</v>
      </c>
      <c r="F273" s="154">
        <v>1871.8</v>
      </c>
      <c r="G273" s="197">
        <f>Tabla111[[#This Row],[Importe]]-Tabla111[[#This Row],[Pagado]]</f>
        <v>0</v>
      </c>
      <c r="H273" s="153" t="s">
        <v>10</v>
      </c>
    </row>
    <row r="274" spans="1:8" x14ac:dyDescent="0.25">
      <c r="A274" s="73">
        <v>44837</v>
      </c>
      <c r="B274" s="74" t="s">
        <v>31832</v>
      </c>
      <c r="C274" s="75" t="s">
        <v>64</v>
      </c>
      <c r="D274" s="81">
        <v>3085.7</v>
      </c>
      <c r="E274" s="230">
        <v>44837</v>
      </c>
      <c r="F274" s="81">
        <v>3085.7</v>
      </c>
      <c r="G274" s="197">
        <f>Tabla111[[#This Row],[Importe]]-Tabla111[[#This Row],[Pagado]]</f>
        <v>0</v>
      </c>
      <c r="H274" s="75" t="s">
        <v>10</v>
      </c>
    </row>
    <row r="275" spans="1:8" x14ac:dyDescent="0.25">
      <c r="A275" s="148">
        <v>44837</v>
      </c>
      <c r="B275" s="149" t="s">
        <v>31833</v>
      </c>
      <c r="C275" s="153" t="s">
        <v>419</v>
      </c>
      <c r="D275" s="154">
        <v>6427.8</v>
      </c>
      <c r="E275" s="231">
        <v>44837</v>
      </c>
      <c r="F275" s="154">
        <v>6427.8</v>
      </c>
      <c r="G275" s="197">
        <f>Tabla111[[#This Row],[Importe]]-Tabla111[[#This Row],[Pagado]]</f>
        <v>0</v>
      </c>
      <c r="H275" s="153" t="s">
        <v>10</v>
      </c>
    </row>
    <row r="276" spans="1:8" x14ac:dyDescent="0.25">
      <c r="A276" s="73">
        <v>44837</v>
      </c>
      <c r="B276" s="74" t="s">
        <v>31834</v>
      </c>
      <c r="C276" s="75" t="s">
        <v>670</v>
      </c>
      <c r="D276" s="81">
        <v>1980</v>
      </c>
      <c r="E276" s="230">
        <v>44837</v>
      </c>
      <c r="F276" s="81">
        <v>1980</v>
      </c>
      <c r="G276" s="197">
        <f>Tabla111[[#This Row],[Importe]]-Tabla111[[#This Row],[Pagado]]</f>
        <v>0</v>
      </c>
      <c r="H276" s="75" t="s">
        <v>10</v>
      </c>
    </row>
    <row r="277" spans="1:8" x14ac:dyDescent="0.25">
      <c r="A277" s="148">
        <v>44837</v>
      </c>
      <c r="B277" s="149" t="s">
        <v>31835</v>
      </c>
      <c r="C277" s="153" t="s">
        <v>289</v>
      </c>
      <c r="D277" s="154">
        <v>15002.4</v>
      </c>
      <c r="E277" s="231">
        <v>44837</v>
      </c>
      <c r="F277" s="154">
        <v>15002.4</v>
      </c>
      <c r="G277" s="197">
        <f>Tabla111[[#This Row],[Importe]]-Tabla111[[#This Row],[Pagado]]</f>
        <v>0</v>
      </c>
      <c r="H277" s="153" t="s">
        <v>10</v>
      </c>
    </row>
    <row r="278" spans="1:8" x14ac:dyDescent="0.25">
      <c r="A278" s="73">
        <v>44837</v>
      </c>
      <c r="B278" s="74" t="s">
        <v>31836</v>
      </c>
      <c r="C278" s="75" t="s">
        <v>10678</v>
      </c>
      <c r="D278" s="81">
        <v>3791.1</v>
      </c>
      <c r="E278" s="230">
        <v>44837</v>
      </c>
      <c r="F278" s="81">
        <v>3791.1</v>
      </c>
      <c r="G278" s="197">
        <f>Tabla111[[#This Row],[Importe]]-Tabla111[[#This Row],[Pagado]]</f>
        <v>0</v>
      </c>
      <c r="H278" s="75" t="s">
        <v>10</v>
      </c>
    </row>
    <row r="279" spans="1:8" x14ac:dyDescent="0.25">
      <c r="A279" s="148">
        <v>44837</v>
      </c>
      <c r="B279" s="149" t="s">
        <v>31837</v>
      </c>
      <c r="C279" s="153" t="s">
        <v>31</v>
      </c>
      <c r="D279" s="154">
        <v>1679.6</v>
      </c>
      <c r="E279" s="231">
        <v>44837</v>
      </c>
      <c r="F279" s="154">
        <v>1679.6</v>
      </c>
      <c r="G279" s="197">
        <f>Tabla111[[#This Row],[Importe]]-Tabla111[[#This Row],[Pagado]]</f>
        <v>0</v>
      </c>
      <c r="H279" s="153" t="s">
        <v>10</v>
      </c>
    </row>
    <row r="280" spans="1:8" x14ac:dyDescent="0.25">
      <c r="A280" s="73">
        <v>44837</v>
      </c>
      <c r="B280" s="74" t="s">
        <v>31838</v>
      </c>
      <c r="C280" s="75" t="s">
        <v>715</v>
      </c>
      <c r="D280" s="81">
        <v>13872.9</v>
      </c>
      <c r="E280" s="230">
        <v>44837</v>
      </c>
      <c r="F280" s="81">
        <v>13872.9</v>
      </c>
      <c r="G280" s="197">
        <f>Tabla111[[#This Row],[Importe]]-Tabla111[[#This Row],[Pagado]]</f>
        <v>0</v>
      </c>
      <c r="H280" s="75" t="s">
        <v>10</v>
      </c>
    </row>
    <row r="281" spans="1:8" x14ac:dyDescent="0.25">
      <c r="A281" s="148">
        <v>44837</v>
      </c>
      <c r="B281" s="149" t="s">
        <v>31839</v>
      </c>
      <c r="C281" s="153" t="s">
        <v>9827</v>
      </c>
      <c r="D281" s="154">
        <v>3892.5</v>
      </c>
      <c r="E281" s="231">
        <v>44837</v>
      </c>
      <c r="F281" s="154">
        <v>3892.5</v>
      </c>
      <c r="G281" s="197">
        <f>Tabla111[[#This Row],[Importe]]-Tabla111[[#This Row],[Pagado]]</f>
        <v>0</v>
      </c>
      <c r="H281" s="153" t="s">
        <v>10</v>
      </c>
    </row>
    <row r="282" spans="1:8" x14ac:dyDescent="0.25">
      <c r="A282" s="73">
        <v>44837</v>
      </c>
      <c r="B282" s="74" t="s">
        <v>31840</v>
      </c>
      <c r="C282" s="75" t="s">
        <v>51</v>
      </c>
      <c r="D282" s="81">
        <v>1831.4</v>
      </c>
      <c r="E282" s="230">
        <v>44837</v>
      </c>
      <c r="F282" s="81">
        <v>1831.4</v>
      </c>
      <c r="G282" s="197">
        <f>Tabla111[[#This Row],[Importe]]-Tabla111[[#This Row],[Pagado]]</f>
        <v>0</v>
      </c>
      <c r="H282" s="75" t="s">
        <v>10</v>
      </c>
    </row>
    <row r="283" spans="1:8" x14ac:dyDescent="0.25">
      <c r="A283" s="148">
        <v>44837</v>
      </c>
      <c r="B283" s="149" t="s">
        <v>31841</v>
      </c>
      <c r="C283" s="153" t="s">
        <v>31</v>
      </c>
      <c r="D283" s="154">
        <v>3686</v>
      </c>
      <c r="E283" s="231">
        <v>44837</v>
      </c>
      <c r="F283" s="154">
        <v>3686</v>
      </c>
      <c r="G283" s="197">
        <f>Tabla111[[#This Row],[Importe]]-Tabla111[[#This Row],[Pagado]]</f>
        <v>0</v>
      </c>
      <c r="H283" s="153" t="s">
        <v>10</v>
      </c>
    </row>
    <row r="284" spans="1:8" x14ac:dyDescent="0.25">
      <c r="A284" s="73">
        <v>44837</v>
      </c>
      <c r="B284" s="74" t="s">
        <v>31842</v>
      </c>
      <c r="C284" s="75" t="s">
        <v>5694</v>
      </c>
      <c r="D284" s="81">
        <v>4430.8</v>
      </c>
      <c r="E284" s="230">
        <v>44837</v>
      </c>
      <c r="F284" s="81">
        <v>4430.8</v>
      </c>
      <c r="G284" s="197">
        <f>Tabla111[[#This Row],[Importe]]-Tabla111[[#This Row],[Pagado]]</f>
        <v>0</v>
      </c>
      <c r="H284" s="75" t="s">
        <v>10</v>
      </c>
    </row>
    <row r="285" spans="1:8" x14ac:dyDescent="0.25">
      <c r="A285" s="148">
        <v>44837</v>
      </c>
      <c r="B285" s="149" t="s">
        <v>31843</v>
      </c>
      <c r="C285" s="153" t="s">
        <v>29</v>
      </c>
      <c r="D285" s="154">
        <v>1327.5</v>
      </c>
      <c r="E285" s="231">
        <v>44837</v>
      </c>
      <c r="F285" s="154">
        <v>1327.5</v>
      </c>
      <c r="G285" s="197">
        <f>Tabla111[[#This Row],[Importe]]-Tabla111[[#This Row],[Pagado]]</f>
        <v>0</v>
      </c>
      <c r="H285" s="153" t="s">
        <v>10</v>
      </c>
    </row>
    <row r="286" spans="1:8" x14ac:dyDescent="0.25">
      <c r="A286" s="73">
        <v>44837</v>
      </c>
      <c r="B286" s="74" t="s">
        <v>31844</v>
      </c>
      <c r="C286" s="75" t="s">
        <v>612</v>
      </c>
      <c r="D286" s="81">
        <v>399</v>
      </c>
      <c r="E286" s="230">
        <v>44837</v>
      </c>
      <c r="F286" s="81">
        <v>399</v>
      </c>
      <c r="G286" s="197">
        <f>Tabla111[[#This Row],[Importe]]-Tabla111[[#This Row],[Pagado]]</f>
        <v>0</v>
      </c>
      <c r="H286" s="75" t="s">
        <v>10</v>
      </c>
    </row>
    <row r="287" spans="1:8" x14ac:dyDescent="0.25">
      <c r="A287" s="148">
        <v>44837</v>
      </c>
      <c r="B287" s="149" t="s">
        <v>31845</v>
      </c>
      <c r="C287" s="153" t="s">
        <v>31</v>
      </c>
      <c r="D287" s="154">
        <v>678.6</v>
      </c>
      <c r="E287" s="231">
        <v>44837</v>
      </c>
      <c r="F287" s="154">
        <v>678.6</v>
      </c>
      <c r="G287" s="197">
        <f>Tabla111[[#This Row],[Importe]]-Tabla111[[#This Row],[Pagado]]</f>
        <v>0</v>
      </c>
      <c r="H287" s="153" t="s">
        <v>10</v>
      </c>
    </row>
    <row r="288" spans="1:8" x14ac:dyDescent="0.25">
      <c r="A288" s="73">
        <v>44837</v>
      </c>
      <c r="B288" s="74" t="s">
        <v>31846</v>
      </c>
      <c r="C288" s="75" t="s">
        <v>284</v>
      </c>
      <c r="D288" s="81">
        <v>7552.5</v>
      </c>
      <c r="E288" s="230">
        <v>44838</v>
      </c>
      <c r="F288" s="81">
        <v>7552.5</v>
      </c>
      <c r="G288" s="197">
        <f>Tabla111[[#This Row],[Importe]]-Tabla111[[#This Row],[Pagado]]</f>
        <v>0</v>
      </c>
      <c r="H288" s="75" t="s">
        <v>10</v>
      </c>
    </row>
    <row r="289" spans="1:8" x14ac:dyDescent="0.25">
      <c r="A289" s="148">
        <v>44837</v>
      </c>
      <c r="B289" s="149" t="s">
        <v>31847</v>
      </c>
      <c r="C289" s="153" t="s">
        <v>5345</v>
      </c>
      <c r="D289" s="154">
        <v>2947.5</v>
      </c>
      <c r="E289" s="231">
        <v>44838</v>
      </c>
      <c r="F289" s="154">
        <v>2947.5</v>
      </c>
      <c r="G289" s="197">
        <f>Tabla111[[#This Row],[Importe]]-Tabla111[[#This Row],[Pagado]]</f>
        <v>0</v>
      </c>
      <c r="H289" s="153" t="s">
        <v>10</v>
      </c>
    </row>
    <row r="290" spans="1:8" x14ac:dyDescent="0.25">
      <c r="A290" s="73">
        <v>44837</v>
      </c>
      <c r="B290" s="74" t="s">
        <v>31848</v>
      </c>
      <c r="C290" s="75" t="s">
        <v>67</v>
      </c>
      <c r="D290" s="81">
        <v>2789</v>
      </c>
      <c r="E290" s="230">
        <v>44837</v>
      </c>
      <c r="F290" s="81">
        <v>2789</v>
      </c>
      <c r="G290" s="197">
        <f>Tabla111[[#This Row],[Importe]]-Tabla111[[#This Row],[Pagado]]</f>
        <v>0</v>
      </c>
      <c r="H290" s="75" t="s">
        <v>10</v>
      </c>
    </row>
    <row r="291" spans="1:8" x14ac:dyDescent="0.25">
      <c r="A291" s="148">
        <v>44837</v>
      </c>
      <c r="B291" s="149" t="s">
        <v>31849</v>
      </c>
      <c r="C291" s="153" t="s">
        <v>282</v>
      </c>
      <c r="D291" s="154">
        <v>1657.5</v>
      </c>
      <c r="E291" s="231">
        <v>44838</v>
      </c>
      <c r="F291" s="154">
        <v>1657.5</v>
      </c>
      <c r="G291" s="197">
        <f>Tabla111[[#This Row],[Importe]]-Tabla111[[#This Row],[Pagado]]</f>
        <v>0</v>
      </c>
      <c r="H291" s="153" t="s">
        <v>10</v>
      </c>
    </row>
    <row r="292" spans="1:8" x14ac:dyDescent="0.25">
      <c r="A292" s="73">
        <v>44837</v>
      </c>
      <c r="B292" s="74" t="s">
        <v>31850</v>
      </c>
      <c r="C292" s="75" t="s">
        <v>280</v>
      </c>
      <c r="D292" s="81">
        <v>825</v>
      </c>
      <c r="E292" s="230">
        <v>44838</v>
      </c>
      <c r="F292" s="81">
        <v>825</v>
      </c>
      <c r="G292" s="197">
        <f>Tabla111[[#This Row],[Importe]]-Tabla111[[#This Row],[Pagado]]</f>
        <v>0</v>
      </c>
      <c r="H292" s="75" t="s">
        <v>10</v>
      </c>
    </row>
    <row r="293" spans="1:8" x14ac:dyDescent="0.25">
      <c r="A293" s="148">
        <v>44837</v>
      </c>
      <c r="B293" s="149" t="s">
        <v>31851</v>
      </c>
      <c r="C293" s="153" t="s">
        <v>10819</v>
      </c>
      <c r="D293" s="154">
        <v>1155</v>
      </c>
      <c r="E293" s="231">
        <v>44838</v>
      </c>
      <c r="F293" s="154">
        <v>1155</v>
      </c>
      <c r="G293" s="197">
        <f>Tabla111[[#This Row],[Importe]]-Tabla111[[#This Row],[Pagado]]</f>
        <v>0</v>
      </c>
      <c r="H293" s="153" t="s">
        <v>10</v>
      </c>
    </row>
    <row r="294" spans="1:8" x14ac:dyDescent="0.25">
      <c r="A294" s="73">
        <v>44837</v>
      </c>
      <c r="B294" s="74" t="s">
        <v>31852</v>
      </c>
      <c r="C294" s="75" t="s">
        <v>31</v>
      </c>
      <c r="D294" s="81">
        <v>29568</v>
      </c>
      <c r="E294" s="230">
        <v>44837</v>
      </c>
      <c r="F294" s="81">
        <v>29568</v>
      </c>
      <c r="G294" s="197">
        <f>Tabla111[[#This Row],[Importe]]-Tabla111[[#This Row],[Pagado]]</f>
        <v>0</v>
      </c>
      <c r="H294" s="75" t="s">
        <v>10</v>
      </c>
    </row>
    <row r="295" spans="1:8" x14ac:dyDescent="0.25">
      <c r="A295" s="148">
        <v>44837</v>
      </c>
      <c r="B295" s="149" t="s">
        <v>31853</v>
      </c>
      <c r="C295" s="153" t="s">
        <v>843</v>
      </c>
      <c r="D295" s="154">
        <v>8200</v>
      </c>
      <c r="E295" s="231">
        <v>44837</v>
      </c>
      <c r="F295" s="154">
        <v>8200</v>
      </c>
      <c r="G295" s="197">
        <f>Tabla111[[#This Row],[Importe]]-Tabla111[[#This Row],[Pagado]]</f>
        <v>0</v>
      </c>
      <c r="H295" s="153" t="s">
        <v>10</v>
      </c>
    </row>
    <row r="296" spans="1:8" x14ac:dyDescent="0.25">
      <c r="A296" s="73">
        <v>44837</v>
      </c>
      <c r="B296" s="74" t="s">
        <v>31854</v>
      </c>
      <c r="C296" s="75" t="s">
        <v>107</v>
      </c>
      <c r="D296" s="81">
        <v>14247.5</v>
      </c>
      <c r="E296" s="230">
        <v>44838</v>
      </c>
      <c r="F296" s="81">
        <v>14247.5</v>
      </c>
      <c r="G296" s="197">
        <f>Tabla111[[#This Row],[Importe]]-Tabla111[[#This Row],[Pagado]]</f>
        <v>0</v>
      </c>
      <c r="H296" s="75" t="s">
        <v>10</v>
      </c>
    </row>
    <row r="297" spans="1:8" x14ac:dyDescent="0.25">
      <c r="A297" s="148">
        <v>44837</v>
      </c>
      <c r="B297" s="149" t="s">
        <v>31855</v>
      </c>
      <c r="C297" s="153" t="s">
        <v>214</v>
      </c>
      <c r="D297" s="154">
        <v>3812.5</v>
      </c>
      <c r="E297" s="231">
        <v>44838</v>
      </c>
      <c r="F297" s="154">
        <v>3812.5</v>
      </c>
      <c r="G297" s="197">
        <f>Tabla111[[#This Row],[Importe]]-Tabla111[[#This Row],[Pagado]]</f>
        <v>0</v>
      </c>
      <c r="H297" s="153" t="s">
        <v>10</v>
      </c>
    </row>
    <row r="298" spans="1:8" x14ac:dyDescent="0.25">
      <c r="A298" s="73">
        <v>44837</v>
      </c>
      <c r="B298" s="74" t="s">
        <v>31856</v>
      </c>
      <c r="C298" s="75" t="s">
        <v>994</v>
      </c>
      <c r="D298" s="81">
        <v>1394</v>
      </c>
      <c r="E298" s="230">
        <v>44837</v>
      </c>
      <c r="F298" s="81">
        <v>1394</v>
      </c>
      <c r="G298" s="197">
        <f>Tabla111[[#This Row],[Importe]]-Tabla111[[#This Row],[Pagado]]</f>
        <v>0</v>
      </c>
      <c r="H298" s="75" t="s">
        <v>10</v>
      </c>
    </row>
    <row r="299" spans="1:8" x14ac:dyDescent="0.25">
      <c r="A299" s="148">
        <v>44837</v>
      </c>
      <c r="B299" s="149" t="s">
        <v>31857</v>
      </c>
      <c r="C299" s="153" t="s">
        <v>333</v>
      </c>
      <c r="D299" s="154">
        <v>2454</v>
      </c>
      <c r="E299" s="231">
        <v>44838</v>
      </c>
      <c r="F299" s="154">
        <v>2454</v>
      </c>
      <c r="G299" s="197">
        <f>Tabla111[[#This Row],[Importe]]-Tabla111[[#This Row],[Pagado]]</f>
        <v>0</v>
      </c>
      <c r="H299" s="153" t="s">
        <v>10</v>
      </c>
    </row>
    <row r="300" spans="1:8" x14ac:dyDescent="0.25">
      <c r="A300" s="73">
        <v>44837</v>
      </c>
      <c r="B300" s="74" t="s">
        <v>31858</v>
      </c>
      <c r="C300" s="75" t="s">
        <v>31</v>
      </c>
      <c r="D300" s="81">
        <v>136</v>
      </c>
      <c r="E300" s="230">
        <v>44837</v>
      </c>
      <c r="F300" s="81">
        <v>136</v>
      </c>
      <c r="G300" s="197">
        <f>Tabla111[[#This Row],[Importe]]-Tabla111[[#This Row],[Pagado]]</f>
        <v>0</v>
      </c>
      <c r="H300" s="75" t="s">
        <v>10</v>
      </c>
    </row>
    <row r="301" spans="1:8" x14ac:dyDescent="0.25">
      <c r="A301" s="148">
        <v>44837</v>
      </c>
      <c r="B301" s="149" t="s">
        <v>31859</v>
      </c>
      <c r="C301" s="153" t="s">
        <v>214</v>
      </c>
      <c r="D301" s="154">
        <v>10990.2</v>
      </c>
      <c r="E301" s="231">
        <v>44838</v>
      </c>
      <c r="F301" s="154">
        <v>10990.2</v>
      </c>
      <c r="G301" s="197">
        <f>Tabla111[[#This Row],[Importe]]-Tabla111[[#This Row],[Pagado]]</f>
        <v>0</v>
      </c>
      <c r="H301" s="153" t="s">
        <v>10</v>
      </c>
    </row>
    <row r="302" spans="1:8" x14ac:dyDescent="0.25">
      <c r="A302" s="73">
        <v>44837</v>
      </c>
      <c r="B302" s="74" t="s">
        <v>31860</v>
      </c>
      <c r="C302" s="75" t="s">
        <v>31</v>
      </c>
      <c r="D302" s="81">
        <v>8686.7999999999993</v>
      </c>
      <c r="E302" s="230">
        <v>44837</v>
      </c>
      <c r="F302" s="81">
        <v>8686.7999999999993</v>
      </c>
      <c r="G302" s="197">
        <f>Tabla111[[#This Row],[Importe]]-Tabla111[[#This Row],[Pagado]]</f>
        <v>0</v>
      </c>
      <c r="H302" s="75" t="s">
        <v>10</v>
      </c>
    </row>
    <row r="303" spans="1:8" x14ac:dyDescent="0.25">
      <c r="A303" s="148">
        <v>44837</v>
      </c>
      <c r="B303" s="149" t="s">
        <v>31861</v>
      </c>
      <c r="C303" s="153" t="s">
        <v>31862</v>
      </c>
      <c r="D303" s="154">
        <v>0</v>
      </c>
      <c r="E303" s="233" t="s">
        <v>189</v>
      </c>
      <c r="F303" s="154">
        <v>0</v>
      </c>
      <c r="G303" s="197">
        <f>Tabla111[[#This Row],[Importe]]-Tabla111[[#This Row],[Pagado]]</f>
        <v>0</v>
      </c>
      <c r="H303" s="153" t="s">
        <v>189</v>
      </c>
    </row>
    <row r="304" spans="1:8" x14ac:dyDescent="0.25">
      <c r="A304" s="73">
        <v>44837</v>
      </c>
      <c r="B304" s="74" t="s">
        <v>31863</v>
      </c>
      <c r="C304" s="75" t="s">
        <v>484</v>
      </c>
      <c r="D304" s="81">
        <v>3800</v>
      </c>
      <c r="E304" s="230">
        <v>44837</v>
      </c>
      <c r="F304" s="81">
        <v>3800</v>
      </c>
      <c r="G304" s="197">
        <f>Tabla111[[#This Row],[Importe]]-Tabla111[[#This Row],[Pagado]]</f>
        <v>0</v>
      </c>
      <c r="H304" s="75" t="s">
        <v>10</v>
      </c>
    </row>
    <row r="305" spans="1:8" x14ac:dyDescent="0.25">
      <c r="A305" s="148">
        <v>44837</v>
      </c>
      <c r="B305" s="149" t="s">
        <v>31864</v>
      </c>
      <c r="C305" s="153" t="s">
        <v>291</v>
      </c>
      <c r="D305" s="154">
        <v>2071.1</v>
      </c>
      <c r="E305" s="231">
        <v>44838</v>
      </c>
      <c r="F305" s="154">
        <v>2071.1</v>
      </c>
      <c r="G305" s="197">
        <f>Tabla111[[#This Row],[Importe]]-Tabla111[[#This Row],[Pagado]]</f>
        <v>0</v>
      </c>
      <c r="H305" s="153" t="s">
        <v>10</v>
      </c>
    </row>
    <row r="306" spans="1:8" x14ac:dyDescent="0.25">
      <c r="A306" s="73">
        <v>44837</v>
      </c>
      <c r="B306" s="74" t="s">
        <v>31865</v>
      </c>
      <c r="C306" s="75" t="s">
        <v>870</v>
      </c>
      <c r="D306" s="81">
        <v>21117.599999999999</v>
      </c>
      <c r="E306" s="230">
        <v>44837</v>
      </c>
      <c r="F306" s="81">
        <v>21117.599999999999</v>
      </c>
      <c r="G306" s="197">
        <f>Tabla111[[#This Row],[Importe]]-Tabla111[[#This Row],[Pagado]]</f>
        <v>0</v>
      </c>
      <c r="H306" s="75" t="s">
        <v>10</v>
      </c>
    </row>
    <row r="307" spans="1:8" x14ac:dyDescent="0.25">
      <c r="A307" s="148">
        <v>44837</v>
      </c>
      <c r="B307" s="149" t="s">
        <v>31866</v>
      </c>
      <c r="C307" s="153" t="s">
        <v>149</v>
      </c>
      <c r="D307" s="154">
        <v>1339.8</v>
      </c>
      <c r="E307" s="231">
        <v>44837</v>
      </c>
      <c r="F307" s="154">
        <v>1339.8</v>
      </c>
      <c r="G307" s="197">
        <f>Tabla111[[#This Row],[Importe]]-Tabla111[[#This Row],[Pagado]]</f>
        <v>0</v>
      </c>
      <c r="H307" s="153" t="s">
        <v>10</v>
      </c>
    </row>
    <row r="308" spans="1:8" x14ac:dyDescent="0.25">
      <c r="A308" s="73">
        <v>44837</v>
      </c>
      <c r="B308" s="74" t="s">
        <v>31867</v>
      </c>
      <c r="C308" s="75" t="s">
        <v>31868</v>
      </c>
      <c r="D308" s="81">
        <v>0</v>
      </c>
      <c r="E308" s="232" t="s">
        <v>189</v>
      </c>
      <c r="F308" s="81">
        <v>0</v>
      </c>
      <c r="G308" s="197">
        <f>Tabla111[[#This Row],[Importe]]-Tabla111[[#This Row],[Pagado]]</f>
        <v>0</v>
      </c>
      <c r="H308" s="75" t="s">
        <v>189</v>
      </c>
    </row>
    <row r="309" spans="1:8" x14ac:dyDescent="0.25">
      <c r="A309" s="148">
        <v>44837</v>
      </c>
      <c r="B309" s="149" t="s">
        <v>31869</v>
      </c>
      <c r="C309" s="153" t="s">
        <v>2139</v>
      </c>
      <c r="D309" s="154">
        <v>5439.4</v>
      </c>
      <c r="E309" s="231">
        <v>44837</v>
      </c>
      <c r="F309" s="154">
        <v>5439.4</v>
      </c>
      <c r="G309" s="197">
        <f>Tabla111[[#This Row],[Importe]]-Tabla111[[#This Row],[Pagado]]</f>
        <v>0</v>
      </c>
      <c r="H309" s="153" t="s">
        <v>10</v>
      </c>
    </row>
    <row r="310" spans="1:8" x14ac:dyDescent="0.25">
      <c r="A310" s="73">
        <v>44837</v>
      </c>
      <c r="B310" s="74" t="s">
        <v>31870</v>
      </c>
      <c r="C310" s="75" t="s">
        <v>296</v>
      </c>
      <c r="D310" s="81">
        <v>3446.8</v>
      </c>
      <c r="E310" s="230">
        <v>44837</v>
      </c>
      <c r="F310" s="81">
        <v>3446.8</v>
      </c>
      <c r="G310" s="197">
        <f>Tabla111[[#This Row],[Importe]]-Tabla111[[#This Row],[Pagado]]</f>
        <v>0</v>
      </c>
      <c r="H310" s="75" t="s">
        <v>10</v>
      </c>
    </row>
    <row r="311" spans="1:8" x14ac:dyDescent="0.25">
      <c r="A311" s="148">
        <v>44837</v>
      </c>
      <c r="B311" s="149" t="s">
        <v>31871</v>
      </c>
      <c r="C311" s="153" t="s">
        <v>14</v>
      </c>
      <c r="D311" s="154">
        <v>17585.2</v>
      </c>
      <c r="E311" s="231">
        <v>44837</v>
      </c>
      <c r="F311" s="154">
        <v>17585.2</v>
      </c>
      <c r="G311" s="197">
        <f>Tabla111[[#This Row],[Importe]]-Tabla111[[#This Row],[Pagado]]</f>
        <v>0</v>
      </c>
      <c r="H311" s="153" t="s">
        <v>10</v>
      </c>
    </row>
    <row r="312" spans="1:8" x14ac:dyDescent="0.25">
      <c r="A312" s="73">
        <v>44837</v>
      </c>
      <c r="B312" s="74" t="s">
        <v>31872</v>
      </c>
      <c r="C312" s="75" t="s">
        <v>1558</v>
      </c>
      <c r="D312" s="81">
        <v>1824</v>
      </c>
      <c r="E312" s="230">
        <v>44837</v>
      </c>
      <c r="F312" s="81">
        <v>1824</v>
      </c>
      <c r="G312" s="197">
        <f>Tabla111[[#This Row],[Importe]]-Tabla111[[#This Row],[Pagado]]</f>
        <v>0</v>
      </c>
      <c r="H312" s="75" t="s">
        <v>10</v>
      </c>
    </row>
    <row r="313" spans="1:8" x14ac:dyDescent="0.25">
      <c r="A313" s="148">
        <v>44837</v>
      </c>
      <c r="B313" s="149" t="s">
        <v>31873</v>
      </c>
      <c r="C313" s="153" t="s">
        <v>14</v>
      </c>
      <c r="D313" s="154">
        <v>3003</v>
      </c>
      <c r="E313" s="231">
        <v>44837</v>
      </c>
      <c r="F313" s="154">
        <v>3003</v>
      </c>
      <c r="G313" s="197">
        <f>Tabla111[[#This Row],[Importe]]-Tabla111[[#This Row],[Pagado]]</f>
        <v>0</v>
      </c>
      <c r="H313" s="153" t="s">
        <v>10</v>
      </c>
    </row>
    <row r="314" spans="1:8" x14ac:dyDescent="0.25">
      <c r="A314" s="73">
        <v>44837</v>
      </c>
      <c r="B314" s="74" t="s">
        <v>31874</v>
      </c>
      <c r="C314" s="75" t="s">
        <v>29430</v>
      </c>
      <c r="D314" s="81">
        <v>13176</v>
      </c>
      <c r="E314" s="230">
        <v>44837</v>
      </c>
      <c r="F314" s="81">
        <v>13176</v>
      </c>
      <c r="G314" s="197">
        <f>Tabla111[[#This Row],[Importe]]-Tabla111[[#This Row],[Pagado]]</f>
        <v>0</v>
      </c>
      <c r="H314" s="75" t="s">
        <v>10</v>
      </c>
    </row>
    <row r="315" spans="1:8" x14ac:dyDescent="0.25">
      <c r="A315" s="148">
        <v>44837</v>
      </c>
      <c r="B315" s="149" t="s">
        <v>31875</v>
      </c>
      <c r="C315" s="153" t="s">
        <v>135</v>
      </c>
      <c r="D315" s="154">
        <v>1116.5</v>
      </c>
      <c r="E315" s="231">
        <v>44837</v>
      </c>
      <c r="F315" s="154">
        <v>1116.5</v>
      </c>
      <c r="G315" s="197">
        <f>Tabla111[[#This Row],[Importe]]-Tabla111[[#This Row],[Pagado]]</f>
        <v>0</v>
      </c>
      <c r="H315" s="153" t="s">
        <v>10</v>
      </c>
    </row>
    <row r="316" spans="1:8" x14ac:dyDescent="0.25">
      <c r="A316" s="73">
        <v>44837</v>
      </c>
      <c r="B316" s="74" t="s">
        <v>31876</v>
      </c>
      <c r="C316" s="75" t="s">
        <v>114</v>
      </c>
      <c r="D316" s="81">
        <v>11668.6</v>
      </c>
      <c r="E316" s="230">
        <v>44838</v>
      </c>
      <c r="F316" s="81">
        <v>11668.6</v>
      </c>
      <c r="G316" s="197">
        <f>Tabla111[[#This Row],[Importe]]-Tabla111[[#This Row],[Pagado]]</f>
        <v>0</v>
      </c>
      <c r="H316" s="75" t="s">
        <v>10</v>
      </c>
    </row>
    <row r="317" spans="1:8" x14ac:dyDescent="0.25">
      <c r="A317" s="148">
        <v>44837</v>
      </c>
      <c r="B317" s="149" t="s">
        <v>31877</v>
      </c>
      <c r="C317" s="153" t="s">
        <v>681</v>
      </c>
      <c r="D317" s="154">
        <v>5.91</v>
      </c>
      <c r="E317" s="231">
        <v>44842</v>
      </c>
      <c r="F317" s="154">
        <v>5.91</v>
      </c>
      <c r="G317" s="197">
        <f>Tabla111[[#This Row],[Importe]]-Tabla111[[#This Row],[Pagado]]</f>
        <v>0</v>
      </c>
      <c r="H317" s="153" t="s">
        <v>10</v>
      </c>
    </row>
    <row r="318" spans="1:8" x14ac:dyDescent="0.25">
      <c r="A318" s="73">
        <v>44837</v>
      </c>
      <c r="B318" s="74" t="s">
        <v>31878</v>
      </c>
      <c r="C318" s="75" t="s">
        <v>53</v>
      </c>
      <c r="D318" s="81">
        <v>2855.7</v>
      </c>
      <c r="E318" s="230">
        <v>44837</v>
      </c>
      <c r="F318" s="81">
        <v>2855.7</v>
      </c>
      <c r="G318" s="197">
        <f>Tabla111[[#This Row],[Importe]]-Tabla111[[#This Row],[Pagado]]</f>
        <v>0</v>
      </c>
      <c r="H318" s="75" t="s">
        <v>10</v>
      </c>
    </row>
    <row r="319" spans="1:8" x14ac:dyDescent="0.25">
      <c r="A319" s="148">
        <v>44837</v>
      </c>
      <c r="B319" s="149" t="s">
        <v>31879</v>
      </c>
      <c r="C319" s="153" t="s">
        <v>31</v>
      </c>
      <c r="D319" s="154">
        <v>94817.600000000006</v>
      </c>
      <c r="E319" s="231">
        <v>44837</v>
      </c>
      <c r="F319" s="154">
        <v>94817.600000000006</v>
      </c>
      <c r="G319" s="197">
        <f>Tabla111[[#This Row],[Importe]]-Tabla111[[#This Row],[Pagado]]</f>
        <v>0</v>
      </c>
      <c r="H319" s="153" t="s">
        <v>10</v>
      </c>
    </row>
    <row r="320" spans="1:8" x14ac:dyDescent="0.25">
      <c r="A320" s="73">
        <v>44837</v>
      </c>
      <c r="B320" s="74" t="s">
        <v>31880</v>
      </c>
      <c r="C320" s="75" t="s">
        <v>31</v>
      </c>
      <c r="D320" s="81">
        <v>225</v>
      </c>
      <c r="E320" s="230">
        <v>44837</v>
      </c>
      <c r="F320" s="81">
        <v>225</v>
      </c>
      <c r="G320" s="197">
        <f>Tabla111[[#This Row],[Importe]]-Tabla111[[#This Row],[Pagado]]</f>
        <v>0</v>
      </c>
      <c r="H320" s="75" t="s">
        <v>10</v>
      </c>
    </row>
    <row r="321" spans="1:8" x14ac:dyDescent="0.25">
      <c r="A321" s="148">
        <v>44837</v>
      </c>
      <c r="B321" s="149" t="s">
        <v>31881</v>
      </c>
      <c r="C321" s="153" t="s">
        <v>296</v>
      </c>
      <c r="D321" s="154">
        <v>1558.2</v>
      </c>
      <c r="E321" s="231">
        <v>44837</v>
      </c>
      <c r="F321" s="154">
        <v>1558.2</v>
      </c>
      <c r="G321" s="197">
        <f>Tabla111[[#This Row],[Importe]]-Tabla111[[#This Row],[Pagado]]</f>
        <v>0</v>
      </c>
      <c r="H321" s="153" t="s">
        <v>10</v>
      </c>
    </row>
    <row r="322" spans="1:8" x14ac:dyDescent="0.25">
      <c r="A322" s="73">
        <v>44837</v>
      </c>
      <c r="B322" s="74" t="s">
        <v>31882</v>
      </c>
      <c r="C322" s="75" t="s">
        <v>296</v>
      </c>
      <c r="D322" s="81">
        <v>1864.2</v>
      </c>
      <c r="E322" s="230">
        <v>44837</v>
      </c>
      <c r="F322" s="81">
        <v>1864.2</v>
      </c>
      <c r="G322" s="197">
        <f>Tabla111[[#This Row],[Importe]]-Tabla111[[#This Row],[Pagado]]</f>
        <v>0</v>
      </c>
      <c r="H322" s="75" t="s">
        <v>10</v>
      </c>
    </row>
    <row r="323" spans="1:8" x14ac:dyDescent="0.25">
      <c r="A323" s="148">
        <v>44837</v>
      </c>
      <c r="B323" s="149" t="s">
        <v>31883</v>
      </c>
      <c r="C323" s="153" t="s">
        <v>214</v>
      </c>
      <c r="D323" s="154">
        <v>1605</v>
      </c>
      <c r="E323" s="231">
        <v>44837</v>
      </c>
      <c r="F323" s="154">
        <v>1605</v>
      </c>
      <c r="G323" s="197">
        <f>Tabla111[[#This Row],[Importe]]-Tabla111[[#This Row],[Pagado]]</f>
        <v>0</v>
      </c>
      <c r="H323" s="153" t="s">
        <v>10</v>
      </c>
    </row>
    <row r="324" spans="1:8" x14ac:dyDescent="0.25">
      <c r="A324" s="73">
        <v>44837</v>
      </c>
      <c r="B324" s="74" t="s">
        <v>31884</v>
      </c>
      <c r="C324" s="75" t="s">
        <v>440</v>
      </c>
      <c r="D324" s="81">
        <v>13863.16</v>
      </c>
      <c r="E324" s="230">
        <v>44845</v>
      </c>
      <c r="F324" s="81">
        <v>13863.16</v>
      </c>
      <c r="G324" s="197">
        <f>Tabla111[[#This Row],[Importe]]-Tabla111[[#This Row],[Pagado]]</f>
        <v>0</v>
      </c>
      <c r="H324" s="75" t="s">
        <v>10</v>
      </c>
    </row>
    <row r="325" spans="1:8" x14ac:dyDescent="0.25">
      <c r="A325" s="148">
        <v>44837</v>
      </c>
      <c r="B325" s="149" t="s">
        <v>31885</v>
      </c>
      <c r="C325" s="153" t="s">
        <v>69</v>
      </c>
      <c r="D325" s="154">
        <v>1530</v>
      </c>
      <c r="E325" s="231">
        <v>44837</v>
      </c>
      <c r="F325" s="154">
        <v>1530</v>
      </c>
      <c r="G325" s="197">
        <f>Tabla111[[#This Row],[Importe]]-Tabla111[[#This Row],[Pagado]]</f>
        <v>0</v>
      </c>
      <c r="H325" s="153" t="s">
        <v>10</v>
      </c>
    </row>
    <row r="326" spans="1:8" x14ac:dyDescent="0.25">
      <c r="A326" s="73">
        <v>44837</v>
      </c>
      <c r="B326" s="74" t="s">
        <v>31886</v>
      </c>
      <c r="C326" s="75" t="s">
        <v>10840</v>
      </c>
      <c r="D326" s="81">
        <v>43847.6</v>
      </c>
      <c r="E326" s="230" t="s">
        <v>31887</v>
      </c>
      <c r="F326" s="81">
        <f>26000+17847.6</f>
        <v>43847.6</v>
      </c>
      <c r="G326" s="197">
        <f>Tabla111[[#This Row],[Importe]]-Tabla111[[#This Row],[Pagado]]</f>
        <v>0</v>
      </c>
      <c r="H326" s="75" t="s">
        <v>10</v>
      </c>
    </row>
    <row r="327" spans="1:8" x14ac:dyDescent="0.25">
      <c r="A327" s="148">
        <v>44837</v>
      </c>
      <c r="B327" s="149" t="s">
        <v>31888</v>
      </c>
      <c r="C327" s="153" t="s">
        <v>24</v>
      </c>
      <c r="D327" s="154">
        <v>2961</v>
      </c>
      <c r="E327" s="231">
        <v>44838</v>
      </c>
      <c r="F327" s="154">
        <v>2961</v>
      </c>
      <c r="G327" s="197">
        <f>Tabla111[[#This Row],[Importe]]-Tabla111[[#This Row],[Pagado]]</f>
        <v>0</v>
      </c>
      <c r="H327" s="153" t="s">
        <v>10</v>
      </c>
    </row>
    <row r="328" spans="1:8" x14ac:dyDescent="0.25">
      <c r="A328" s="73">
        <v>44838</v>
      </c>
      <c r="B328" s="74" t="s">
        <v>31889</v>
      </c>
      <c r="C328" s="75" t="s">
        <v>12</v>
      </c>
      <c r="D328" s="81">
        <v>20823.75</v>
      </c>
      <c r="E328" s="230">
        <v>44840</v>
      </c>
      <c r="F328" s="81">
        <v>20823.75</v>
      </c>
      <c r="G328" s="197">
        <f>Tabla111[[#This Row],[Importe]]-Tabla111[[#This Row],[Pagado]]</f>
        <v>0</v>
      </c>
      <c r="H328" s="75" t="s">
        <v>10</v>
      </c>
    </row>
    <row r="329" spans="1:8" x14ac:dyDescent="0.25">
      <c r="A329" s="148">
        <v>44838</v>
      </c>
      <c r="B329" s="149" t="s">
        <v>31890</v>
      </c>
      <c r="C329" s="153" t="s">
        <v>887</v>
      </c>
      <c r="D329" s="154">
        <v>21781.7</v>
      </c>
      <c r="E329" s="231" t="s">
        <v>31773</v>
      </c>
      <c r="F329" s="154">
        <f>15000+6781.7</f>
        <v>21781.7</v>
      </c>
      <c r="G329" s="197">
        <f>Tabla111[[#This Row],[Importe]]-Tabla111[[#This Row],[Pagado]]</f>
        <v>0</v>
      </c>
      <c r="H329" s="153" t="s">
        <v>10</v>
      </c>
    </row>
    <row r="330" spans="1:8" x14ac:dyDescent="0.25">
      <c r="A330" s="73">
        <v>44838</v>
      </c>
      <c r="B330" s="74" t="s">
        <v>31891</v>
      </c>
      <c r="C330" s="75" t="s">
        <v>31323</v>
      </c>
      <c r="D330" s="81">
        <v>5935.6</v>
      </c>
      <c r="E330" s="230">
        <v>44838</v>
      </c>
      <c r="F330" s="81">
        <v>5935.6</v>
      </c>
      <c r="G330" s="197">
        <f>Tabla111[[#This Row],[Importe]]-Tabla111[[#This Row],[Pagado]]</f>
        <v>0</v>
      </c>
      <c r="H330" s="75" t="s">
        <v>10</v>
      </c>
    </row>
    <row r="331" spans="1:8" x14ac:dyDescent="0.25">
      <c r="A331" s="148">
        <v>44838</v>
      </c>
      <c r="B331" s="149" t="s">
        <v>31892</v>
      </c>
      <c r="C331" s="153" t="s">
        <v>16</v>
      </c>
      <c r="D331" s="154">
        <v>7281.1</v>
      </c>
      <c r="E331" s="231">
        <v>44838</v>
      </c>
      <c r="F331" s="154">
        <v>7281.1</v>
      </c>
      <c r="G331" s="197">
        <f>Tabla111[[#This Row],[Importe]]-Tabla111[[#This Row],[Pagado]]</f>
        <v>0</v>
      </c>
      <c r="H331" s="153" t="s">
        <v>10</v>
      </c>
    </row>
    <row r="332" spans="1:8" x14ac:dyDescent="0.25">
      <c r="A332" s="73">
        <v>44838</v>
      </c>
      <c r="B332" s="74" t="s">
        <v>31893</v>
      </c>
      <c r="C332" s="75" t="s">
        <v>105</v>
      </c>
      <c r="D332" s="81">
        <v>6920.2</v>
      </c>
      <c r="E332" s="230">
        <v>44839</v>
      </c>
      <c r="F332" s="81">
        <v>6920.2</v>
      </c>
      <c r="G332" s="197">
        <f>Tabla111[[#This Row],[Importe]]-Tabla111[[#This Row],[Pagado]]</f>
        <v>0</v>
      </c>
      <c r="H332" s="75" t="s">
        <v>10</v>
      </c>
    </row>
    <row r="333" spans="1:8" x14ac:dyDescent="0.25">
      <c r="A333" s="148">
        <v>44838</v>
      </c>
      <c r="B333" s="149" t="s">
        <v>31894</v>
      </c>
      <c r="C333" s="153" t="s">
        <v>97</v>
      </c>
      <c r="D333" s="154">
        <v>1072.8</v>
      </c>
      <c r="E333" s="231">
        <v>44839</v>
      </c>
      <c r="F333" s="154">
        <v>1072.8</v>
      </c>
      <c r="G333" s="197">
        <f>Tabla111[[#This Row],[Importe]]-Tabla111[[#This Row],[Pagado]]</f>
        <v>0</v>
      </c>
      <c r="H333" s="153" t="s">
        <v>10</v>
      </c>
    </row>
    <row r="334" spans="1:8" x14ac:dyDescent="0.25">
      <c r="A334" s="73">
        <v>44838</v>
      </c>
      <c r="B334" s="74" t="s">
        <v>31895</v>
      </c>
      <c r="C334" s="75" t="s">
        <v>481</v>
      </c>
      <c r="D334" s="81">
        <v>765</v>
      </c>
      <c r="E334" s="230">
        <v>44838</v>
      </c>
      <c r="F334" s="81">
        <v>765</v>
      </c>
      <c r="G334" s="197">
        <f>Tabla111[[#This Row],[Importe]]-Tabla111[[#This Row],[Pagado]]</f>
        <v>0</v>
      </c>
      <c r="H334" s="75" t="s">
        <v>10</v>
      </c>
    </row>
    <row r="335" spans="1:8" x14ac:dyDescent="0.25">
      <c r="A335" s="148">
        <v>44838</v>
      </c>
      <c r="B335" s="149" t="s">
        <v>31896</v>
      </c>
      <c r="C335" s="153" t="s">
        <v>114</v>
      </c>
      <c r="D335" s="154">
        <v>6549.1</v>
      </c>
      <c r="E335" s="231">
        <v>44839</v>
      </c>
      <c r="F335" s="154">
        <v>6549.1</v>
      </c>
      <c r="G335" s="197">
        <f>Tabla111[[#This Row],[Importe]]-Tabla111[[#This Row],[Pagado]]</f>
        <v>0</v>
      </c>
      <c r="H335" s="153" t="s">
        <v>10</v>
      </c>
    </row>
    <row r="336" spans="1:8" x14ac:dyDescent="0.25">
      <c r="A336" s="73">
        <v>44838</v>
      </c>
      <c r="B336" s="74" t="s">
        <v>31897</v>
      </c>
      <c r="C336" s="75" t="s">
        <v>109</v>
      </c>
      <c r="D336" s="81">
        <v>5265</v>
      </c>
      <c r="E336" s="230">
        <v>44839</v>
      </c>
      <c r="F336" s="81">
        <v>5265</v>
      </c>
      <c r="G336" s="197">
        <f>Tabla111[[#This Row],[Importe]]-Tabla111[[#This Row],[Pagado]]</f>
        <v>0</v>
      </c>
      <c r="H336" s="75" t="s">
        <v>10</v>
      </c>
    </row>
    <row r="337" spans="1:8" x14ac:dyDescent="0.25">
      <c r="A337" s="148">
        <v>44838</v>
      </c>
      <c r="B337" s="149" t="s">
        <v>31898</v>
      </c>
      <c r="C337" s="153" t="s">
        <v>111</v>
      </c>
      <c r="D337" s="154">
        <v>6795.5</v>
      </c>
      <c r="E337" s="231">
        <v>44839</v>
      </c>
      <c r="F337" s="154">
        <v>6795.5</v>
      </c>
      <c r="G337" s="197">
        <f>Tabla111[[#This Row],[Importe]]-Tabla111[[#This Row],[Pagado]]</f>
        <v>0</v>
      </c>
      <c r="H337" s="153" t="s">
        <v>10</v>
      </c>
    </row>
    <row r="338" spans="1:8" x14ac:dyDescent="0.25">
      <c r="A338" s="73">
        <v>44838</v>
      </c>
      <c r="B338" s="74" t="s">
        <v>31899</v>
      </c>
      <c r="C338" s="75" t="s">
        <v>93</v>
      </c>
      <c r="D338" s="81">
        <v>7375.7</v>
      </c>
      <c r="E338" s="230">
        <v>44841</v>
      </c>
      <c r="F338" s="81">
        <v>7375.7</v>
      </c>
      <c r="G338" s="197">
        <f>Tabla111[[#This Row],[Importe]]-Tabla111[[#This Row],[Pagado]]</f>
        <v>0</v>
      </c>
      <c r="H338" s="75" t="s">
        <v>10</v>
      </c>
    </row>
    <row r="339" spans="1:8" x14ac:dyDescent="0.25">
      <c r="A339" s="148">
        <v>44838</v>
      </c>
      <c r="B339" s="149" t="s">
        <v>31900</v>
      </c>
      <c r="C339" s="153" t="s">
        <v>348</v>
      </c>
      <c r="D339" s="154">
        <v>3640.3</v>
      </c>
      <c r="E339" s="231">
        <v>44838</v>
      </c>
      <c r="F339" s="154">
        <v>3640.3</v>
      </c>
      <c r="G339" s="197">
        <f>Tabla111[[#This Row],[Importe]]-Tabla111[[#This Row],[Pagado]]</f>
        <v>0</v>
      </c>
      <c r="H339" s="153" t="s">
        <v>10</v>
      </c>
    </row>
    <row r="340" spans="1:8" x14ac:dyDescent="0.25">
      <c r="A340" s="73">
        <v>44838</v>
      </c>
      <c r="B340" s="74" t="s">
        <v>31901</v>
      </c>
      <c r="C340" s="75" t="s">
        <v>64</v>
      </c>
      <c r="D340" s="81">
        <v>5219.5</v>
      </c>
      <c r="E340" s="230">
        <v>44839</v>
      </c>
      <c r="F340" s="81">
        <v>5219.5</v>
      </c>
      <c r="G340" s="197">
        <f>Tabla111[[#This Row],[Importe]]-Tabla111[[#This Row],[Pagado]]</f>
        <v>0</v>
      </c>
      <c r="H340" s="75" t="s">
        <v>10</v>
      </c>
    </row>
    <row r="341" spans="1:8" x14ac:dyDescent="0.25">
      <c r="A341" s="148">
        <v>44838</v>
      </c>
      <c r="B341" s="149" t="s">
        <v>31902</v>
      </c>
      <c r="C341" s="153" t="s">
        <v>89</v>
      </c>
      <c r="D341" s="154">
        <v>8696.6</v>
      </c>
      <c r="E341" s="231">
        <v>44838</v>
      </c>
      <c r="F341" s="154">
        <v>8696.6</v>
      </c>
      <c r="G341" s="197">
        <f>Tabla111[[#This Row],[Importe]]-Tabla111[[#This Row],[Pagado]]</f>
        <v>0</v>
      </c>
      <c r="H341" s="153" t="s">
        <v>10</v>
      </c>
    </row>
    <row r="342" spans="1:8" x14ac:dyDescent="0.25">
      <c r="A342" s="73">
        <v>44838</v>
      </c>
      <c r="B342" s="74" t="s">
        <v>31903</v>
      </c>
      <c r="C342" s="75" t="s">
        <v>39</v>
      </c>
      <c r="D342" s="81">
        <v>7449.3</v>
      </c>
      <c r="E342" s="230">
        <v>44839</v>
      </c>
      <c r="F342" s="81">
        <v>7449.3</v>
      </c>
      <c r="G342" s="197">
        <f>Tabla111[[#This Row],[Importe]]-Tabla111[[#This Row],[Pagado]]</f>
        <v>0</v>
      </c>
      <c r="H342" s="75" t="s">
        <v>10</v>
      </c>
    </row>
    <row r="343" spans="1:8" x14ac:dyDescent="0.25">
      <c r="A343" s="148">
        <v>44838</v>
      </c>
      <c r="B343" s="149" t="s">
        <v>31904</v>
      </c>
      <c r="C343" s="153" t="s">
        <v>15438</v>
      </c>
      <c r="D343" s="154">
        <v>0</v>
      </c>
      <c r="E343" s="233" t="s">
        <v>189</v>
      </c>
      <c r="F343" s="154">
        <v>0</v>
      </c>
      <c r="G343" s="197">
        <f>Tabla111[[#This Row],[Importe]]-Tabla111[[#This Row],[Pagado]]</f>
        <v>0</v>
      </c>
      <c r="H343" s="153" t="s">
        <v>189</v>
      </c>
    </row>
    <row r="344" spans="1:8" x14ac:dyDescent="0.25">
      <c r="A344" s="73">
        <v>44838</v>
      </c>
      <c r="B344" s="74" t="s">
        <v>31905</v>
      </c>
      <c r="C344" s="75" t="s">
        <v>2151</v>
      </c>
      <c r="D344" s="81">
        <v>25313</v>
      </c>
      <c r="E344" s="230">
        <v>44838</v>
      </c>
      <c r="F344" s="81">
        <v>25313</v>
      </c>
      <c r="G344" s="197">
        <f>Tabla111[[#This Row],[Importe]]-Tabla111[[#This Row],[Pagado]]</f>
        <v>0</v>
      </c>
      <c r="H344" s="75" t="s">
        <v>10</v>
      </c>
    </row>
    <row r="345" spans="1:8" x14ac:dyDescent="0.25">
      <c r="A345" s="148">
        <v>44838</v>
      </c>
      <c r="B345" s="149" t="s">
        <v>31906</v>
      </c>
      <c r="C345" s="153" t="s">
        <v>326</v>
      </c>
      <c r="D345" s="154">
        <v>9119</v>
      </c>
      <c r="E345" s="231">
        <v>44839</v>
      </c>
      <c r="F345" s="154">
        <v>9119</v>
      </c>
      <c r="G345" s="197">
        <f>Tabla111[[#This Row],[Importe]]-Tabla111[[#This Row],[Pagado]]</f>
        <v>0</v>
      </c>
      <c r="H345" s="153" t="s">
        <v>10</v>
      </c>
    </row>
    <row r="346" spans="1:8" x14ac:dyDescent="0.25">
      <c r="A346" s="73">
        <v>44838</v>
      </c>
      <c r="B346" s="74" t="s">
        <v>31907</v>
      </c>
      <c r="C346" s="75" t="s">
        <v>131</v>
      </c>
      <c r="D346" s="81">
        <v>3997.5</v>
      </c>
      <c r="E346" s="230">
        <v>44838</v>
      </c>
      <c r="F346" s="81">
        <v>3997.5</v>
      </c>
      <c r="G346" s="197">
        <f>Tabla111[[#This Row],[Importe]]-Tabla111[[#This Row],[Pagado]]</f>
        <v>0</v>
      </c>
      <c r="H346" s="75" t="s">
        <v>10</v>
      </c>
    </row>
    <row r="347" spans="1:8" x14ac:dyDescent="0.25">
      <c r="A347" s="148">
        <v>44838</v>
      </c>
      <c r="B347" s="149" t="s">
        <v>31908</v>
      </c>
      <c r="C347" s="153" t="s">
        <v>22</v>
      </c>
      <c r="D347" s="154">
        <v>64976.6</v>
      </c>
      <c r="E347" s="231">
        <v>44839</v>
      </c>
      <c r="F347" s="154">
        <f>48000+16976.6</f>
        <v>64976.6</v>
      </c>
      <c r="G347" s="197">
        <f>Tabla111[[#This Row],[Importe]]-Tabla111[[#This Row],[Pagado]]</f>
        <v>0</v>
      </c>
      <c r="H347" s="153" t="s">
        <v>10</v>
      </c>
    </row>
    <row r="348" spans="1:8" x14ac:dyDescent="0.25">
      <c r="A348" s="73">
        <v>44838</v>
      </c>
      <c r="B348" s="74" t="s">
        <v>31909</v>
      </c>
      <c r="C348" s="75" t="s">
        <v>83</v>
      </c>
      <c r="D348" s="81">
        <v>12968.2</v>
      </c>
      <c r="E348" s="230">
        <v>44838</v>
      </c>
      <c r="F348" s="81">
        <v>12968.2</v>
      </c>
      <c r="G348" s="197">
        <f>Tabla111[[#This Row],[Importe]]-Tabla111[[#This Row],[Pagado]]</f>
        <v>0</v>
      </c>
      <c r="H348" s="75" t="s">
        <v>10</v>
      </c>
    </row>
    <row r="349" spans="1:8" x14ac:dyDescent="0.25">
      <c r="A349" s="148">
        <v>44838</v>
      </c>
      <c r="B349" s="149" t="s">
        <v>31910</v>
      </c>
      <c r="C349" s="153" t="s">
        <v>9</v>
      </c>
      <c r="D349" s="154">
        <v>8294</v>
      </c>
      <c r="E349" s="231">
        <v>44838</v>
      </c>
      <c r="F349" s="154">
        <v>8294</v>
      </c>
      <c r="G349" s="197">
        <f>Tabla111[[#This Row],[Importe]]-Tabla111[[#This Row],[Pagado]]</f>
        <v>0</v>
      </c>
      <c r="H349" s="153" t="s">
        <v>10</v>
      </c>
    </row>
    <row r="350" spans="1:8" x14ac:dyDescent="0.25">
      <c r="A350" s="73">
        <v>44838</v>
      </c>
      <c r="B350" s="74" t="s">
        <v>31911</v>
      </c>
      <c r="C350" s="75" t="s">
        <v>79</v>
      </c>
      <c r="D350" s="81">
        <v>3630</v>
      </c>
      <c r="E350" s="230">
        <v>44838</v>
      </c>
      <c r="F350" s="81">
        <v>3630</v>
      </c>
      <c r="G350" s="197">
        <f>Tabla111[[#This Row],[Importe]]-Tabla111[[#This Row],[Pagado]]</f>
        <v>0</v>
      </c>
      <c r="H350" s="75" t="s">
        <v>10</v>
      </c>
    </row>
    <row r="351" spans="1:8" x14ac:dyDescent="0.25">
      <c r="A351" s="148">
        <v>44838</v>
      </c>
      <c r="B351" s="149" t="s">
        <v>31912</v>
      </c>
      <c r="C351" s="153" t="s">
        <v>2780</v>
      </c>
      <c r="D351" s="154">
        <v>2896</v>
      </c>
      <c r="E351" s="231">
        <v>44838</v>
      </c>
      <c r="F351" s="154">
        <v>2896</v>
      </c>
      <c r="G351" s="197">
        <f>Tabla111[[#This Row],[Importe]]-Tabla111[[#This Row],[Pagado]]</f>
        <v>0</v>
      </c>
      <c r="H351" s="153" t="s">
        <v>10</v>
      </c>
    </row>
    <row r="352" spans="1:8" x14ac:dyDescent="0.25">
      <c r="A352" s="73">
        <v>44838</v>
      </c>
      <c r="B352" s="74" t="s">
        <v>31913</v>
      </c>
      <c r="C352" s="75" t="s">
        <v>127</v>
      </c>
      <c r="D352" s="81">
        <v>4675.6000000000004</v>
      </c>
      <c r="E352" s="230">
        <v>44838</v>
      </c>
      <c r="F352" s="81">
        <v>4675.6000000000004</v>
      </c>
      <c r="G352" s="197">
        <f>Tabla111[[#This Row],[Importe]]-Tabla111[[#This Row],[Pagado]]</f>
        <v>0</v>
      </c>
      <c r="H352" s="75" t="s">
        <v>10</v>
      </c>
    </row>
    <row r="353" spans="1:8" x14ac:dyDescent="0.25">
      <c r="A353" s="148">
        <v>44838</v>
      </c>
      <c r="B353" s="149" t="s">
        <v>31914</v>
      </c>
      <c r="C353" s="153" t="s">
        <v>87</v>
      </c>
      <c r="D353" s="154">
        <v>2087.5</v>
      </c>
      <c r="E353" s="231">
        <v>44838</v>
      </c>
      <c r="F353" s="154">
        <v>2087.5</v>
      </c>
      <c r="G353" s="197">
        <f>Tabla111[[#This Row],[Importe]]-Tabla111[[#This Row],[Pagado]]</f>
        <v>0</v>
      </c>
      <c r="H353" s="153" t="s">
        <v>10</v>
      </c>
    </row>
    <row r="354" spans="1:8" x14ac:dyDescent="0.25">
      <c r="A354" s="73">
        <v>44838</v>
      </c>
      <c r="B354" s="74" t="s">
        <v>31915</v>
      </c>
      <c r="C354" s="75" t="s">
        <v>520</v>
      </c>
      <c r="D354" s="81">
        <v>11331.1</v>
      </c>
      <c r="E354" s="230">
        <v>44838</v>
      </c>
      <c r="F354" s="81">
        <v>11331.1</v>
      </c>
      <c r="G354" s="197">
        <f>Tabla111[[#This Row],[Importe]]-Tabla111[[#This Row],[Pagado]]</f>
        <v>0</v>
      </c>
      <c r="H354" s="75" t="s">
        <v>10</v>
      </c>
    </row>
    <row r="355" spans="1:8" x14ac:dyDescent="0.25">
      <c r="A355" s="148">
        <v>44838</v>
      </c>
      <c r="B355" s="149" t="s">
        <v>31916</v>
      </c>
      <c r="C355" s="153" t="s">
        <v>159</v>
      </c>
      <c r="D355" s="154">
        <v>6695</v>
      </c>
      <c r="E355" s="231">
        <v>44838</v>
      </c>
      <c r="F355" s="154">
        <v>6695</v>
      </c>
      <c r="G355" s="197">
        <f>Tabla111[[#This Row],[Importe]]-Tabla111[[#This Row],[Pagado]]</f>
        <v>0</v>
      </c>
      <c r="H355" s="153" t="s">
        <v>10</v>
      </c>
    </row>
    <row r="356" spans="1:8" x14ac:dyDescent="0.25">
      <c r="A356" s="73">
        <v>44838</v>
      </c>
      <c r="B356" s="74" t="s">
        <v>31917</v>
      </c>
      <c r="C356" s="75" t="s">
        <v>140</v>
      </c>
      <c r="D356" s="81">
        <v>1177.8</v>
      </c>
      <c r="E356" s="230">
        <v>44838</v>
      </c>
      <c r="F356" s="81">
        <v>1177.8</v>
      </c>
      <c r="G356" s="197">
        <f>Tabla111[[#This Row],[Importe]]-Tabla111[[#This Row],[Pagado]]</f>
        <v>0</v>
      </c>
      <c r="H356" s="75" t="s">
        <v>10</v>
      </c>
    </row>
    <row r="357" spans="1:8" x14ac:dyDescent="0.25">
      <c r="A357" s="148">
        <v>44838</v>
      </c>
      <c r="B357" s="149" t="s">
        <v>31918</v>
      </c>
      <c r="C357" s="153" t="s">
        <v>314</v>
      </c>
      <c r="D357" s="154">
        <v>1200</v>
      </c>
      <c r="E357" s="231">
        <v>44838</v>
      </c>
      <c r="F357" s="154">
        <v>1200</v>
      </c>
      <c r="G357" s="197">
        <f>Tabla111[[#This Row],[Importe]]-Tabla111[[#This Row],[Pagado]]</f>
        <v>0</v>
      </c>
      <c r="H357" s="153" t="s">
        <v>10</v>
      </c>
    </row>
    <row r="358" spans="1:8" x14ac:dyDescent="0.25">
      <c r="A358" s="73">
        <v>44838</v>
      </c>
      <c r="B358" s="74" t="s">
        <v>31919</v>
      </c>
      <c r="C358" s="75" t="s">
        <v>357</v>
      </c>
      <c r="D358" s="81">
        <v>969.6</v>
      </c>
      <c r="E358" s="230">
        <v>44838</v>
      </c>
      <c r="F358" s="81">
        <v>969.6</v>
      </c>
      <c r="G358" s="197">
        <f>Tabla111[[#This Row],[Importe]]-Tabla111[[#This Row],[Pagado]]</f>
        <v>0</v>
      </c>
      <c r="H358" s="75" t="s">
        <v>10</v>
      </c>
    </row>
    <row r="359" spans="1:8" x14ac:dyDescent="0.25">
      <c r="A359" s="148">
        <v>44838</v>
      </c>
      <c r="B359" s="149" t="s">
        <v>31920</v>
      </c>
      <c r="C359" s="153" t="s">
        <v>17556</v>
      </c>
      <c r="D359" s="154">
        <v>4473.7</v>
      </c>
      <c r="E359" s="231">
        <v>44838</v>
      </c>
      <c r="F359" s="154">
        <v>4473.7</v>
      </c>
      <c r="G359" s="197">
        <f>Tabla111[[#This Row],[Importe]]-Tabla111[[#This Row],[Pagado]]</f>
        <v>0</v>
      </c>
      <c r="H359" s="153" t="s">
        <v>10</v>
      </c>
    </row>
    <row r="360" spans="1:8" x14ac:dyDescent="0.25">
      <c r="A360" s="73">
        <v>44838</v>
      </c>
      <c r="B360" s="74" t="s">
        <v>31921</v>
      </c>
      <c r="C360" s="75" t="s">
        <v>146</v>
      </c>
      <c r="D360" s="81">
        <v>4518.2</v>
      </c>
      <c r="E360" s="230">
        <v>44838</v>
      </c>
      <c r="F360" s="81">
        <v>4518.2</v>
      </c>
      <c r="G360" s="197">
        <f>Tabla111[[#This Row],[Importe]]-Tabla111[[#This Row],[Pagado]]</f>
        <v>0</v>
      </c>
      <c r="H360" s="75" t="s">
        <v>10</v>
      </c>
    </row>
    <row r="361" spans="1:8" x14ac:dyDescent="0.25">
      <c r="A361" s="148">
        <v>44838</v>
      </c>
      <c r="B361" s="149" t="s">
        <v>31922</v>
      </c>
      <c r="C361" s="153" t="s">
        <v>466</v>
      </c>
      <c r="D361" s="154">
        <v>7344</v>
      </c>
      <c r="E361" s="231">
        <v>44838</v>
      </c>
      <c r="F361" s="154">
        <v>7344</v>
      </c>
      <c r="G361" s="197">
        <f>Tabla111[[#This Row],[Importe]]-Tabla111[[#This Row],[Pagado]]</f>
        <v>0</v>
      </c>
      <c r="H361" s="153" t="s">
        <v>10</v>
      </c>
    </row>
    <row r="362" spans="1:8" x14ac:dyDescent="0.25">
      <c r="A362" s="73">
        <v>44838</v>
      </c>
      <c r="B362" s="74" t="s">
        <v>31923</v>
      </c>
      <c r="C362" s="75" t="s">
        <v>319</v>
      </c>
      <c r="D362" s="81">
        <v>12474.4</v>
      </c>
      <c r="E362" s="230">
        <v>44838</v>
      </c>
      <c r="F362" s="81">
        <v>12474.4</v>
      </c>
      <c r="G362" s="197">
        <f>Tabla111[[#This Row],[Importe]]-Tabla111[[#This Row],[Pagado]]</f>
        <v>0</v>
      </c>
      <c r="H362" s="75" t="s">
        <v>10</v>
      </c>
    </row>
    <row r="363" spans="1:8" x14ac:dyDescent="0.25">
      <c r="A363" s="148">
        <v>44838</v>
      </c>
      <c r="B363" s="149" t="s">
        <v>31924</v>
      </c>
      <c r="C363" s="153" t="s">
        <v>35</v>
      </c>
      <c r="D363" s="154">
        <v>1772.2</v>
      </c>
      <c r="E363" s="231">
        <v>44838</v>
      </c>
      <c r="F363" s="154">
        <v>1772.2</v>
      </c>
      <c r="G363" s="197">
        <f>Tabla111[[#This Row],[Importe]]-Tabla111[[#This Row],[Pagado]]</f>
        <v>0</v>
      </c>
      <c r="H363" s="153" t="s">
        <v>10</v>
      </c>
    </row>
    <row r="364" spans="1:8" x14ac:dyDescent="0.25">
      <c r="A364" s="73">
        <v>44838</v>
      </c>
      <c r="B364" s="74" t="s">
        <v>31925</v>
      </c>
      <c r="C364" s="75" t="s">
        <v>157</v>
      </c>
      <c r="D364" s="81">
        <v>6161.8</v>
      </c>
      <c r="E364" s="230">
        <v>44838</v>
      </c>
      <c r="F364" s="81">
        <v>6161.8</v>
      </c>
      <c r="G364" s="197">
        <f>Tabla111[[#This Row],[Importe]]-Tabla111[[#This Row],[Pagado]]</f>
        <v>0</v>
      </c>
      <c r="H364" s="75" t="s">
        <v>10</v>
      </c>
    </row>
    <row r="365" spans="1:8" x14ac:dyDescent="0.25">
      <c r="A365" s="148">
        <v>44838</v>
      </c>
      <c r="B365" s="149" t="s">
        <v>31926</v>
      </c>
      <c r="C365" s="153" t="s">
        <v>31</v>
      </c>
      <c r="D365" s="154">
        <v>5847.2</v>
      </c>
      <c r="E365" s="231">
        <v>44838</v>
      </c>
      <c r="F365" s="154">
        <v>5847.2</v>
      </c>
      <c r="G365" s="197">
        <f>Tabla111[[#This Row],[Importe]]-Tabla111[[#This Row],[Pagado]]</f>
        <v>0</v>
      </c>
      <c r="H365" s="153" t="s">
        <v>10</v>
      </c>
    </row>
    <row r="366" spans="1:8" x14ac:dyDescent="0.25">
      <c r="A366" s="73">
        <v>44838</v>
      </c>
      <c r="B366" s="74" t="s">
        <v>31927</v>
      </c>
      <c r="C366" s="75" t="s">
        <v>365</v>
      </c>
      <c r="D366" s="81">
        <v>758.2</v>
      </c>
      <c r="E366" s="230">
        <v>44838</v>
      </c>
      <c r="F366" s="81">
        <v>758.2</v>
      </c>
      <c r="G366" s="197">
        <f>Tabla111[[#This Row],[Importe]]-Tabla111[[#This Row],[Pagado]]</f>
        <v>0</v>
      </c>
      <c r="H366" s="75" t="s">
        <v>10</v>
      </c>
    </row>
    <row r="367" spans="1:8" x14ac:dyDescent="0.25">
      <c r="A367" s="148">
        <v>44838</v>
      </c>
      <c r="B367" s="149" t="s">
        <v>31928</v>
      </c>
      <c r="C367" s="153" t="s">
        <v>79</v>
      </c>
      <c r="D367" s="154">
        <v>8932.5</v>
      </c>
      <c r="E367" s="231">
        <v>44838</v>
      </c>
      <c r="F367" s="154">
        <v>8932.5</v>
      </c>
      <c r="G367" s="197">
        <f>Tabla111[[#This Row],[Importe]]-Tabla111[[#This Row],[Pagado]]</f>
        <v>0</v>
      </c>
      <c r="H367" s="153" t="s">
        <v>10</v>
      </c>
    </row>
    <row r="368" spans="1:8" x14ac:dyDescent="0.25">
      <c r="A368" s="73">
        <v>44838</v>
      </c>
      <c r="B368" s="74" t="s">
        <v>31929</v>
      </c>
      <c r="C368" s="75" t="s">
        <v>934</v>
      </c>
      <c r="D368" s="81">
        <v>3358.4</v>
      </c>
      <c r="E368" s="230">
        <v>44838</v>
      </c>
      <c r="F368" s="81">
        <v>3358.4</v>
      </c>
      <c r="G368" s="197">
        <f>Tabla111[[#This Row],[Importe]]-Tabla111[[#This Row],[Pagado]]</f>
        <v>0</v>
      </c>
      <c r="H368" s="75" t="s">
        <v>10</v>
      </c>
    </row>
    <row r="369" spans="1:8" x14ac:dyDescent="0.25">
      <c r="A369" s="148">
        <v>44838</v>
      </c>
      <c r="B369" s="149" t="s">
        <v>31930</v>
      </c>
      <c r="C369" s="153" t="s">
        <v>151</v>
      </c>
      <c r="D369" s="154">
        <v>19647</v>
      </c>
      <c r="E369" s="231">
        <v>44838</v>
      </c>
      <c r="F369" s="154">
        <v>19647</v>
      </c>
      <c r="G369" s="197">
        <f>Tabla111[[#This Row],[Importe]]-Tabla111[[#This Row],[Pagado]]</f>
        <v>0</v>
      </c>
      <c r="H369" s="153" t="s">
        <v>10</v>
      </c>
    </row>
    <row r="370" spans="1:8" x14ac:dyDescent="0.25">
      <c r="A370" s="73">
        <v>44838</v>
      </c>
      <c r="B370" s="74" t="s">
        <v>31931</v>
      </c>
      <c r="C370" s="75" t="s">
        <v>33</v>
      </c>
      <c r="D370" s="81">
        <v>17838.400000000001</v>
      </c>
      <c r="E370" s="230">
        <v>44838</v>
      </c>
      <c r="F370" s="81">
        <v>17838.400000000001</v>
      </c>
      <c r="G370" s="197">
        <f>Tabla111[[#This Row],[Importe]]-Tabla111[[#This Row],[Pagado]]</f>
        <v>0</v>
      </c>
      <c r="H370" s="75" t="s">
        <v>10</v>
      </c>
    </row>
    <row r="371" spans="1:8" x14ac:dyDescent="0.25">
      <c r="A371" s="148">
        <v>44838</v>
      </c>
      <c r="B371" s="149" t="s">
        <v>31932</v>
      </c>
      <c r="C371" s="153" t="s">
        <v>161</v>
      </c>
      <c r="D371" s="154">
        <v>4230</v>
      </c>
      <c r="E371" s="231">
        <v>44838</v>
      </c>
      <c r="F371" s="154">
        <v>4230</v>
      </c>
      <c r="G371" s="197">
        <f>Tabla111[[#This Row],[Importe]]-Tabla111[[#This Row],[Pagado]]</f>
        <v>0</v>
      </c>
      <c r="H371" s="153" t="s">
        <v>10</v>
      </c>
    </row>
    <row r="372" spans="1:8" x14ac:dyDescent="0.25">
      <c r="A372" s="73">
        <v>44838</v>
      </c>
      <c r="B372" s="74" t="s">
        <v>31933</v>
      </c>
      <c r="C372" s="75" t="s">
        <v>49</v>
      </c>
      <c r="D372" s="81">
        <v>4460.8999999999996</v>
      </c>
      <c r="E372" s="230">
        <v>44838</v>
      </c>
      <c r="F372" s="81">
        <v>4460.8999999999996</v>
      </c>
      <c r="G372" s="197">
        <f>Tabla111[[#This Row],[Importe]]-Tabla111[[#This Row],[Pagado]]</f>
        <v>0</v>
      </c>
      <c r="H372" s="75" t="s">
        <v>10</v>
      </c>
    </row>
    <row r="373" spans="1:8" x14ac:dyDescent="0.25">
      <c r="A373" s="148">
        <v>44838</v>
      </c>
      <c r="B373" s="149" t="s">
        <v>31934</v>
      </c>
      <c r="C373" s="153" t="s">
        <v>45</v>
      </c>
      <c r="D373" s="154">
        <v>13989.2</v>
      </c>
      <c r="E373" s="231">
        <v>44838</v>
      </c>
      <c r="F373" s="154">
        <v>13989.2</v>
      </c>
      <c r="G373" s="197">
        <f>Tabla111[[#This Row],[Importe]]-Tabla111[[#This Row],[Pagado]]</f>
        <v>0</v>
      </c>
      <c r="H373" s="153" t="s">
        <v>10</v>
      </c>
    </row>
    <row r="374" spans="1:8" x14ac:dyDescent="0.25">
      <c r="A374" s="73">
        <v>44838</v>
      </c>
      <c r="B374" s="74" t="s">
        <v>31935</v>
      </c>
      <c r="C374" s="75" t="s">
        <v>75</v>
      </c>
      <c r="D374" s="81">
        <v>7372.5</v>
      </c>
      <c r="E374" s="230">
        <v>44838</v>
      </c>
      <c r="F374" s="81">
        <v>7372.5</v>
      </c>
      <c r="G374" s="197">
        <f>Tabla111[[#This Row],[Importe]]-Tabla111[[#This Row],[Pagado]]</f>
        <v>0</v>
      </c>
      <c r="H374" s="75" t="s">
        <v>10</v>
      </c>
    </row>
    <row r="375" spans="1:8" x14ac:dyDescent="0.25">
      <c r="A375" s="148">
        <v>44838</v>
      </c>
      <c r="B375" s="149" t="s">
        <v>31936</v>
      </c>
      <c r="C375" s="153" t="s">
        <v>19403</v>
      </c>
      <c r="D375" s="154">
        <v>0</v>
      </c>
      <c r="E375" s="233" t="s">
        <v>189</v>
      </c>
      <c r="F375" s="154">
        <v>0</v>
      </c>
      <c r="G375" s="197">
        <f>Tabla111[[#This Row],[Importe]]-Tabla111[[#This Row],[Pagado]]</f>
        <v>0</v>
      </c>
      <c r="H375" s="159" t="s">
        <v>31937</v>
      </c>
    </row>
    <row r="376" spans="1:8" x14ac:dyDescent="0.25">
      <c r="A376" s="73">
        <v>44838</v>
      </c>
      <c r="B376" s="74" t="s">
        <v>31938</v>
      </c>
      <c r="C376" s="75" t="s">
        <v>53</v>
      </c>
      <c r="D376" s="81">
        <v>1755</v>
      </c>
      <c r="E376" s="230">
        <v>44838</v>
      </c>
      <c r="F376" s="81">
        <v>1755</v>
      </c>
      <c r="G376" s="197">
        <f>Tabla111[[#This Row],[Importe]]-Tabla111[[#This Row],[Pagado]]</f>
        <v>0</v>
      </c>
      <c r="H376" s="75" t="s">
        <v>10</v>
      </c>
    </row>
    <row r="377" spans="1:8" x14ac:dyDescent="0.25">
      <c r="A377" s="148">
        <v>44838</v>
      </c>
      <c r="B377" s="149" t="s">
        <v>31939</v>
      </c>
      <c r="C377" s="153" t="s">
        <v>196</v>
      </c>
      <c r="D377" s="154">
        <v>49293.599999999999</v>
      </c>
      <c r="E377" s="231">
        <v>44841</v>
      </c>
      <c r="F377" s="154">
        <v>49293.599999999999</v>
      </c>
      <c r="G377" s="197">
        <f>Tabla111[[#This Row],[Importe]]-Tabla111[[#This Row],[Pagado]]</f>
        <v>0</v>
      </c>
      <c r="H377" s="153" t="s">
        <v>10</v>
      </c>
    </row>
    <row r="378" spans="1:8" x14ac:dyDescent="0.25">
      <c r="A378" s="73">
        <v>44838</v>
      </c>
      <c r="B378" s="74" t="s">
        <v>31940</v>
      </c>
      <c r="C378" s="75" t="s">
        <v>31</v>
      </c>
      <c r="D378" s="81">
        <v>2178</v>
      </c>
      <c r="E378" s="230">
        <v>44838</v>
      </c>
      <c r="F378" s="81">
        <v>2178</v>
      </c>
      <c r="G378" s="197">
        <f>Tabla111[[#This Row],[Importe]]-Tabla111[[#This Row],[Pagado]]</f>
        <v>0</v>
      </c>
      <c r="H378" s="75" t="s">
        <v>10</v>
      </c>
    </row>
    <row r="379" spans="1:8" x14ac:dyDescent="0.25">
      <c r="A379" s="148">
        <v>44838</v>
      </c>
      <c r="B379" s="149" t="s">
        <v>31941</v>
      </c>
      <c r="C379" s="153" t="s">
        <v>56</v>
      </c>
      <c r="D379" s="154">
        <v>8436</v>
      </c>
      <c r="E379" s="231">
        <v>44838</v>
      </c>
      <c r="F379" s="154">
        <v>8436</v>
      </c>
      <c r="G379" s="197">
        <f>Tabla111[[#This Row],[Importe]]-Tabla111[[#This Row],[Pagado]]</f>
        <v>0</v>
      </c>
      <c r="H379" s="153" t="s">
        <v>10</v>
      </c>
    </row>
    <row r="380" spans="1:8" x14ac:dyDescent="0.25">
      <c r="A380" s="73">
        <v>44838</v>
      </c>
      <c r="B380" s="74" t="s">
        <v>31942</v>
      </c>
      <c r="C380" s="75" t="s">
        <v>149</v>
      </c>
      <c r="D380" s="81">
        <v>1470</v>
      </c>
      <c r="E380" s="230">
        <v>44838</v>
      </c>
      <c r="F380" s="81">
        <v>1470</v>
      </c>
      <c r="G380" s="197">
        <f>Tabla111[[#This Row],[Importe]]-Tabla111[[#This Row],[Pagado]]</f>
        <v>0</v>
      </c>
      <c r="H380" s="75" t="s">
        <v>10</v>
      </c>
    </row>
    <row r="381" spans="1:8" x14ac:dyDescent="0.25">
      <c r="A381" s="148">
        <v>44838</v>
      </c>
      <c r="B381" s="149" t="s">
        <v>31943</v>
      </c>
      <c r="C381" s="153" t="s">
        <v>51</v>
      </c>
      <c r="D381" s="154">
        <v>702</v>
      </c>
      <c r="E381" s="231">
        <v>44838</v>
      </c>
      <c r="F381" s="154">
        <v>702</v>
      </c>
      <c r="G381" s="197">
        <f>Tabla111[[#This Row],[Importe]]-Tabla111[[#This Row],[Pagado]]</f>
        <v>0</v>
      </c>
      <c r="H381" s="153" t="s">
        <v>10</v>
      </c>
    </row>
    <row r="382" spans="1:8" x14ac:dyDescent="0.25">
      <c r="A382" s="73">
        <v>44838</v>
      </c>
      <c r="B382" s="74" t="s">
        <v>31944</v>
      </c>
      <c r="C382" s="75" t="s">
        <v>698</v>
      </c>
      <c r="D382" s="81">
        <v>8990.7999999999993</v>
      </c>
      <c r="E382" s="230">
        <v>44838</v>
      </c>
      <c r="F382" s="81">
        <v>8990.7999999999993</v>
      </c>
      <c r="G382" s="197">
        <f>Tabla111[[#This Row],[Importe]]-Tabla111[[#This Row],[Pagado]]</f>
        <v>0</v>
      </c>
      <c r="H382" s="75" t="s">
        <v>10</v>
      </c>
    </row>
    <row r="383" spans="1:8" x14ac:dyDescent="0.25">
      <c r="A383" s="148">
        <v>44838</v>
      </c>
      <c r="B383" s="149" t="s">
        <v>31945</v>
      </c>
      <c r="C383" s="153" t="s">
        <v>31</v>
      </c>
      <c r="D383" s="154">
        <v>6748</v>
      </c>
      <c r="E383" s="231">
        <v>44838</v>
      </c>
      <c r="F383" s="154">
        <v>6748</v>
      </c>
      <c r="G383" s="197">
        <f>Tabla111[[#This Row],[Importe]]-Tabla111[[#This Row],[Pagado]]</f>
        <v>0</v>
      </c>
      <c r="H383" s="153" t="s">
        <v>10</v>
      </c>
    </row>
    <row r="384" spans="1:8" x14ac:dyDescent="0.25">
      <c r="A384" s="73">
        <v>44838</v>
      </c>
      <c r="B384" s="74" t="s">
        <v>31946</v>
      </c>
      <c r="C384" s="75" t="s">
        <v>24</v>
      </c>
      <c r="D384" s="81">
        <v>3541.8</v>
      </c>
      <c r="E384" s="230">
        <v>44838</v>
      </c>
      <c r="F384" s="81">
        <v>3541.8</v>
      </c>
      <c r="G384" s="197">
        <f>Tabla111[[#This Row],[Importe]]-Tabla111[[#This Row],[Pagado]]</f>
        <v>0</v>
      </c>
      <c r="H384" s="75" t="s">
        <v>10</v>
      </c>
    </row>
    <row r="385" spans="1:8" x14ac:dyDescent="0.25">
      <c r="A385" s="148">
        <v>44838</v>
      </c>
      <c r="B385" s="149" t="s">
        <v>31947</v>
      </c>
      <c r="C385" s="153" t="s">
        <v>28087</v>
      </c>
      <c r="D385" s="154">
        <v>19140</v>
      </c>
      <c r="E385" s="231" t="s">
        <v>31948</v>
      </c>
      <c r="F385" s="154">
        <f>8958.9+10181.1</f>
        <v>19140</v>
      </c>
      <c r="G385" s="197">
        <f>Tabla111[[#This Row],[Importe]]-Tabla111[[#This Row],[Pagado]]</f>
        <v>0</v>
      </c>
      <c r="H385" s="153" t="s">
        <v>10</v>
      </c>
    </row>
    <row r="386" spans="1:8" x14ac:dyDescent="0.25">
      <c r="A386" s="73">
        <v>44838</v>
      </c>
      <c r="B386" s="74" t="s">
        <v>31949</v>
      </c>
      <c r="C386" s="75" t="s">
        <v>419</v>
      </c>
      <c r="D386" s="81">
        <v>10150.299999999999</v>
      </c>
      <c r="E386" s="230">
        <v>44838</v>
      </c>
      <c r="F386" s="81">
        <v>10150.299999999999</v>
      </c>
      <c r="G386" s="197">
        <f>Tabla111[[#This Row],[Importe]]-Tabla111[[#This Row],[Pagado]]</f>
        <v>0</v>
      </c>
      <c r="H386" s="75" t="s">
        <v>10</v>
      </c>
    </row>
    <row r="387" spans="1:8" x14ac:dyDescent="0.25">
      <c r="A387" s="148">
        <v>44838</v>
      </c>
      <c r="B387" s="149" t="s">
        <v>31950</v>
      </c>
      <c r="C387" s="153" t="s">
        <v>296</v>
      </c>
      <c r="D387" s="154">
        <v>741</v>
      </c>
      <c r="E387" s="231">
        <v>44838</v>
      </c>
      <c r="F387" s="154">
        <v>741</v>
      </c>
      <c r="G387" s="197">
        <f>Tabla111[[#This Row],[Importe]]-Tabla111[[#This Row],[Pagado]]</f>
        <v>0</v>
      </c>
      <c r="H387" s="153" t="s">
        <v>10</v>
      </c>
    </row>
    <row r="388" spans="1:8" x14ac:dyDescent="0.25">
      <c r="A388" s="73">
        <v>44838</v>
      </c>
      <c r="B388" s="74" t="s">
        <v>31951</v>
      </c>
      <c r="C388" s="75" t="s">
        <v>216</v>
      </c>
      <c r="D388" s="81">
        <v>2197.5</v>
      </c>
      <c r="E388" s="230">
        <v>44838</v>
      </c>
      <c r="F388" s="81">
        <v>2197.5</v>
      </c>
      <c r="G388" s="197">
        <f>Tabla111[[#This Row],[Importe]]-Tabla111[[#This Row],[Pagado]]</f>
        <v>0</v>
      </c>
      <c r="H388" s="75" t="s">
        <v>10</v>
      </c>
    </row>
    <row r="389" spans="1:8" x14ac:dyDescent="0.25">
      <c r="A389" s="148">
        <v>44838</v>
      </c>
      <c r="B389" s="149" t="s">
        <v>31952</v>
      </c>
      <c r="C389" s="153" t="s">
        <v>191</v>
      </c>
      <c r="D389" s="154">
        <v>1443</v>
      </c>
      <c r="E389" s="231">
        <v>44838</v>
      </c>
      <c r="F389" s="154">
        <v>1443</v>
      </c>
      <c r="G389" s="197">
        <f>Tabla111[[#This Row],[Importe]]-Tabla111[[#This Row],[Pagado]]</f>
        <v>0</v>
      </c>
      <c r="H389" s="153" t="s">
        <v>10</v>
      </c>
    </row>
    <row r="390" spans="1:8" x14ac:dyDescent="0.25">
      <c r="A390" s="73">
        <v>44838</v>
      </c>
      <c r="B390" s="74" t="s">
        <v>31953</v>
      </c>
      <c r="C390" s="75" t="s">
        <v>31</v>
      </c>
      <c r="D390" s="81">
        <v>7744.4</v>
      </c>
      <c r="E390" s="230">
        <v>44838</v>
      </c>
      <c r="F390" s="81">
        <v>7744.4</v>
      </c>
      <c r="G390" s="197">
        <f>Tabla111[[#This Row],[Importe]]-Tabla111[[#This Row],[Pagado]]</f>
        <v>0</v>
      </c>
      <c r="H390" s="75" t="s">
        <v>10</v>
      </c>
    </row>
    <row r="391" spans="1:8" x14ac:dyDescent="0.25">
      <c r="A391" s="148">
        <v>44838</v>
      </c>
      <c r="B391" s="149" t="s">
        <v>31954</v>
      </c>
      <c r="C391" s="153" t="s">
        <v>31</v>
      </c>
      <c r="D391" s="154">
        <v>4162.5</v>
      </c>
      <c r="E391" s="231">
        <v>44838</v>
      </c>
      <c r="F391" s="154">
        <v>4162.5</v>
      </c>
      <c r="G391" s="197">
        <f>Tabla111[[#This Row],[Importe]]-Tabla111[[#This Row],[Pagado]]</f>
        <v>0</v>
      </c>
      <c r="H391" s="153" t="s">
        <v>10</v>
      </c>
    </row>
    <row r="392" spans="1:8" x14ac:dyDescent="0.25">
      <c r="A392" s="73">
        <v>44838</v>
      </c>
      <c r="B392" s="74" t="s">
        <v>31955</v>
      </c>
      <c r="C392" s="75" t="s">
        <v>426</v>
      </c>
      <c r="D392" s="81">
        <v>7341</v>
      </c>
      <c r="E392" s="230">
        <v>44838</v>
      </c>
      <c r="F392" s="81">
        <v>7341</v>
      </c>
      <c r="G392" s="197">
        <f>Tabla111[[#This Row],[Importe]]-Tabla111[[#This Row],[Pagado]]</f>
        <v>0</v>
      </c>
      <c r="H392" s="75" t="s">
        <v>10</v>
      </c>
    </row>
    <row r="393" spans="1:8" x14ac:dyDescent="0.25">
      <c r="A393" s="148">
        <v>44838</v>
      </c>
      <c r="B393" s="149" t="s">
        <v>31956</v>
      </c>
      <c r="C393" s="153" t="s">
        <v>359</v>
      </c>
      <c r="D393" s="154">
        <v>1306.7</v>
      </c>
      <c r="E393" s="231">
        <v>44838</v>
      </c>
      <c r="F393" s="154">
        <v>1306.7</v>
      </c>
      <c r="G393" s="197">
        <f>Tabla111[[#This Row],[Importe]]-Tabla111[[#This Row],[Pagado]]</f>
        <v>0</v>
      </c>
      <c r="H393" s="153" t="s">
        <v>10</v>
      </c>
    </row>
    <row r="394" spans="1:8" x14ac:dyDescent="0.25">
      <c r="A394" s="73">
        <v>44838</v>
      </c>
      <c r="B394" s="74" t="s">
        <v>31957</v>
      </c>
      <c r="C394" s="75" t="s">
        <v>200</v>
      </c>
      <c r="D394" s="81">
        <v>1057.5</v>
      </c>
      <c r="E394" s="230">
        <v>44838</v>
      </c>
      <c r="F394" s="81">
        <v>1057.5</v>
      </c>
      <c r="G394" s="197">
        <f>Tabla111[[#This Row],[Importe]]-Tabla111[[#This Row],[Pagado]]</f>
        <v>0</v>
      </c>
      <c r="H394" s="75" t="s">
        <v>10</v>
      </c>
    </row>
    <row r="395" spans="1:8" x14ac:dyDescent="0.25">
      <c r="A395" s="148">
        <v>44838</v>
      </c>
      <c r="B395" s="149" t="s">
        <v>31958</v>
      </c>
      <c r="C395" s="153" t="s">
        <v>31</v>
      </c>
      <c r="D395" s="154">
        <v>1796.4</v>
      </c>
      <c r="E395" s="231">
        <v>44838</v>
      </c>
      <c r="F395" s="154">
        <v>1796.4</v>
      </c>
      <c r="G395" s="197">
        <f>Tabla111[[#This Row],[Importe]]-Tabla111[[#This Row],[Pagado]]</f>
        <v>0</v>
      </c>
      <c r="H395" s="153" t="s">
        <v>10</v>
      </c>
    </row>
    <row r="396" spans="1:8" x14ac:dyDescent="0.25">
      <c r="A396" s="73">
        <v>44838</v>
      </c>
      <c r="B396" s="74" t="s">
        <v>31959</v>
      </c>
      <c r="C396" s="75" t="s">
        <v>857</v>
      </c>
      <c r="D396" s="81">
        <v>668.8</v>
      </c>
      <c r="E396" s="230">
        <v>44838</v>
      </c>
      <c r="F396" s="81">
        <v>668.8</v>
      </c>
      <c r="G396" s="197">
        <f>Tabla111[[#This Row],[Importe]]-Tabla111[[#This Row],[Pagado]]</f>
        <v>0</v>
      </c>
      <c r="H396" s="75" t="s">
        <v>10</v>
      </c>
    </row>
    <row r="397" spans="1:8" x14ac:dyDescent="0.25">
      <c r="A397" s="148">
        <v>44838</v>
      </c>
      <c r="B397" s="149" t="s">
        <v>31960</v>
      </c>
      <c r="C397" s="153" t="s">
        <v>284</v>
      </c>
      <c r="D397" s="154">
        <v>7237.5</v>
      </c>
      <c r="E397" s="231">
        <v>44838</v>
      </c>
      <c r="F397" s="154">
        <v>7237.5</v>
      </c>
      <c r="G397" s="197">
        <f>Tabla111[[#This Row],[Importe]]-Tabla111[[#This Row],[Pagado]]</f>
        <v>0</v>
      </c>
      <c r="H397" s="153" t="s">
        <v>10</v>
      </c>
    </row>
    <row r="398" spans="1:8" x14ac:dyDescent="0.25">
      <c r="A398" s="73">
        <v>44838</v>
      </c>
      <c r="B398" s="74" t="s">
        <v>31961</v>
      </c>
      <c r="C398" s="75" t="s">
        <v>31</v>
      </c>
      <c r="D398" s="81">
        <v>561.6</v>
      </c>
      <c r="E398" s="230">
        <v>44838</v>
      </c>
      <c r="F398" s="81">
        <v>561.6</v>
      </c>
      <c r="G398" s="197">
        <f>Tabla111[[#This Row],[Importe]]-Tabla111[[#This Row],[Pagado]]</f>
        <v>0</v>
      </c>
      <c r="H398" s="75" t="s">
        <v>10</v>
      </c>
    </row>
    <row r="399" spans="1:8" x14ac:dyDescent="0.25">
      <c r="A399" s="148">
        <v>44838</v>
      </c>
      <c r="B399" s="149" t="s">
        <v>31962</v>
      </c>
      <c r="C399" s="153" t="s">
        <v>282</v>
      </c>
      <c r="D399" s="154">
        <v>2535</v>
      </c>
      <c r="E399" s="231">
        <v>44838</v>
      </c>
      <c r="F399" s="154">
        <v>2535</v>
      </c>
      <c r="G399" s="197">
        <f>Tabla111[[#This Row],[Importe]]-Tabla111[[#This Row],[Pagado]]</f>
        <v>0</v>
      </c>
      <c r="H399" s="153" t="s">
        <v>10</v>
      </c>
    </row>
    <row r="400" spans="1:8" x14ac:dyDescent="0.25">
      <c r="A400" s="73">
        <v>44838</v>
      </c>
      <c r="B400" s="74" t="s">
        <v>31963</v>
      </c>
      <c r="C400" s="75" t="s">
        <v>31</v>
      </c>
      <c r="D400" s="81">
        <v>600</v>
      </c>
      <c r="E400" s="230">
        <v>44838</v>
      </c>
      <c r="F400" s="81">
        <v>600</v>
      </c>
      <c r="G400" s="197">
        <f>Tabla111[[#This Row],[Importe]]-Tabla111[[#This Row],[Pagado]]</f>
        <v>0</v>
      </c>
      <c r="H400" s="75" t="s">
        <v>10</v>
      </c>
    </row>
    <row r="401" spans="1:8" x14ac:dyDescent="0.25">
      <c r="A401" s="148">
        <v>44838</v>
      </c>
      <c r="B401" s="149" t="s">
        <v>31964</v>
      </c>
      <c r="C401" s="153" t="s">
        <v>10819</v>
      </c>
      <c r="D401" s="154">
        <v>1477.5</v>
      </c>
      <c r="E401" s="231">
        <v>44838</v>
      </c>
      <c r="F401" s="154">
        <v>1477.5</v>
      </c>
      <c r="G401" s="197">
        <f>Tabla111[[#This Row],[Importe]]-Tabla111[[#This Row],[Pagado]]</f>
        <v>0</v>
      </c>
      <c r="H401" s="153" t="s">
        <v>10</v>
      </c>
    </row>
    <row r="402" spans="1:8" x14ac:dyDescent="0.25">
      <c r="A402" s="73">
        <v>44838</v>
      </c>
      <c r="B402" s="74" t="s">
        <v>31965</v>
      </c>
      <c r="C402" s="75" t="s">
        <v>4136</v>
      </c>
      <c r="D402" s="81">
        <v>1755</v>
      </c>
      <c r="E402" s="230">
        <v>44838</v>
      </c>
      <c r="F402" s="81">
        <v>1755</v>
      </c>
      <c r="G402" s="197">
        <f>Tabla111[[#This Row],[Importe]]-Tabla111[[#This Row],[Pagado]]</f>
        <v>0</v>
      </c>
      <c r="H402" s="75" t="s">
        <v>10</v>
      </c>
    </row>
    <row r="403" spans="1:8" x14ac:dyDescent="0.25">
      <c r="A403" s="148">
        <v>44838</v>
      </c>
      <c r="B403" s="149" t="s">
        <v>31966</v>
      </c>
      <c r="C403" s="153" t="s">
        <v>226</v>
      </c>
      <c r="D403" s="154">
        <v>11643.2</v>
      </c>
      <c r="E403" s="231">
        <v>44838</v>
      </c>
      <c r="F403" s="154">
        <v>11643.2</v>
      </c>
      <c r="G403" s="197">
        <f>Tabla111[[#This Row],[Importe]]-Tabla111[[#This Row],[Pagado]]</f>
        <v>0</v>
      </c>
      <c r="H403" s="153" t="s">
        <v>10</v>
      </c>
    </row>
    <row r="404" spans="1:8" x14ac:dyDescent="0.25">
      <c r="A404" s="73">
        <v>44838</v>
      </c>
      <c r="B404" s="74" t="s">
        <v>31967</v>
      </c>
      <c r="C404" s="75" t="s">
        <v>414</v>
      </c>
      <c r="D404" s="81">
        <v>1200</v>
      </c>
      <c r="E404" s="230">
        <v>44838</v>
      </c>
      <c r="F404" s="81">
        <v>1200</v>
      </c>
      <c r="G404" s="197">
        <f>Tabla111[[#This Row],[Importe]]-Tabla111[[#This Row],[Pagado]]</f>
        <v>0</v>
      </c>
      <c r="H404" s="75" t="s">
        <v>10</v>
      </c>
    </row>
    <row r="405" spans="1:8" x14ac:dyDescent="0.25">
      <c r="A405" s="148">
        <v>44838</v>
      </c>
      <c r="B405" s="149" t="s">
        <v>31968</v>
      </c>
      <c r="C405" s="153" t="s">
        <v>473</v>
      </c>
      <c r="D405" s="154">
        <v>3175.2</v>
      </c>
      <c r="E405" s="231">
        <v>44838</v>
      </c>
      <c r="F405" s="154">
        <v>3175.2</v>
      </c>
      <c r="G405" s="197">
        <f>Tabla111[[#This Row],[Importe]]-Tabla111[[#This Row],[Pagado]]</f>
        <v>0</v>
      </c>
      <c r="H405" s="153" t="s">
        <v>10</v>
      </c>
    </row>
    <row r="406" spans="1:8" x14ac:dyDescent="0.25">
      <c r="A406" s="73">
        <v>44838</v>
      </c>
      <c r="B406" s="74" t="s">
        <v>31969</v>
      </c>
      <c r="C406" s="75" t="s">
        <v>966</v>
      </c>
      <c r="D406" s="81">
        <v>2749.4</v>
      </c>
      <c r="E406" s="230">
        <v>44838</v>
      </c>
      <c r="F406" s="81">
        <v>2749.4</v>
      </c>
      <c r="G406" s="197">
        <f>Tabla111[[#This Row],[Importe]]-Tabla111[[#This Row],[Pagado]]</f>
        <v>0</v>
      </c>
      <c r="H406" s="75" t="s">
        <v>10</v>
      </c>
    </row>
    <row r="407" spans="1:8" x14ac:dyDescent="0.25">
      <c r="A407" s="148">
        <v>44838</v>
      </c>
      <c r="B407" s="149" t="s">
        <v>31970</v>
      </c>
      <c r="C407" s="153" t="s">
        <v>31</v>
      </c>
      <c r="D407" s="154">
        <v>136</v>
      </c>
      <c r="E407" s="231">
        <v>44838</v>
      </c>
      <c r="F407" s="154">
        <v>136</v>
      </c>
      <c r="G407" s="197">
        <f>Tabla111[[#This Row],[Importe]]-Tabla111[[#This Row],[Pagado]]</f>
        <v>0</v>
      </c>
      <c r="H407" s="153" t="s">
        <v>10</v>
      </c>
    </row>
    <row r="408" spans="1:8" x14ac:dyDescent="0.25">
      <c r="A408" s="73">
        <v>44838</v>
      </c>
      <c r="B408" s="74" t="s">
        <v>31971</v>
      </c>
      <c r="C408" s="75" t="s">
        <v>67</v>
      </c>
      <c r="D408" s="81">
        <v>1920</v>
      </c>
      <c r="E408" s="230">
        <v>44838</v>
      </c>
      <c r="F408" s="81">
        <v>1920</v>
      </c>
      <c r="G408" s="197">
        <f>Tabla111[[#This Row],[Importe]]-Tabla111[[#This Row],[Pagado]]</f>
        <v>0</v>
      </c>
      <c r="H408" s="75" t="s">
        <v>10</v>
      </c>
    </row>
    <row r="409" spans="1:8" x14ac:dyDescent="0.25">
      <c r="A409" s="148">
        <v>44838</v>
      </c>
      <c r="B409" s="149" t="s">
        <v>31972</v>
      </c>
      <c r="C409" s="153" t="s">
        <v>21812</v>
      </c>
      <c r="D409" s="154">
        <v>8154.4</v>
      </c>
      <c r="E409" s="231">
        <v>44838</v>
      </c>
      <c r="F409" s="154">
        <v>8154.4</v>
      </c>
      <c r="G409" s="197">
        <f>Tabla111[[#This Row],[Importe]]-Tabla111[[#This Row],[Pagado]]</f>
        <v>0</v>
      </c>
      <c r="H409" s="153" t="s">
        <v>10</v>
      </c>
    </row>
    <row r="410" spans="1:8" x14ac:dyDescent="0.25">
      <c r="A410" s="73">
        <v>44838</v>
      </c>
      <c r="B410" s="74" t="s">
        <v>31973</v>
      </c>
      <c r="C410" s="75" t="s">
        <v>681</v>
      </c>
      <c r="D410" s="81">
        <v>2.15</v>
      </c>
      <c r="E410" s="230">
        <v>44845</v>
      </c>
      <c r="F410" s="81">
        <v>2.15</v>
      </c>
      <c r="G410" s="197">
        <f>Tabla111[[#This Row],[Importe]]-Tabla111[[#This Row],[Pagado]]</f>
        <v>0</v>
      </c>
      <c r="H410" s="75" t="s">
        <v>10</v>
      </c>
    </row>
    <row r="411" spans="1:8" x14ac:dyDescent="0.25">
      <c r="A411" s="148">
        <v>44838</v>
      </c>
      <c r="B411" s="149" t="s">
        <v>31974</v>
      </c>
      <c r="C411" s="153" t="s">
        <v>612</v>
      </c>
      <c r="D411" s="154">
        <v>870</v>
      </c>
      <c r="E411" s="231">
        <v>44838</v>
      </c>
      <c r="F411" s="154">
        <v>870</v>
      </c>
      <c r="G411" s="197">
        <f>Tabla111[[#This Row],[Importe]]-Tabla111[[#This Row],[Pagado]]</f>
        <v>0</v>
      </c>
      <c r="H411" s="153" t="s">
        <v>10</v>
      </c>
    </row>
    <row r="412" spans="1:8" x14ac:dyDescent="0.25">
      <c r="A412" s="73">
        <v>44838</v>
      </c>
      <c r="B412" s="74" t="s">
        <v>31975</v>
      </c>
      <c r="C412" s="75" t="s">
        <v>612</v>
      </c>
      <c r="D412" s="81">
        <v>34</v>
      </c>
      <c r="E412" s="230">
        <v>44838</v>
      </c>
      <c r="F412" s="81">
        <v>34</v>
      </c>
      <c r="G412" s="197">
        <f>Tabla111[[#This Row],[Importe]]-Tabla111[[#This Row],[Pagado]]</f>
        <v>0</v>
      </c>
      <c r="H412" s="75" t="s">
        <v>10</v>
      </c>
    </row>
    <row r="413" spans="1:8" x14ac:dyDescent="0.25">
      <c r="A413" s="148">
        <v>44838</v>
      </c>
      <c r="B413" s="149" t="s">
        <v>31976</v>
      </c>
      <c r="C413" s="153" t="s">
        <v>670</v>
      </c>
      <c r="D413" s="154">
        <v>4297.5</v>
      </c>
      <c r="E413" s="231">
        <v>44838</v>
      </c>
      <c r="F413" s="154">
        <v>4297.5</v>
      </c>
      <c r="G413" s="197">
        <f>Tabla111[[#This Row],[Importe]]-Tabla111[[#This Row],[Pagado]]</f>
        <v>0</v>
      </c>
      <c r="H413" s="153" t="s">
        <v>10</v>
      </c>
    </row>
    <row r="414" spans="1:8" x14ac:dyDescent="0.25">
      <c r="A414" s="73">
        <v>44838</v>
      </c>
      <c r="B414" s="74" t="s">
        <v>31977</v>
      </c>
      <c r="C414" s="75" t="s">
        <v>12</v>
      </c>
      <c r="D414" s="81">
        <v>3780</v>
      </c>
      <c r="E414" s="230">
        <v>44840</v>
      </c>
      <c r="F414" s="81">
        <v>3780</v>
      </c>
      <c r="G414" s="197">
        <f>Tabla111[[#This Row],[Importe]]-Tabla111[[#This Row],[Pagado]]</f>
        <v>0</v>
      </c>
      <c r="H414" s="75" t="s">
        <v>10</v>
      </c>
    </row>
    <row r="415" spans="1:8" x14ac:dyDescent="0.25">
      <c r="A415" s="148">
        <v>44838</v>
      </c>
      <c r="B415" s="149" t="s">
        <v>31978</v>
      </c>
      <c r="C415" s="153" t="s">
        <v>107</v>
      </c>
      <c r="D415" s="154">
        <v>17530.900000000001</v>
      </c>
      <c r="E415" s="231">
        <v>44838</v>
      </c>
      <c r="F415" s="154">
        <v>17530.900000000001</v>
      </c>
      <c r="G415" s="197">
        <f>Tabla111[[#This Row],[Importe]]-Tabla111[[#This Row],[Pagado]]</f>
        <v>0</v>
      </c>
      <c r="H415" s="153" t="s">
        <v>10</v>
      </c>
    </row>
    <row r="416" spans="1:8" x14ac:dyDescent="0.25">
      <c r="A416" s="73">
        <v>44838</v>
      </c>
      <c r="B416" s="74" t="s">
        <v>31979</v>
      </c>
      <c r="C416" s="75" t="s">
        <v>452</v>
      </c>
      <c r="D416" s="81">
        <v>3868.4</v>
      </c>
      <c r="E416" s="230">
        <v>44838</v>
      </c>
      <c r="F416" s="81">
        <v>3868.4</v>
      </c>
      <c r="G416" s="197">
        <f>Tabla111[[#This Row],[Importe]]-Tabla111[[#This Row],[Pagado]]</f>
        <v>0</v>
      </c>
      <c r="H416" s="75" t="s">
        <v>10</v>
      </c>
    </row>
    <row r="417" spans="1:8" x14ac:dyDescent="0.25">
      <c r="A417" s="148">
        <v>44838</v>
      </c>
      <c r="B417" s="149" t="s">
        <v>31980</v>
      </c>
      <c r="C417" s="153" t="s">
        <v>296</v>
      </c>
      <c r="D417" s="154">
        <v>4236.2</v>
      </c>
      <c r="E417" s="231">
        <v>44838</v>
      </c>
      <c r="F417" s="154">
        <v>4236.2</v>
      </c>
      <c r="G417" s="197">
        <f>Tabla111[[#This Row],[Importe]]-Tabla111[[#This Row],[Pagado]]</f>
        <v>0</v>
      </c>
      <c r="H417" s="153" t="s">
        <v>10</v>
      </c>
    </row>
    <row r="418" spans="1:8" x14ac:dyDescent="0.25">
      <c r="A418" s="73">
        <v>44838</v>
      </c>
      <c r="B418" s="74" t="s">
        <v>31981</v>
      </c>
      <c r="C418" s="75" t="s">
        <v>333</v>
      </c>
      <c r="D418" s="81">
        <v>1338.5</v>
      </c>
      <c r="E418" s="230">
        <v>44838</v>
      </c>
      <c r="F418" s="81">
        <v>1338.5</v>
      </c>
      <c r="G418" s="197">
        <f>Tabla111[[#This Row],[Importe]]-Tabla111[[#This Row],[Pagado]]</f>
        <v>0</v>
      </c>
      <c r="H418" s="75" t="s">
        <v>10</v>
      </c>
    </row>
    <row r="419" spans="1:8" x14ac:dyDescent="0.25">
      <c r="A419" s="148">
        <v>44838</v>
      </c>
      <c r="B419" s="149" t="s">
        <v>31982</v>
      </c>
      <c r="C419" s="153" t="s">
        <v>31983</v>
      </c>
      <c r="D419" s="154">
        <v>0</v>
      </c>
      <c r="E419" s="233" t="s">
        <v>189</v>
      </c>
      <c r="F419" s="154">
        <v>0</v>
      </c>
      <c r="G419" s="197">
        <f>Tabla111[[#This Row],[Importe]]-Tabla111[[#This Row],[Pagado]]</f>
        <v>0</v>
      </c>
      <c r="H419" s="159" t="s">
        <v>31984</v>
      </c>
    </row>
    <row r="420" spans="1:8" x14ac:dyDescent="0.25">
      <c r="A420" s="73">
        <v>44838</v>
      </c>
      <c r="B420" s="74" t="s">
        <v>31985</v>
      </c>
      <c r="C420" s="75" t="s">
        <v>1362</v>
      </c>
      <c r="D420" s="81">
        <v>5986</v>
      </c>
      <c r="E420" s="230">
        <v>44838</v>
      </c>
      <c r="F420" s="81">
        <v>5986</v>
      </c>
      <c r="G420" s="197">
        <f>Tabla111[[#This Row],[Importe]]-Tabla111[[#This Row],[Pagado]]</f>
        <v>0</v>
      </c>
      <c r="H420" s="75" t="s">
        <v>10</v>
      </c>
    </row>
    <row r="421" spans="1:8" x14ac:dyDescent="0.25">
      <c r="A421" s="148">
        <v>44838</v>
      </c>
      <c r="B421" s="149" t="s">
        <v>31986</v>
      </c>
      <c r="C421" s="153" t="s">
        <v>214</v>
      </c>
      <c r="D421" s="154">
        <v>763</v>
      </c>
      <c r="E421" s="231">
        <v>44838</v>
      </c>
      <c r="F421" s="154">
        <v>763</v>
      </c>
      <c r="G421" s="197">
        <f>Tabla111[[#This Row],[Importe]]-Tabla111[[#This Row],[Pagado]]</f>
        <v>0</v>
      </c>
      <c r="H421" s="153" t="s">
        <v>10</v>
      </c>
    </row>
    <row r="422" spans="1:8" x14ac:dyDescent="0.25">
      <c r="A422" s="73">
        <v>44838</v>
      </c>
      <c r="B422" s="74" t="s">
        <v>31987</v>
      </c>
      <c r="C422" s="75" t="s">
        <v>31988</v>
      </c>
      <c r="D422" s="81">
        <v>0</v>
      </c>
      <c r="E422" s="232" t="s">
        <v>189</v>
      </c>
      <c r="F422" s="81">
        <v>0</v>
      </c>
      <c r="G422" s="197">
        <f>Tabla111[[#This Row],[Importe]]-Tabla111[[#This Row],[Pagado]]</f>
        <v>0</v>
      </c>
      <c r="H422" s="161" t="s">
        <v>31989</v>
      </c>
    </row>
    <row r="423" spans="1:8" x14ac:dyDescent="0.25">
      <c r="A423" s="148">
        <v>44838</v>
      </c>
      <c r="B423" s="149" t="s">
        <v>31990</v>
      </c>
      <c r="C423" s="153" t="s">
        <v>9</v>
      </c>
      <c r="D423" s="154">
        <v>2288</v>
      </c>
      <c r="E423" s="231">
        <v>44838</v>
      </c>
      <c r="F423" s="154">
        <v>2288</v>
      </c>
      <c r="G423" s="197">
        <f>Tabla111[[#This Row],[Importe]]-Tabla111[[#This Row],[Pagado]]</f>
        <v>0</v>
      </c>
      <c r="H423" s="153" t="s">
        <v>10</v>
      </c>
    </row>
    <row r="424" spans="1:8" x14ac:dyDescent="0.25">
      <c r="A424" s="73">
        <v>44838</v>
      </c>
      <c r="B424" s="74" t="s">
        <v>31991</v>
      </c>
      <c r="C424" s="75" t="s">
        <v>450</v>
      </c>
      <c r="D424" s="81">
        <v>7911.6</v>
      </c>
      <c r="E424" s="230">
        <v>44838</v>
      </c>
      <c r="F424" s="81">
        <v>7911.6</v>
      </c>
      <c r="G424" s="197">
        <f>Tabla111[[#This Row],[Importe]]-Tabla111[[#This Row],[Pagado]]</f>
        <v>0</v>
      </c>
      <c r="H424" s="75" t="s">
        <v>10</v>
      </c>
    </row>
    <row r="425" spans="1:8" x14ac:dyDescent="0.25">
      <c r="A425" s="148">
        <v>44838</v>
      </c>
      <c r="B425" s="149" t="s">
        <v>31992</v>
      </c>
      <c r="C425" s="153" t="s">
        <v>450</v>
      </c>
      <c r="D425" s="154">
        <v>6714.4</v>
      </c>
      <c r="E425" s="231">
        <v>44838</v>
      </c>
      <c r="F425" s="154">
        <v>6714.4</v>
      </c>
      <c r="G425" s="197">
        <f>Tabla111[[#This Row],[Importe]]-Tabla111[[#This Row],[Pagado]]</f>
        <v>0</v>
      </c>
      <c r="H425" s="153" t="s">
        <v>10</v>
      </c>
    </row>
    <row r="426" spans="1:8" x14ac:dyDescent="0.25">
      <c r="A426" s="73">
        <v>44838</v>
      </c>
      <c r="B426" s="74" t="s">
        <v>31993</v>
      </c>
      <c r="C426" s="75" t="s">
        <v>10678</v>
      </c>
      <c r="D426" s="81">
        <v>2708.5</v>
      </c>
      <c r="E426" s="230">
        <v>44838</v>
      </c>
      <c r="F426" s="81">
        <v>2708.5</v>
      </c>
      <c r="G426" s="197">
        <f>Tabla111[[#This Row],[Importe]]-Tabla111[[#This Row],[Pagado]]</f>
        <v>0</v>
      </c>
      <c r="H426" s="75" t="s">
        <v>10</v>
      </c>
    </row>
    <row r="427" spans="1:8" x14ac:dyDescent="0.25">
      <c r="A427" s="148">
        <v>44838</v>
      </c>
      <c r="B427" s="149" t="s">
        <v>31994</v>
      </c>
      <c r="C427" s="153" t="s">
        <v>53</v>
      </c>
      <c r="D427" s="154">
        <v>2944</v>
      </c>
      <c r="E427" s="231">
        <v>44838</v>
      </c>
      <c r="F427" s="154">
        <v>2944</v>
      </c>
      <c r="G427" s="197">
        <f>Tabla111[[#This Row],[Importe]]-Tabla111[[#This Row],[Pagado]]</f>
        <v>0</v>
      </c>
      <c r="H427" s="153" t="s">
        <v>10</v>
      </c>
    </row>
    <row r="428" spans="1:8" x14ac:dyDescent="0.25">
      <c r="A428" s="73">
        <v>44838</v>
      </c>
      <c r="B428" s="74" t="s">
        <v>31995</v>
      </c>
      <c r="C428" s="75" t="s">
        <v>31</v>
      </c>
      <c r="D428" s="81">
        <v>5877</v>
      </c>
      <c r="E428" s="230">
        <v>44838</v>
      </c>
      <c r="F428" s="81">
        <v>5877</v>
      </c>
      <c r="G428" s="197">
        <f>Tabla111[[#This Row],[Importe]]-Tabla111[[#This Row],[Pagado]]</f>
        <v>0</v>
      </c>
      <c r="H428" s="75" t="s">
        <v>10</v>
      </c>
    </row>
    <row r="429" spans="1:8" x14ac:dyDescent="0.25">
      <c r="A429" s="148">
        <v>44838</v>
      </c>
      <c r="B429" s="149" t="s">
        <v>31996</v>
      </c>
      <c r="C429" s="153" t="s">
        <v>193</v>
      </c>
      <c r="D429" s="154">
        <v>18000</v>
      </c>
      <c r="E429" s="231">
        <v>44838</v>
      </c>
      <c r="F429" s="154">
        <v>18000</v>
      </c>
      <c r="G429" s="197">
        <f>Tabla111[[#This Row],[Importe]]-Tabla111[[#This Row],[Pagado]]</f>
        <v>0</v>
      </c>
      <c r="H429" s="153" t="s">
        <v>10</v>
      </c>
    </row>
    <row r="430" spans="1:8" x14ac:dyDescent="0.25">
      <c r="A430" s="73">
        <v>44838</v>
      </c>
      <c r="B430" s="74" t="s">
        <v>31997</v>
      </c>
      <c r="C430" s="75" t="s">
        <v>167</v>
      </c>
      <c r="D430" s="81">
        <v>113314.6</v>
      </c>
      <c r="E430" s="230">
        <v>44838</v>
      </c>
      <c r="F430" s="81">
        <v>113314.6</v>
      </c>
      <c r="G430" s="197">
        <f>Tabla111[[#This Row],[Importe]]-Tabla111[[#This Row],[Pagado]]</f>
        <v>0</v>
      </c>
      <c r="H430" s="75" t="s">
        <v>10</v>
      </c>
    </row>
    <row r="431" spans="1:8" x14ac:dyDescent="0.25">
      <c r="A431" s="148">
        <v>44838</v>
      </c>
      <c r="B431" s="149" t="s">
        <v>31998</v>
      </c>
      <c r="C431" s="153" t="s">
        <v>142</v>
      </c>
      <c r="D431" s="154">
        <v>56205.15</v>
      </c>
      <c r="E431" s="231">
        <v>44876</v>
      </c>
      <c r="F431" s="154">
        <v>56205.15</v>
      </c>
      <c r="G431" s="197">
        <f>Tabla111[[#This Row],[Importe]]-Tabla111[[#This Row],[Pagado]]</f>
        <v>0</v>
      </c>
      <c r="H431" s="153" t="s">
        <v>10</v>
      </c>
    </row>
    <row r="432" spans="1:8" x14ac:dyDescent="0.25">
      <c r="A432" s="73">
        <v>44838</v>
      </c>
      <c r="B432" s="74" t="s">
        <v>31999</v>
      </c>
      <c r="C432" s="75" t="s">
        <v>28087</v>
      </c>
      <c r="D432" s="81">
        <v>57098.400000000001</v>
      </c>
      <c r="E432" s="230">
        <v>44842</v>
      </c>
      <c r="F432" s="81">
        <v>57098.400000000001</v>
      </c>
      <c r="G432" s="197">
        <f>Tabla111[[#This Row],[Importe]]-Tabla111[[#This Row],[Pagado]]</f>
        <v>0</v>
      </c>
      <c r="H432" s="75" t="s">
        <v>10</v>
      </c>
    </row>
    <row r="433" spans="1:8" x14ac:dyDescent="0.25">
      <c r="A433" s="148">
        <v>44838</v>
      </c>
      <c r="B433" s="149" t="s">
        <v>32000</v>
      </c>
      <c r="C433" s="153" t="s">
        <v>5694</v>
      </c>
      <c r="D433" s="154">
        <v>7327.2</v>
      </c>
      <c r="E433" s="231">
        <v>44838</v>
      </c>
      <c r="F433" s="154">
        <v>7327.2</v>
      </c>
      <c r="G433" s="197">
        <f>Tabla111[[#This Row],[Importe]]-Tabla111[[#This Row],[Pagado]]</f>
        <v>0</v>
      </c>
      <c r="H433" s="153" t="s">
        <v>10</v>
      </c>
    </row>
    <row r="434" spans="1:8" x14ac:dyDescent="0.25">
      <c r="A434" s="73">
        <v>44838</v>
      </c>
      <c r="B434" s="74" t="s">
        <v>32001</v>
      </c>
      <c r="C434" s="75" t="s">
        <v>296</v>
      </c>
      <c r="D434" s="81">
        <v>3205.8</v>
      </c>
      <c r="E434" s="230">
        <v>44838</v>
      </c>
      <c r="F434" s="81">
        <v>3205.8</v>
      </c>
      <c r="G434" s="197">
        <f>Tabla111[[#This Row],[Importe]]-Tabla111[[#This Row],[Pagado]]</f>
        <v>0</v>
      </c>
      <c r="H434" s="75" t="s">
        <v>10</v>
      </c>
    </row>
    <row r="435" spans="1:8" x14ac:dyDescent="0.25">
      <c r="A435" s="148">
        <v>44838</v>
      </c>
      <c r="B435" s="149" t="s">
        <v>32002</v>
      </c>
      <c r="C435" s="153" t="s">
        <v>5694</v>
      </c>
      <c r="D435" s="154">
        <v>356.4</v>
      </c>
      <c r="E435" s="231">
        <v>44838</v>
      </c>
      <c r="F435" s="154">
        <v>356.4</v>
      </c>
      <c r="G435" s="197">
        <f>Tabla111[[#This Row],[Importe]]-Tabla111[[#This Row],[Pagado]]</f>
        <v>0</v>
      </c>
      <c r="H435" s="153" t="s">
        <v>10</v>
      </c>
    </row>
    <row r="436" spans="1:8" x14ac:dyDescent="0.25">
      <c r="A436" s="73">
        <v>44838</v>
      </c>
      <c r="B436" s="74" t="s">
        <v>32003</v>
      </c>
      <c r="C436" s="75" t="s">
        <v>30416</v>
      </c>
      <c r="D436" s="81">
        <v>5992</v>
      </c>
      <c r="E436" s="230">
        <v>44838</v>
      </c>
      <c r="F436" s="81">
        <v>5992</v>
      </c>
      <c r="G436" s="197">
        <f>Tabla111[[#This Row],[Importe]]-Tabla111[[#This Row],[Pagado]]</f>
        <v>0</v>
      </c>
      <c r="H436" s="75" t="s">
        <v>10</v>
      </c>
    </row>
    <row r="437" spans="1:8" x14ac:dyDescent="0.25">
      <c r="A437" s="148">
        <v>44838</v>
      </c>
      <c r="B437" s="149" t="s">
        <v>32004</v>
      </c>
      <c r="C437" s="153" t="s">
        <v>2020</v>
      </c>
      <c r="D437" s="154">
        <v>325</v>
      </c>
      <c r="E437" s="231">
        <v>44838</v>
      </c>
      <c r="F437" s="154">
        <v>325</v>
      </c>
      <c r="G437" s="197">
        <f>Tabla111[[#This Row],[Importe]]-Tabla111[[#This Row],[Pagado]]</f>
        <v>0</v>
      </c>
      <c r="H437" s="153" t="s">
        <v>10</v>
      </c>
    </row>
    <row r="438" spans="1:8" x14ac:dyDescent="0.25">
      <c r="A438" s="73">
        <v>44838</v>
      </c>
      <c r="B438" s="74" t="s">
        <v>32005</v>
      </c>
      <c r="C438" s="75" t="s">
        <v>433</v>
      </c>
      <c r="D438" s="81">
        <v>22500</v>
      </c>
      <c r="E438" s="230">
        <v>44838</v>
      </c>
      <c r="F438" s="81">
        <v>22500</v>
      </c>
      <c r="G438" s="197">
        <f>Tabla111[[#This Row],[Importe]]-Tabla111[[#This Row],[Pagado]]</f>
        <v>0</v>
      </c>
      <c r="H438" s="75" t="s">
        <v>10</v>
      </c>
    </row>
    <row r="439" spans="1:8" x14ac:dyDescent="0.25">
      <c r="A439" s="148">
        <v>44838</v>
      </c>
      <c r="B439" s="149" t="s">
        <v>32006</v>
      </c>
      <c r="C439" s="153" t="s">
        <v>10190</v>
      </c>
      <c r="D439" s="154">
        <v>21402</v>
      </c>
      <c r="E439" s="231">
        <v>44839</v>
      </c>
      <c r="F439" s="154">
        <v>21402</v>
      </c>
      <c r="G439" s="197">
        <f>Tabla111[[#This Row],[Importe]]-Tabla111[[#This Row],[Pagado]]</f>
        <v>0</v>
      </c>
      <c r="H439" s="153" t="s">
        <v>10</v>
      </c>
    </row>
    <row r="440" spans="1:8" x14ac:dyDescent="0.25">
      <c r="A440" s="73">
        <v>44838</v>
      </c>
      <c r="B440" s="74" t="s">
        <v>32007</v>
      </c>
      <c r="C440" s="75" t="s">
        <v>291</v>
      </c>
      <c r="D440" s="81">
        <v>754.4</v>
      </c>
      <c r="E440" s="230">
        <v>44839</v>
      </c>
      <c r="F440" s="81">
        <v>754.4</v>
      </c>
      <c r="G440" s="197">
        <f>Tabla111[[#This Row],[Importe]]-Tabla111[[#This Row],[Pagado]]</f>
        <v>0</v>
      </c>
      <c r="H440" s="75" t="s">
        <v>10</v>
      </c>
    </row>
    <row r="441" spans="1:8" x14ac:dyDescent="0.25">
      <c r="A441" s="148">
        <v>44839</v>
      </c>
      <c r="B441" s="149" t="s">
        <v>32008</v>
      </c>
      <c r="C441" s="153" t="s">
        <v>887</v>
      </c>
      <c r="D441" s="154">
        <v>15235.8</v>
      </c>
      <c r="E441" s="231">
        <v>44839</v>
      </c>
      <c r="F441" s="154">
        <v>15235.8</v>
      </c>
      <c r="G441" s="197">
        <f>Tabla111[[#This Row],[Importe]]-Tabla111[[#This Row],[Pagado]]</f>
        <v>0</v>
      </c>
      <c r="H441" s="153" t="s">
        <v>10</v>
      </c>
    </row>
    <row r="442" spans="1:8" x14ac:dyDescent="0.25">
      <c r="A442" s="73">
        <v>44839</v>
      </c>
      <c r="B442" s="74" t="s">
        <v>32009</v>
      </c>
      <c r="C442" s="75" t="s">
        <v>475</v>
      </c>
      <c r="D442" s="81">
        <v>98825.600000000006</v>
      </c>
      <c r="E442" s="230" t="s">
        <v>32010</v>
      </c>
      <c r="F442" s="81">
        <f>66000+32825.6</f>
        <v>98825.600000000006</v>
      </c>
      <c r="G442" s="197">
        <f>Tabla111[[#This Row],[Importe]]-Tabla111[[#This Row],[Pagado]]</f>
        <v>0</v>
      </c>
      <c r="H442" s="75" t="s">
        <v>10</v>
      </c>
    </row>
    <row r="443" spans="1:8" x14ac:dyDescent="0.25">
      <c r="A443" s="148">
        <v>44839</v>
      </c>
      <c r="B443" s="149" t="s">
        <v>32011</v>
      </c>
      <c r="C443" s="153" t="s">
        <v>473</v>
      </c>
      <c r="D443" s="154">
        <v>3976.6</v>
      </c>
      <c r="E443" s="231">
        <v>44839</v>
      </c>
      <c r="F443" s="154">
        <v>3976.6</v>
      </c>
      <c r="G443" s="197">
        <f>Tabla111[[#This Row],[Importe]]-Tabla111[[#This Row],[Pagado]]</f>
        <v>0</v>
      </c>
      <c r="H443" s="153" t="s">
        <v>10</v>
      </c>
    </row>
    <row r="444" spans="1:8" x14ac:dyDescent="0.25">
      <c r="A444" s="73">
        <v>44839</v>
      </c>
      <c r="B444" s="74" t="s">
        <v>32012</v>
      </c>
      <c r="C444" s="75" t="s">
        <v>407</v>
      </c>
      <c r="D444" s="81">
        <v>2415.6</v>
      </c>
      <c r="E444" s="230">
        <v>44865</v>
      </c>
      <c r="F444" s="81">
        <v>2415.6</v>
      </c>
      <c r="G444" s="197">
        <f>Tabla111[[#This Row],[Importe]]-Tabla111[[#This Row],[Pagado]]</f>
        <v>0</v>
      </c>
      <c r="H444" s="75" t="s">
        <v>10</v>
      </c>
    </row>
    <row r="445" spans="1:8" x14ac:dyDescent="0.25">
      <c r="A445" s="148">
        <v>44839</v>
      </c>
      <c r="B445" s="149" t="s">
        <v>32013</v>
      </c>
      <c r="C445" s="153" t="s">
        <v>64</v>
      </c>
      <c r="D445" s="154">
        <v>5421</v>
      </c>
      <c r="E445" s="231">
        <v>44841</v>
      </c>
      <c r="F445" s="154">
        <v>5421</v>
      </c>
      <c r="G445" s="197">
        <f>Tabla111[[#This Row],[Importe]]-Tabla111[[#This Row],[Pagado]]</f>
        <v>0</v>
      </c>
      <c r="H445" s="153" t="s">
        <v>10</v>
      </c>
    </row>
    <row r="446" spans="1:8" x14ac:dyDescent="0.25">
      <c r="A446" s="73">
        <v>44839</v>
      </c>
      <c r="B446" s="74" t="s">
        <v>32014</v>
      </c>
      <c r="C446" s="75" t="s">
        <v>39</v>
      </c>
      <c r="D446" s="81">
        <v>12494.5</v>
      </c>
      <c r="E446" s="230">
        <v>44840</v>
      </c>
      <c r="F446" s="81">
        <v>12494.5</v>
      </c>
      <c r="G446" s="197">
        <f>Tabla111[[#This Row],[Importe]]-Tabla111[[#This Row],[Pagado]]</f>
        <v>0</v>
      </c>
      <c r="H446" s="75" t="s">
        <v>10</v>
      </c>
    </row>
    <row r="447" spans="1:8" x14ac:dyDescent="0.25">
      <c r="A447" s="148">
        <v>44839</v>
      </c>
      <c r="B447" s="149" t="s">
        <v>32015</v>
      </c>
      <c r="C447" s="153" t="s">
        <v>481</v>
      </c>
      <c r="D447" s="154">
        <v>647.79999999999995</v>
      </c>
      <c r="E447" s="231">
        <v>44839</v>
      </c>
      <c r="F447" s="154">
        <v>647.79999999999995</v>
      </c>
      <c r="G447" s="197">
        <f>Tabla111[[#This Row],[Importe]]-Tabla111[[#This Row],[Pagado]]</f>
        <v>0</v>
      </c>
      <c r="H447" s="153" t="s">
        <v>10</v>
      </c>
    </row>
    <row r="448" spans="1:8" x14ac:dyDescent="0.25">
      <c r="A448" s="73">
        <v>44839</v>
      </c>
      <c r="B448" s="74" t="s">
        <v>32016</v>
      </c>
      <c r="C448" s="75" t="s">
        <v>89</v>
      </c>
      <c r="D448" s="81">
        <v>9139.1</v>
      </c>
      <c r="E448" s="230">
        <v>44840</v>
      </c>
      <c r="F448" s="81">
        <v>9139.1</v>
      </c>
      <c r="G448" s="197">
        <f>Tabla111[[#This Row],[Importe]]-Tabla111[[#This Row],[Pagado]]</f>
        <v>0</v>
      </c>
      <c r="H448" s="75" t="s">
        <v>10</v>
      </c>
    </row>
    <row r="449" spans="1:8" x14ac:dyDescent="0.25">
      <c r="A449" s="148">
        <v>44839</v>
      </c>
      <c r="B449" s="149" t="s">
        <v>32017</v>
      </c>
      <c r="C449" s="153" t="s">
        <v>918</v>
      </c>
      <c r="D449" s="154">
        <v>2019.6</v>
      </c>
      <c r="E449" s="231">
        <v>44839</v>
      </c>
      <c r="F449" s="154">
        <v>2019.6</v>
      </c>
      <c r="G449" s="197">
        <f>Tabla111[[#This Row],[Importe]]-Tabla111[[#This Row],[Pagado]]</f>
        <v>0</v>
      </c>
      <c r="H449" s="153" t="s">
        <v>10</v>
      </c>
    </row>
    <row r="450" spans="1:8" x14ac:dyDescent="0.25">
      <c r="A450" s="73">
        <v>44839</v>
      </c>
      <c r="B450" s="74" t="s">
        <v>32018</v>
      </c>
      <c r="C450" s="75" t="s">
        <v>326</v>
      </c>
      <c r="D450" s="81">
        <v>5862.5</v>
      </c>
      <c r="E450" s="230">
        <v>44840</v>
      </c>
      <c r="F450" s="81">
        <v>5862.5</v>
      </c>
      <c r="G450" s="197">
        <f>Tabla111[[#This Row],[Importe]]-Tabla111[[#This Row],[Pagado]]</f>
        <v>0</v>
      </c>
      <c r="H450" s="75" t="s">
        <v>10</v>
      </c>
    </row>
    <row r="451" spans="1:8" x14ac:dyDescent="0.25">
      <c r="A451" s="148">
        <v>44839</v>
      </c>
      <c r="B451" s="149" t="s">
        <v>32019</v>
      </c>
      <c r="C451" s="153" t="s">
        <v>114</v>
      </c>
      <c r="D451" s="154">
        <v>10250.5</v>
      </c>
      <c r="E451" s="231">
        <v>44840</v>
      </c>
      <c r="F451" s="154">
        <v>10250.5</v>
      </c>
      <c r="G451" s="197">
        <f>Tabla111[[#This Row],[Importe]]-Tabla111[[#This Row],[Pagado]]</f>
        <v>0</v>
      </c>
      <c r="H451" s="153" t="s">
        <v>10</v>
      </c>
    </row>
    <row r="452" spans="1:8" x14ac:dyDescent="0.25">
      <c r="A452" s="73">
        <v>44839</v>
      </c>
      <c r="B452" s="74" t="s">
        <v>32020</v>
      </c>
      <c r="C452" s="75" t="s">
        <v>1187</v>
      </c>
      <c r="D452" s="81">
        <v>2774.6</v>
      </c>
      <c r="E452" s="230">
        <v>44839</v>
      </c>
      <c r="F452" s="81">
        <v>2774.6</v>
      </c>
      <c r="G452" s="197">
        <f>Tabla111[[#This Row],[Importe]]-Tabla111[[#This Row],[Pagado]]</f>
        <v>0</v>
      </c>
      <c r="H452" s="75" t="s">
        <v>10</v>
      </c>
    </row>
    <row r="453" spans="1:8" x14ac:dyDescent="0.25">
      <c r="A453" s="148">
        <v>44839</v>
      </c>
      <c r="B453" s="149" t="s">
        <v>32021</v>
      </c>
      <c r="C453" s="153" t="s">
        <v>111</v>
      </c>
      <c r="D453" s="154">
        <v>6883.5</v>
      </c>
      <c r="E453" s="231">
        <v>44841</v>
      </c>
      <c r="F453" s="154">
        <v>6883.5</v>
      </c>
      <c r="G453" s="197">
        <f>Tabla111[[#This Row],[Importe]]-Tabla111[[#This Row],[Pagado]]</f>
        <v>0</v>
      </c>
      <c r="H453" s="153" t="s">
        <v>10</v>
      </c>
    </row>
    <row r="454" spans="1:8" x14ac:dyDescent="0.25">
      <c r="A454" s="73">
        <v>44839</v>
      </c>
      <c r="B454" s="74" t="s">
        <v>32022</v>
      </c>
      <c r="C454" s="75" t="s">
        <v>120</v>
      </c>
      <c r="D454" s="81">
        <v>646</v>
      </c>
      <c r="E454" s="230">
        <v>44840</v>
      </c>
      <c r="F454" s="81">
        <v>646</v>
      </c>
      <c r="G454" s="197">
        <f>Tabla111[[#This Row],[Importe]]-Tabla111[[#This Row],[Pagado]]</f>
        <v>0</v>
      </c>
      <c r="H454" s="75" t="s">
        <v>10</v>
      </c>
    </row>
    <row r="455" spans="1:8" x14ac:dyDescent="0.25">
      <c r="A455" s="148">
        <v>44839</v>
      </c>
      <c r="B455" s="149" t="s">
        <v>32023</v>
      </c>
      <c r="C455" s="153" t="s">
        <v>131</v>
      </c>
      <c r="D455" s="154">
        <v>4875</v>
      </c>
      <c r="E455" s="231">
        <v>44839</v>
      </c>
      <c r="F455" s="154">
        <v>4875</v>
      </c>
      <c r="G455" s="197">
        <f>Tabla111[[#This Row],[Importe]]-Tabla111[[#This Row],[Pagado]]</f>
        <v>0</v>
      </c>
      <c r="H455" s="153" t="s">
        <v>10</v>
      </c>
    </row>
    <row r="456" spans="1:8" x14ac:dyDescent="0.25">
      <c r="A456" s="73">
        <v>44839</v>
      </c>
      <c r="B456" s="74" t="s">
        <v>32024</v>
      </c>
      <c r="C456" s="75" t="s">
        <v>345</v>
      </c>
      <c r="D456" s="81">
        <v>1813.6</v>
      </c>
      <c r="E456" s="230">
        <v>44839</v>
      </c>
      <c r="F456" s="81">
        <v>1813.6</v>
      </c>
      <c r="G456" s="197">
        <f>Tabla111[[#This Row],[Importe]]-Tabla111[[#This Row],[Pagado]]</f>
        <v>0</v>
      </c>
      <c r="H456" s="75" t="s">
        <v>10</v>
      </c>
    </row>
    <row r="457" spans="1:8" x14ac:dyDescent="0.25">
      <c r="A457" s="148">
        <v>44839</v>
      </c>
      <c r="B457" s="149" t="s">
        <v>32025</v>
      </c>
      <c r="C457" s="153" t="s">
        <v>9415</v>
      </c>
      <c r="D457" s="154">
        <v>31774.799999999999</v>
      </c>
      <c r="E457" s="231">
        <v>44840</v>
      </c>
      <c r="F457" s="154">
        <v>31774.799999999999</v>
      </c>
      <c r="G457" s="197">
        <f>Tabla111[[#This Row],[Importe]]-Tabla111[[#This Row],[Pagado]]</f>
        <v>0</v>
      </c>
      <c r="H457" s="153" t="s">
        <v>10</v>
      </c>
    </row>
    <row r="458" spans="1:8" x14ac:dyDescent="0.25">
      <c r="A458" s="73">
        <v>44839</v>
      </c>
      <c r="B458" s="74" t="s">
        <v>32026</v>
      </c>
      <c r="C458" s="75" t="s">
        <v>93</v>
      </c>
      <c r="D458" s="81">
        <v>7172.4</v>
      </c>
      <c r="E458" s="230" t="s">
        <v>31544</v>
      </c>
      <c r="F458" s="81">
        <f>4000+3172.4</f>
        <v>7172.4</v>
      </c>
      <c r="G458" s="197">
        <f>Tabla111[[#This Row],[Importe]]-Tabla111[[#This Row],[Pagado]]</f>
        <v>0</v>
      </c>
      <c r="H458" s="75" t="s">
        <v>10</v>
      </c>
    </row>
    <row r="459" spans="1:8" x14ac:dyDescent="0.25">
      <c r="A459" s="148">
        <v>44839</v>
      </c>
      <c r="B459" s="149" t="s">
        <v>32027</v>
      </c>
      <c r="C459" s="153" t="s">
        <v>75</v>
      </c>
      <c r="D459" s="154">
        <v>6240</v>
      </c>
      <c r="E459" s="231">
        <v>44839</v>
      </c>
      <c r="F459" s="154">
        <v>6240</v>
      </c>
      <c r="G459" s="197">
        <f>Tabla111[[#This Row],[Importe]]-Tabla111[[#This Row],[Pagado]]</f>
        <v>0</v>
      </c>
      <c r="H459" s="153" t="s">
        <v>10</v>
      </c>
    </row>
    <row r="460" spans="1:8" x14ac:dyDescent="0.25">
      <c r="A460" s="73">
        <v>44839</v>
      </c>
      <c r="B460" s="74" t="s">
        <v>32028</v>
      </c>
      <c r="C460" s="75" t="s">
        <v>105</v>
      </c>
      <c r="D460" s="81">
        <v>7101.2</v>
      </c>
      <c r="E460" s="230">
        <v>44840</v>
      </c>
      <c r="F460" s="81">
        <v>7101.2</v>
      </c>
      <c r="G460" s="197">
        <f>Tabla111[[#This Row],[Importe]]-Tabla111[[#This Row],[Pagado]]</f>
        <v>0</v>
      </c>
      <c r="H460" s="75" t="s">
        <v>10</v>
      </c>
    </row>
    <row r="461" spans="1:8" x14ac:dyDescent="0.25">
      <c r="A461" s="148">
        <v>44839</v>
      </c>
      <c r="B461" s="149" t="s">
        <v>32029</v>
      </c>
      <c r="C461" s="153" t="s">
        <v>30029</v>
      </c>
      <c r="D461" s="154">
        <v>7503</v>
      </c>
      <c r="E461" s="231" t="s">
        <v>31948</v>
      </c>
      <c r="F461" s="154">
        <f>4000+3503</f>
        <v>7503</v>
      </c>
      <c r="G461" s="197">
        <f>Tabla111[[#This Row],[Importe]]-Tabla111[[#This Row],[Pagado]]</f>
        <v>0</v>
      </c>
      <c r="H461" s="153" t="s">
        <v>10</v>
      </c>
    </row>
    <row r="462" spans="1:8" x14ac:dyDescent="0.25">
      <c r="A462" s="73">
        <v>44839</v>
      </c>
      <c r="B462" s="74" t="s">
        <v>32030</v>
      </c>
      <c r="C462" s="75" t="s">
        <v>24768</v>
      </c>
      <c r="D462" s="81">
        <v>5147.6000000000004</v>
      </c>
      <c r="E462" s="230">
        <v>44839</v>
      </c>
      <c r="F462" s="81">
        <v>5147.6000000000004</v>
      </c>
      <c r="G462" s="197">
        <f>Tabla111[[#This Row],[Importe]]-Tabla111[[#This Row],[Pagado]]</f>
        <v>0</v>
      </c>
      <c r="H462" s="75" t="s">
        <v>10</v>
      </c>
    </row>
    <row r="463" spans="1:8" x14ac:dyDescent="0.25">
      <c r="A463" s="148">
        <v>44839</v>
      </c>
      <c r="B463" s="149" t="s">
        <v>32031</v>
      </c>
      <c r="C463" s="153" t="s">
        <v>60</v>
      </c>
      <c r="D463" s="154">
        <v>5252</v>
      </c>
      <c r="E463" s="231">
        <v>44841</v>
      </c>
      <c r="F463" s="154">
        <v>5252</v>
      </c>
      <c r="G463" s="197">
        <f>Tabla111[[#This Row],[Importe]]-Tabla111[[#This Row],[Pagado]]</f>
        <v>0</v>
      </c>
      <c r="H463" s="153" t="s">
        <v>10</v>
      </c>
    </row>
    <row r="464" spans="1:8" x14ac:dyDescent="0.25">
      <c r="A464" s="73">
        <v>44839</v>
      </c>
      <c r="B464" s="74" t="s">
        <v>32032</v>
      </c>
      <c r="C464" s="75" t="s">
        <v>2151</v>
      </c>
      <c r="D464" s="81">
        <v>15202.3</v>
      </c>
      <c r="E464" s="230">
        <v>44839</v>
      </c>
      <c r="F464" s="81">
        <v>15202.3</v>
      </c>
      <c r="G464" s="197">
        <f>Tabla111[[#This Row],[Importe]]-Tabla111[[#This Row],[Pagado]]</f>
        <v>0</v>
      </c>
      <c r="H464" s="75" t="s">
        <v>10</v>
      </c>
    </row>
    <row r="465" spans="1:8" x14ac:dyDescent="0.25">
      <c r="A465" s="148">
        <v>44839</v>
      </c>
      <c r="B465" s="149" t="s">
        <v>32033</v>
      </c>
      <c r="C465" s="153" t="s">
        <v>97</v>
      </c>
      <c r="D465" s="154">
        <v>1695.6</v>
      </c>
      <c r="E465" s="231">
        <v>44840</v>
      </c>
      <c r="F465" s="154">
        <v>1695.6</v>
      </c>
      <c r="G465" s="197">
        <f>Tabla111[[#This Row],[Importe]]-Tabla111[[#This Row],[Pagado]]</f>
        <v>0</v>
      </c>
      <c r="H465" s="153" t="s">
        <v>10</v>
      </c>
    </row>
    <row r="466" spans="1:8" x14ac:dyDescent="0.25">
      <c r="A466" s="73">
        <v>44839</v>
      </c>
      <c r="B466" s="74" t="s">
        <v>32034</v>
      </c>
      <c r="C466" s="75" t="s">
        <v>348</v>
      </c>
      <c r="D466" s="81">
        <v>5868.7</v>
      </c>
      <c r="E466" s="230">
        <v>44839</v>
      </c>
      <c r="F466" s="81">
        <v>5868.7</v>
      </c>
      <c r="G466" s="197">
        <f>Tabla111[[#This Row],[Importe]]-Tabla111[[#This Row],[Pagado]]</f>
        <v>0</v>
      </c>
      <c r="H466" s="75" t="s">
        <v>10</v>
      </c>
    </row>
    <row r="467" spans="1:8" x14ac:dyDescent="0.25">
      <c r="A467" s="148">
        <v>44839</v>
      </c>
      <c r="B467" s="149" t="s">
        <v>32035</v>
      </c>
      <c r="C467" s="153" t="s">
        <v>19449</v>
      </c>
      <c r="D467" s="154">
        <v>0</v>
      </c>
      <c r="E467" s="233" t="s">
        <v>189</v>
      </c>
      <c r="F467" s="154">
        <v>0</v>
      </c>
      <c r="G467" s="197">
        <f>Tabla111[[#This Row],[Importe]]-Tabla111[[#This Row],[Pagado]]</f>
        <v>0</v>
      </c>
      <c r="H467" s="153" t="s">
        <v>189</v>
      </c>
    </row>
    <row r="468" spans="1:8" x14ac:dyDescent="0.25">
      <c r="A468" s="73">
        <v>44839</v>
      </c>
      <c r="B468" s="74" t="s">
        <v>32036</v>
      </c>
      <c r="C468" s="75" t="s">
        <v>9</v>
      </c>
      <c r="D468" s="81">
        <v>10173.4</v>
      </c>
      <c r="E468" s="230">
        <v>44839</v>
      </c>
      <c r="F468" s="81">
        <v>10173.4</v>
      </c>
      <c r="G468" s="197">
        <f>Tabla111[[#This Row],[Importe]]-Tabla111[[#This Row],[Pagado]]</f>
        <v>0</v>
      </c>
      <c r="H468" s="75" t="s">
        <v>10</v>
      </c>
    </row>
    <row r="469" spans="1:8" x14ac:dyDescent="0.25">
      <c r="A469" s="148">
        <v>44839</v>
      </c>
      <c r="B469" s="149" t="s">
        <v>32037</v>
      </c>
      <c r="C469" s="153" t="s">
        <v>87</v>
      </c>
      <c r="D469" s="154">
        <v>2557.3000000000002</v>
      </c>
      <c r="E469" s="231">
        <v>44839</v>
      </c>
      <c r="F469" s="154">
        <v>2557.3000000000002</v>
      </c>
      <c r="G469" s="197">
        <f>Tabla111[[#This Row],[Importe]]-Tabla111[[#This Row],[Pagado]]</f>
        <v>0</v>
      </c>
      <c r="H469" s="153" t="s">
        <v>10</v>
      </c>
    </row>
    <row r="470" spans="1:8" x14ac:dyDescent="0.25">
      <c r="A470" s="73">
        <v>44839</v>
      </c>
      <c r="B470" s="74" t="s">
        <v>32038</v>
      </c>
      <c r="C470" s="75" t="s">
        <v>28087</v>
      </c>
      <c r="D470" s="81">
        <v>170837.52</v>
      </c>
      <c r="E470" s="230" t="s">
        <v>32039</v>
      </c>
      <c r="F470" s="81">
        <f>127656.63+43180.89</f>
        <v>170837.52000000002</v>
      </c>
      <c r="G470" s="197">
        <f>Tabla111[[#This Row],[Importe]]-Tabla111[[#This Row],[Pagado]]</f>
        <v>0</v>
      </c>
      <c r="H470" s="75" t="s">
        <v>10</v>
      </c>
    </row>
    <row r="471" spans="1:8" x14ac:dyDescent="0.25">
      <c r="A471" s="148">
        <v>44839</v>
      </c>
      <c r="B471" s="149" t="s">
        <v>32040</v>
      </c>
      <c r="C471" s="153" t="s">
        <v>83</v>
      </c>
      <c r="D471" s="154">
        <v>10108</v>
      </c>
      <c r="E471" s="231">
        <v>44839</v>
      </c>
      <c r="F471" s="154">
        <v>10108</v>
      </c>
      <c r="G471" s="197">
        <f>Tabla111[[#This Row],[Importe]]-Tabla111[[#This Row],[Pagado]]</f>
        <v>0</v>
      </c>
      <c r="H471" s="153" t="s">
        <v>10</v>
      </c>
    </row>
    <row r="472" spans="1:8" x14ac:dyDescent="0.25">
      <c r="A472" s="73">
        <v>44839</v>
      </c>
      <c r="B472" s="74" t="s">
        <v>32041</v>
      </c>
      <c r="C472" s="75" t="s">
        <v>31</v>
      </c>
      <c r="D472" s="81">
        <v>8472.6</v>
      </c>
      <c r="E472" s="230">
        <v>44839</v>
      </c>
      <c r="F472" s="81">
        <v>8472.6</v>
      </c>
      <c r="G472" s="197">
        <f>Tabla111[[#This Row],[Importe]]-Tabla111[[#This Row],[Pagado]]</f>
        <v>0</v>
      </c>
      <c r="H472" s="75" t="s">
        <v>10</v>
      </c>
    </row>
    <row r="473" spans="1:8" x14ac:dyDescent="0.25">
      <c r="A473" s="148">
        <v>44839</v>
      </c>
      <c r="B473" s="149" t="s">
        <v>32042</v>
      </c>
      <c r="C473" s="153" t="s">
        <v>142</v>
      </c>
      <c r="D473" s="154">
        <v>65950</v>
      </c>
      <c r="E473" s="231">
        <v>44876</v>
      </c>
      <c r="F473" s="154">
        <v>65950</v>
      </c>
      <c r="G473" s="197">
        <f>Tabla111[[#This Row],[Importe]]-Tabla111[[#This Row],[Pagado]]</f>
        <v>0</v>
      </c>
      <c r="H473" s="153" t="s">
        <v>10</v>
      </c>
    </row>
    <row r="474" spans="1:8" x14ac:dyDescent="0.25">
      <c r="A474" s="73">
        <v>44839</v>
      </c>
      <c r="B474" s="74" t="s">
        <v>32043</v>
      </c>
      <c r="C474" s="75" t="s">
        <v>16</v>
      </c>
      <c r="D474" s="81">
        <v>7086.9</v>
      </c>
      <c r="E474" s="230">
        <v>44839</v>
      </c>
      <c r="F474" s="81">
        <v>7086.9</v>
      </c>
      <c r="G474" s="197">
        <f>Tabla111[[#This Row],[Importe]]-Tabla111[[#This Row],[Pagado]]</f>
        <v>0</v>
      </c>
      <c r="H474" s="75" t="s">
        <v>10</v>
      </c>
    </row>
    <row r="475" spans="1:8" x14ac:dyDescent="0.25">
      <c r="A475" s="148">
        <v>44839</v>
      </c>
      <c r="B475" s="149" t="s">
        <v>32044</v>
      </c>
      <c r="C475" s="153" t="s">
        <v>16</v>
      </c>
      <c r="D475" s="154">
        <v>235.2</v>
      </c>
      <c r="E475" s="231">
        <v>44839</v>
      </c>
      <c r="F475" s="154">
        <v>235.2</v>
      </c>
      <c r="G475" s="197">
        <f>Tabla111[[#This Row],[Importe]]-Tabla111[[#This Row],[Pagado]]</f>
        <v>0</v>
      </c>
      <c r="H475" s="153" t="s">
        <v>10</v>
      </c>
    </row>
    <row r="476" spans="1:8" x14ac:dyDescent="0.25">
      <c r="A476" s="73">
        <v>44839</v>
      </c>
      <c r="B476" s="74" t="s">
        <v>32045</v>
      </c>
      <c r="C476" s="75" t="s">
        <v>146</v>
      </c>
      <c r="D476" s="81">
        <v>4944.6000000000004</v>
      </c>
      <c r="E476" s="230">
        <v>44839</v>
      </c>
      <c r="F476" s="81">
        <v>4944.6000000000004</v>
      </c>
      <c r="G476" s="197">
        <f>Tabla111[[#This Row],[Importe]]-Tabla111[[#This Row],[Pagado]]</f>
        <v>0</v>
      </c>
      <c r="H476" s="75" t="s">
        <v>10</v>
      </c>
    </row>
    <row r="477" spans="1:8" x14ac:dyDescent="0.25">
      <c r="A477" s="148">
        <v>44839</v>
      </c>
      <c r="B477" s="149" t="s">
        <v>32046</v>
      </c>
      <c r="C477" s="153" t="s">
        <v>32047</v>
      </c>
      <c r="D477" s="154">
        <v>0</v>
      </c>
      <c r="E477" s="233" t="s">
        <v>189</v>
      </c>
      <c r="F477" s="154">
        <v>0</v>
      </c>
      <c r="G477" s="197">
        <f>Tabla111[[#This Row],[Importe]]-Tabla111[[#This Row],[Pagado]]</f>
        <v>0</v>
      </c>
      <c r="H477" s="153" t="s">
        <v>189</v>
      </c>
    </row>
    <row r="478" spans="1:8" x14ac:dyDescent="0.25">
      <c r="A478" s="73">
        <v>44839</v>
      </c>
      <c r="B478" s="74" t="s">
        <v>32048</v>
      </c>
      <c r="C478" s="75" t="s">
        <v>647</v>
      </c>
      <c r="D478" s="81">
        <v>1088.4000000000001</v>
      </c>
      <c r="E478" s="230">
        <v>44839</v>
      </c>
      <c r="F478" s="81">
        <v>1088.4000000000001</v>
      </c>
      <c r="G478" s="197">
        <f>Tabla111[[#This Row],[Importe]]-Tabla111[[#This Row],[Pagado]]</f>
        <v>0</v>
      </c>
      <c r="H478" s="75" t="s">
        <v>10</v>
      </c>
    </row>
    <row r="479" spans="1:8" x14ac:dyDescent="0.25">
      <c r="A479" s="148">
        <v>44839</v>
      </c>
      <c r="B479" s="149" t="s">
        <v>32049</v>
      </c>
      <c r="C479" s="153" t="s">
        <v>2780</v>
      </c>
      <c r="D479" s="154">
        <v>11458.7</v>
      </c>
      <c r="E479" s="231">
        <v>44839</v>
      </c>
      <c r="F479" s="154">
        <v>11458.7</v>
      </c>
      <c r="G479" s="197">
        <f>Tabla111[[#This Row],[Importe]]-Tabla111[[#This Row],[Pagado]]</f>
        <v>0</v>
      </c>
      <c r="H479" s="153" t="s">
        <v>10</v>
      </c>
    </row>
    <row r="480" spans="1:8" x14ac:dyDescent="0.25">
      <c r="A480" s="73">
        <v>44839</v>
      </c>
      <c r="B480" s="74" t="s">
        <v>32050</v>
      </c>
      <c r="C480" s="75" t="s">
        <v>2780</v>
      </c>
      <c r="D480" s="81">
        <v>11035.2</v>
      </c>
      <c r="E480" s="230">
        <v>44839</v>
      </c>
      <c r="F480" s="81">
        <v>11035.2</v>
      </c>
      <c r="G480" s="197">
        <f>Tabla111[[#This Row],[Importe]]-Tabla111[[#This Row],[Pagado]]</f>
        <v>0</v>
      </c>
      <c r="H480" s="75" t="s">
        <v>10</v>
      </c>
    </row>
    <row r="481" spans="1:8" x14ac:dyDescent="0.25">
      <c r="A481" s="148">
        <v>44839</v>
      </c>
      <c r="B481" s="149" t="s">
        <v>32051</v>
      </c>
      <c r="C481" s="153" t="s">
        <v>31</v>
      </c>
      <c r="D481" s="154">
        <v>720.8</v>
      </c>
      <c r="E481" s="231">
        <v>44839</v>
      </c>
      <c r="F481" s="154">
        <v>720.8</v>
      </c>
      <c r="G481" s="197">
        <f>Tabla111[[#This Row],[Importe]]-Tabla111[[#This Row],[Pagado]]</f>
        <v>0</v>
      </c>
      <c r="H481" s="153" t="s">
        <v>10</v>
      </c>
    </row>
    <row r="482" spans="1:8" x14ac:dyDescent="0.25">
      <c r="A482" s="73">
        <v>44839</v>
      </c>
      <c r="B482" s="74" t="s">
        <v>32052</v>
      </c>
      <c r="C482" s="75" t="s">
        <v>6528</v>
      </c>
      <c r="D482" s="81">
        <v>96346.8</v>
      </c>
      <c r="E482" s="230">
        <v>44839</v>
      </c>
      <c r="F482" s="81">
        <v>96346.8</v>
      </c>
      <c r="G482" s="197">
        <f>Tabla111[[#This Row],[Importe]]-Tabla111[[#This Row],[Pagado]]</f>
        <v>0</v>
      </c>
      <c r="H482" s="75" t="s">
        <v>10</v>
      </c>
    </row>
    <row r="483" spans="1:8" x14ac:dyDescent="0.25">
      <c r="A483" s="148">
        <v>44839</v>
      </c>
      <c r="B483" s="149" t="s">
        <v>32053</v>
      </c>
      <c r="C483" s="153" t="s">
        <v>191</v>
      </c>
      <c r="D483" s="154">
        <v>1739.4</v>
      </c>
      <c r="E483" s="231">
        <v>44839</v>
      </c>
      <c r="F483" s="154">
        <v>1739.4</v>
      </c>
      <c r="G483" s="197">
        <f>Tabla111[[#This Row],[Importe]]-Tabla111[[#This Row],[Pagado]]</f>
        <v>0</v>
      </c>
      <c r="H483" s="153" t="s">
        <v>10</v>
      </c>
    </row>
    <row r="484" spans="1:8" x14ac:dyDescent="0.25">
      <c r="A484" s="73">
        <v>44839</v>
      </c>
      <c r="B484" s="74" t="s">
        <v>32054</v>
      </c>
      <c r="C484" s="75" t="s">
        <v>357</v>
      </c>
      <c r="D484" s="81">
        <v>1665.1</v>
      </c>
      <c r="E484" s="230">
        <v>44839</v>
      </c>
      <c r="F484" s="81">
        <v>1665.1</v>
      </c>
      <c r="G484" s="197">
        <f>Tabla111[[#This Row],[Importe]]-Tabla111[[#This Row],[Pagado]]</f>
        <v>0</v>
      </c>
      <c r="H484" s="75" t="s">
        <v>10</v>
      </c>
    </row>
    <row r="485" spans="1:8" x14ac:dyDescent="0.25">
      <c r="A485" s="148">
        <v>44839</v>
      </c>
      <c r="B485" s="149" t="s">
        <v>32055</v>
      </c>
      <c r="C485" s="153" t="s">
        <v>129</v>
      </c>
      <c r="D485" s="154">
        <v>2161.5</v>
      </c>
      <c r="E485" s="231">
        <v>44839</v>
      </c>
      <c r="F485" s="154">
        <v>2161.5</v>
      </c>
      <c r="G485" s="197">
        <f>Tabla111[[#This Row],[Importe]]-Tabla111[[#This Row],[Pagado]]</f>
        <v>0</v>
      </c>
      <c r="H485" s="153" t="s">
        <v>10</v>
      </c>
    </row>
    <row r="486" spans="1:8" x14ac:dyDescent="0.25">
      <c r="A486" s="73">
        <v>44839</v>
      </c>
      <c r="B486" s="74" t="s">
        <v>32056</v>
      </c>
      <c r="C486" s="75" t="s">
        <v>127</v>
      </c>
      <c r="D486" s="81">
        <v>1454.7</v>
      </c>
      <c r="E486" s="230">
        <v>44839</v>
      </c>
      <c r="F486" s="81">
        <v>1454.7</v>
      </c>
      <c r="G486" s="197">
        <f>Tabla111[[#This Row],[Importe]]-Tabla111[[#This Row],[Pagado]]</f>
        <v>0</v>
      </c>
      <c r="H486" s="75" t="s">
        <v>10</v>
      </c>
    </row>
    <row r="487" spans="1:8" x14ac:dyDescent="0.25">
      <c r="A487" s="148">
        <v>44839</v>
      </c>
      <c r="B487" s="149" t="s">
        <v>32057</v>
      </c>
      <c r="C487" s="153" t="s">
        <v>3747</v>
      </c>
      <c r="D487" s="154">
        <v>26396.7</v>
      </c>
      <c r="E487" s="231">
        <v>44839</v>
      </c>
      <c r="F487" s="154">
        <v>26396.7</v>
      </c>
      <c r="G487" s="197">
        <f>Tabla111[[#This Row],[Importe]]-Tabla111[[#This Row],[Pagado]]</f>
        <v>0</v>
      </c>
      <c r="H487" s="153" t="s">
        <v>10</v>
      </c>
    </row>
    <row r="488" spans="1:8" x14ac:dyDescent="0.25">
      <c r="A488" s="73">
        <v>44839</v>
      </c>
      <c r="B488" s="74" t="s">
        <v>32058</v>
      </c>
      <c r="C488" s="75" t="s">
        <v>140</v>
      </c>
      <c r="D488" s="81">
        <v>5198.3999999999996</v>
      </c>
      <c r="E488" s="230">
        <v>44839</v>
      </c>
      <c r="F488" s="81">
        <v>5198.3999999999996</v>
      </c>
      <c r="G488" s="197">
        <f>Tabla111[[#This Row],[Importe]]-Tabla111[[#This Row],[Pagado]]</f>
        <v>0</v>
      </c>
      <c r="H488" s="75" t="s">
        <v>10</v>
      </c>
    </row>
    <row r="489" spans="1:8" x14ac:dyDescent="0.25">
      <c r="A489" s="148">
        <v>44839</v>
      </c>
      <c r="B489" s="149" t="s">
        <v>32059</v>
      </c>
      <c r="C489" s="153" t="s">
        <v>3823</v>
      </c>
      <c r="D489" s="154">
        <v>0</v>
      </c>
      <c r="E489" s="233" t="s">
        <v>189</v>
      </c>
      <c r="F489" s="154">
        <v>0</v>
      </c>
      <c r="G489" s="197">
        <f>Tabla111[[#This Row],[Importe]]-Tabla111[[#This Row],[Pagado]]</f>
        <v>0</v>
      </c>
      <c r="H489" s="153" t="s">
        <v>189</v>
      </c>
    </row>
    <row r="490" spans="1:8" x14ac:dyDescent="0.25">
      <c r="A490" s="73">
        <v>44839</v>
      </c>
      <c r="B490" s="74" t="s">
        <v>32060</v>
      </c>
      <c r="C490" s="75" t="s">
        <v>587</v>
      </c>
      <c r="D490" s="81">
        <v>6035.48</v>
      </c>
      <c r="E490" s="230">
        <v>44839</v>
      </c>
      <c r="F490" s="81">
        <v>6035.48</v>
      </c>
      <c r="G490" s="197">
        <f>Tabla111[[#This Row],[Importe]]-Tabla111[[#This Row],[Pagado]]</f>
        <v>0</v>
      </c>
      <c r="H490" s="75" t="s">
        <v>10</v>
      </c>
    </row>
    <row r="491" spans="1:8" x14ac:dyDescent="0.25">
      <c r="A491" s="148">
        <v>44839</v>
      </c>
      <c r="B491" s="149" t="s">
        <v>32061</v>
      </c>
      <c r="C491" s="153" t="s">
        <v>421</v>
      </c>
      <c r="D491" s="154">
        <v>13697.5</v>
      </c>
      <c r="E491" s="231">
        <v>44845</v>
      </c>
      <c r="F491" s="154">
        <v>13697.5</v>
      </c>
      <c r="G491" s="197">
        <f>Tabla111[[#This Row],[Importe]]-Tabla111[[#This Row],[Pagado]]</f>
        <v>0</v>
      </c>
      <c r="H491" s="153" t="s">
        <v>10</v>
      </c>
    </row>
    <row r="492" spans="1:8" x14ac:dyDescent="0.25">
      <c r="A492" s="73">
        <v>44839</v>
      </c>
      <c r="B492" s="74" t="s">
        <v>32062</v>
      </c>
      <c r="C492" s="75" t="s">
        <v>31</v>
      </c>
      <c r="D492" s="81">
        <v>5785.7</v>
      </c>
      <c r="E492" s="230">
        <v>44839</v>
      </c>
      <c r="F492" s="81">
        <v>5785.7</v>
      </c>
      <c r="G492" s="197">
        <f>Tabla111[[#This Row],[Importe]]-Tabla111[[#This Row],[Pagado]]</f>
        <v>0</v>
      </c>
      <c r="H492" s="75" t="s">
        <v>10</v>
      </c>
    </row>
    <row r="493" spans="1:8" x14ac:dyDescent="0.25">
      <c r="A493" s="148">
        <v>44839</v>
      </c>
      <c r="B493" s="149" t="s">
        <v>32063</v>
      </c>
      <c r="C493" s="153" t="s">
        <v>49</v>
      </c>
      <c r="D493" s="154">
        <v>2640.8</v>
      </c>
      <c r="E493" s="231">
        <v>44839</v>
      </c>
      <c r="F493" s="154">
        <v>2640.8</v>
      </c>
      <c r="G493" s="197">
        <f>Tabla111[[#This Row],[Importe]]-Tabla111[[#This Row],[Pagado]]</f>
        <v>0</v>
      </c>
      <c r="H493" s="153" t="s">
        <v>10</v>
      </c>
    </row>
    <row r="494" spans="1:8" x14ac:dyDescent="0.25">
      <c r="A494" s="73">
        <v>44839</v>
      </c>
      <c r="B494" s="74" t="s">
        <v>32064</v>
      </c>
      <c r="C494" s="75" t="s">
        <v>79</v>
      </c>
      <c r="D494" s="81">
        <v>11550</v>
      </c>
      <c r="E494" s="230">
        <v>44839</v>
      </c>
      <c r="F494" s="81">
        <v>11550</v>
      </c>
      <c r="G494" s="197">
        <f>Tabla111[[#This Row],[Importe]]-Tabla111[[#This Row],[Pagado]]</f>
        <v>0</v>
      </c>
      <c r="H494" s="75" t="s">
        <v>10</v>
      </c>
    </row>
    <row r="495" spans="1:8" x14ac:dyDescent="0.25">
      <c r="A495" s="148">
        <v>44839</v>
      </c>
      <c r="B495" s="149" t="s">
        <v>32065</v>
      </c>
      <c r="C495" s="153" t="s">
        <v>45</v>
      </c>
      <c r="D495" s="154">
        <v>15592.9</v>
      </c>
      <c r="E495" s="231">
        <v>44839</v>
      </c>
      <c r="F495" s="154">
        <v>15592.9</v>
      </c>
      <c r="G495" s="197">
        <f>Tabla111[[#This Row],[Importe]]-Tabla111[[#This Row],[Pagado]]</f>
        <v>0</v>
      </c>
      <c r="H495" s="153" t="s">
        <v>10</v>
      </c>
    </row>
    <row r="496" spans="1:8" x14ac:dyDescent="0.25">
      <c r="A496" s="73">
        <v>44839</v>
      </c>
      <c r="B496" s="74" t="s">
        <v>32066</v>
      </c>
      <c r="C496" s="75" t="s">
        <v>8501</v>
      </c>
      <c r="D496" s="81">
        <v>2153.5</v>
      </c>
      <c r="E496" s="230">
        <v>44839</v>
      </c>
      <c r="F496" s="81">
        <v>2153.5</v>
      </c>
      <c r="G496" s="197">
        <f>Tabla111[[#This Row],[Importe]]-Tabla111[[#This Row],[Pagado]]</f>
        <v>0</v>
      </c>
      <c r="H496" s="75" t="s">
        <v>10</v>
      </c>
    </row>
    <row r="497" spans="1:8" x14ac:dyDescent="0.25">
      <c r="A497" s="148">
        <v>44839</v>
      </c>
      <c r="B497" s="149" t="s">
        <v>32067</v>
      </c>
      <c r="C497" s="153" t="s">
        <v>58</v>
      </c>
      <c r="D497" s="154">
        <v>4346.1000000000004</v>
      </c>
      <c r="E497" s="231">
        <v>44839</v>
      </c>
      <c r="F497" s="154">
        <v>4346.1000000000004</v>
      </c>
      <c r="G497" s="197">
        <f>Tabla111[[#This Row],[Importe]]-Tabla111[[#This Row],[Pagado]]</f>
        <v>0</v>
      </c>
      <c r="H497" s="153" t="s">
        <v>10</v>
      </c>
    </row>
    <row r="498" spans="1:8" x14ac:dyDescent="0.25">
      <c r="A498" s="73">
        <v>44839</v>
      </c>
      <c r="B498" s="74" t="s">
        <v>32068</v>
      </c>
      <c r="C498" s="75" t="s">
        <v>56</v>
      </c>
      <c r="D498" s="81">
        <v>6033.8</v>
      </c>
      <c r="E498" s="230">
        <v>44839</v>
      </c>
      <c r="F498" s="81">
        <v>6033.8</v>
      </c>
      <c r="G498" s="197">
        <f>Tabla111[[#This Row],[Importe]]-Tabla111[[#This Row],[Pagado]]</f>
        <v>0</v>
      </c>
      <c r="H498" s="75" t="s">
        <v>10</v>
      </c>
    </row>
    <row r="499" spans="1:8" x14ac:dyDescent="0.25">
      <c r="A499" s="148">
        <v>44839</v>
      </c>
      <c r="B499" s="149" t="s">
        <v>32069</v>
      </c>
      <c r="C499" s="153" t="s">
        <v>24284</v>
      </c>
      <c r="D499" s="154">
        <v>712.5</v>
      </c>
      <c r="E499" s="231">
        <v>44839</v>
      </c>
      <c r="F499" s="154">
        <v>712.5</v>
      </c>
      <c r="G499" s="197">
        <f>Tabla111[[#This Row],[Importe]]-Tabla111[[#This Row],[Pagado]]</f>
        <v>0</v>
      </c>
      <c r="H499" s="153" t="s">
        <v>10</v>
      </c>
    </row>
    <row r="500" spans="1:8" x14ac:dyDescent="0.25">
      <c r="A500" s="73">
        <v>44839</v>
      </c>
      <c r="B500" s="74" t="s">
        <v>32070</v>
      </c>
      <c r="C500" s="75" t="s">
        <v>555</v>
      </c>
      <c r="D500" s="81">
        <v>42000.32</v>
      </c>
      <c r="E500" s="230">
        <v>44839</v>
      </c>
      <c r="F500" s="81">
        <v>42000.32</v>
      </c>
      <c r="G500" s="197">
        <f>Tabla111[[#This Row],[Importe]]-Tabla111[[#This Row],[Pagado]]</f>
        <v>0</v>
      </c>
      <c r="H500" s="75" t="s">
        <v>10</v>
      </c>
    </row>
    <row r="501" spans="1:8" x14ac:dyDescent="0.25">
      <c r="A501" s="148">
        <v>44839</v>
      </c>
      <c r="B501" s="149" t="s">
        <v>32071</v>
      </c>
      <c r="C501" s="153" t="s">
        <v>181</v>
      </c>
      <c r="D501" s="154">
        <v>11423.6</v>
      </c>
      <c r="E501" s="231">
        <v>44839</v>
      </c>
      <c r="F501" s="154">
        <v>11423.6</v>
      </c>
      <c r="G501" s="197">
        <f>Tabla111[[#This Row],[Importe]]-Tabla111[[#This Row],[Pagado]]</f>
        <v>0</v>
      </c>
      <c r="H501" s="153" t="s">
        <v>10</v>
      </c>
    </row>
    <row r="502" spans="1:8" x14ac:dyDescent="0.25">
      <c r="A502" s="73">
        <v>44839</v>
      </c>
      <c r="B502" s="74" t="s">
        <v>32072</v>
      </c>
      <c r="C502" s="75" t="s">
        <v>200</v>
      </c>
      <c r="D502" s="81">
        <v>1147.5</v>
      </c>
      <c r="E502" s="230">
        <v>44839</v>
      </c>
      <c r="F502" s="81">
        <v>1147.5</v>
      </c>
      <c r="G502" s="197">
        <f>Tabla111[[#This Row],[Importe]]-Tabla111[[#This Row],[Pagado]]</f>
        <v>0</v>
      </c>
      <c r="H502" s="75" t="s">
        <v>10</v>
      </c>
    </row>
    <row r="503" spans="1:8" x14ac:dyDescent="0.25">
      <c r="A503" s="148">
        <v>44839</v>
      </c>
      <c r="B503" s="149" t="s">
        <v>32073</v>
      </c>
      <c r="C503" s="153" t="s">
        <v>53</v>
      </c>
      <c r="D503" s="154">
        <v>3283.8</v>
      </c>
      <c r="E503" s="231">
        <v>44839</v>
      </c>
      <c r="F503" s="154">
        <v>3283.8</v>
      </c>
      <c r="G503" s="197">
        <f>Tabla111[[#This Row],[Importe]]-Tabla111[[#This Row],[Pagado]]</f>
        <v>0</v>
      </c>
      <c r="H503" s="153" t="s">
        <v>10</v>
      </c>
    </row>
    <row r="504" spans="1:8" x14ac:dyDescent="0.25">
      <c r="A504" s="73">
        <v>44839</v>
      </c>
      <c r="B504" s="74" t="s">
        <v>32074</v>
      </c>
      <c r="C504" s="75" t="s">
        <v>175</v>
      </c>
      <c r="D504" s="81">
        <v>4613.5</v>
      </c>
      <c r="E504" s="230">
        <v>44839</v>
      </c>
      <c r="F504" s="81">
        <v>4613.5</v>
      </c>
      <c r="G504" s="197">
        <f>Tabla111[[#This Row],[Importe]]-Tabla111[[#This Row],[Pagado]]</f>
        <v>0</v>
      </c>
      <c r="H504" s="75" t="s">
        <v>10</v>
      </c>
    </row>
    <row r="505" spans="1:8" x14ac:dyDescent="0.25">
      <c r="A505" s="148">
        <v>44839</v>
      </c>
      <c r="B505" s="149" t="s">
        <v>32075</v>
      </c>
      <c r="C505" s="153" t="s">
        <v>296</v>
      </c>
      <c r="D505" s="154">
        <v>4512.2</v>
      </c>
      <c r="E505" s="231">
        <v>44839</v>
      </c>
      <c r="F505" s="154">
        <v>4512.2</v>
      </c>
      <c r="G505" s="197">
        <f>Tabla111[[#This Row],[Importe]]-Tabla111[[#This Row],[Pagado]]</f>
        <v>0</v>
      </c>
      <c r="H505" s="153" t="s">
        <v>10</v>
      </c>
    </row>
    <row r="506" spans="1:8" x14ac:dyDescent="0.25">
      <c r="A506" s="73">
        <v>44839</v>
      </c>
      <c r="B506" s="74" t="s">
        <v>32076</v>
      </c>
      <c r="C506" s="75" t="s">
        <v>359</v>
      </c>
      <c r="D506" s="81">
        <v>243</v>
      </c>
      <c r="E506" s="230">
        <v>44839</v>
      </c>
      <c r="F506" s="81">
        <v>243</v>
      </c>
      <c r="G506" s="197">
        <f>Tabla111[[#This Row],[Importe]]-Tabla111[[#This Row],[Pagado]]</f>
        <v>0</v>
      </c>
      <c r="H506" s="75" t="s">
        <v>10</v>
      </c>
    </row>
    <row r="507" spans="1:8" x14ac:dyDescent="0.25">
      <c r="A507" s="148">
        <v>44839</v>
      </c>
      <c r="B507" s="149" t="s">
        <v>32077</v>
      </c>
      <c r="C507" s="153" t="s">
        <v>135</v>
      </c>
      <c r="D507" s="154">
        <v>2708</v>
      </c>
      <c r="E507" s="231">
        <v>44839</v>
      </c>
      <c r="F507" s="154">
        <v>2708</v>
      </c>
      <c r="G507" s="197">
        <f>Tabla111[[#This Row],[Importe]]-Tabla111[[#This Row],[Pagado]]</f>
        <v>0</v>
      </c>
      <c r="H507" s="153" t="s">
        <v>10</v>
      </c>
    </row>
    <row r="508" spans="1:8" x14ac:dyDescent="0.25">
      <c r="A508" s="73">
        <v>44839</v>
      </c>
      <c r="B508" s="74" t="s">
        <v>32078</v>
      </c>
      <c r="C508" s="75" t="s">
        <v>216</v>
      </c>
      <c r="D508" s="81">
        <v>2797.5</v>
      </c>
      <c r="E508" s="230">
        <v>44839</v>
      </c>
      <c r="F508" s="81">
        <v>2797.5</v>
      </c>
      <c r="G508" s="197">
        <f>Tabla111[[#This Row],[Importe]]-Tabla111[[#This Row],[Pagado]]</f>
        <v>0</v>
      </c>
      <c r="H508" s="75" t="s">
        <v>10</v>
      </c>
    </row>
    <row r="509" spans="1:8" x14ac:dyDescent="0.25">
      <c r="A509" s="148">
        <v>44839</v>
      </c>
      <c r="B509" s="149" t="s">
        <v>32079</v>
      </c>
      <c r="C509" s="153" t="s">
        <v>312</v>
      </c>
      <c r="D509" s="154">
        <v>2588.1</v>
      </c>
      <c r="E509" s="231">
        <v>44839</v>
      </c>
      <c r="F509" s="154">
        <v>2588.1</v>
      </c>
      <c r="G509" s="197">
        <f>Tabla111[[#This Row],[Importe]]-Tabla111[[#This Row],[Pagado]]</f>
        <v>0</v>
      </c>
      <c r="H509" s="153" t="s">
        <v>10</v>
      </c>
    </row>
    <row r="510" spans="1:8" x14ac:dyDescent="0.25">
      <c r="A510" s="73">
        <v>44839</v>
      </c>
      <c r="B510" s="74" t="s">
        <v>32080</v>
      </c>
      <c r="C510" s="75" t="s">
        <v>107</v>
      </c>
      <c r="D510" s="81">
        <v>10865.4</v>
      </c>
      <c r="E510" s="230">
        <v>44839</v>
      </c>
      <c r="F510" s="81">
        <v>10865.4</v>
      </c>
      <c r="G510" s="197">
        <f>Tabla111[[#This Row],[Importe]]-Tabla111[[#This Row],[Pagado]]</f>
        <v>0</v>
      </c>
      <c r="H510" s="75" t="s">
        <v>10</v>
      </c>
    </row>
    <row r="511" spans="1:8" x14ac:dyDescent="0.25">
      <c r="A511" s="148">
        <v>44839</v>
      </c>
      <c r="B511" s="149" t="s">
        <v>32081</v>
      </c>
      <c r="C511" s="153" t="s">
        <v>664</v>
      </c>
      <c r="D511" s="154">
        <v>3222.6</v>
      </c>
      <c r="E511" s="231">
        <v>44839</v>
      </c>
      <c r="F511" s="154">
        <v>3222.6</v>
      </c>
      <c r="G511" s="197">
        <f>Tabla111[[#This Row],[Importe]]-Tabla111[[#This Row],[Pagado]]</f>
        <v>0</v>
      </c>
      <c r="H511" s="153" t="s">
        <v>10</v>
      </c>
    </row>
    <row r="512" spans="1:8" x14ac:dyDescent="0.25">
      <c r="A512" s="73">
        <v>44839</v>
      </c>
      <c r="B512" s="74" t="s">
        <v>32082</v>
      </c>
      <c r="C512" s="75" t="s">
        <v>333</v>
      </c>
      <c r="D512" s="81">
        <v>1148</v>
      </c>
      <c r="E512" s="230">
        <v>44839</v>
      </c>
      <c r="F512" s="81">
        <v>1148</v>
      </c>
      <c r="G512" s="197">
        <f>Tabla111[[#This Row],[Importe]]-Tabla111[[#This Row],[Pagado]]</f>
        <v>0</v>
      </c>
      <c r="H512" s="75" t="s">
        <v>10</v>
      </c>
    </row>
    <row r="513" spans="1:8" x14ac:dyDescent="0.25">
      <c r="A513" s="148">
        <v>44839</v>
      </c>
      <c r="B513" s="149" t="s">
        <v>32083</v>
      </c>
      <c r="C513" s="153" t="s">
        <v>206</v>
      </c>
      <c r="D513" s="154">
        <v>17863.7</v>
      </c>
      <c r="E513" s="231">
        <v>44842</v>
      </c>
      <c r="F513" s="154">
        <v>17863.7</v>
      </c>
      <c r="G513" s="197">
        <f>Tabla111[[#This Row],[Importe]]-Tabla111[[#This Row],[Pagado]]</f>
        <v>0</v>
      </c>
      <c r="H513" s="153" t="s">
        <v>10</v>
      </c>
    </row>
    <row r="514" spans="1:8" x14ac:dyDescent="0.25">
      <c r="A514" s="73">
        <v>44839</v>
      </c>
      <c r="B514" s="74" t="s">
        <v>32084</v>
      </c>
      <c r="C514" s="75" t="s">
        <v>218</v>
      </c>
      <c r="D514" s="81">
        <v>16595.2</v>
      </c>
      <c r="E514" s="230">
        <v>44842</v>
      </c>
      <c r="F514" s="81">
        <v>16595.2</v>
      </c>
      <c r="G514" s="197">
        <f>Tabla111[[#This Row],[Importe]]-Tabla111[[#This Row],[Pagado]]</f>
        <v>0</v>
      </c>
      <c r="H514" s="75" t="s">
        <v>10</v>
      </c>
    </row>
    <row r="515" spans="1:8" x14ac:dyDescent="0.25">
      <c r="A515" s="148">
        <v>44839</v>
      </c>
      <c r="B515" s="149" t="s">
        <v>32085</v>
      </c>
      <c r="C515" s="153" t="s">
        <v>24</v>
      </c>
      <c r="D515" s="154">
        <v>4149.8</v>
      </c>
      <c r="E515" s="231">
        <v>44839</v>
      </c>
      <c r="F515" s="154">
        <v>4149.8</v>
      </c>
      <c r="G515" s="197">
        <f>Tabla111[[#This Row],[Importe]]-Tabla111[[#This Row],[Pagado]]</f>
        <v>0</v>
      </c>
      <c r="H515" s="153" t="s">
        <v>10</v>
      </c>
    </row>
    <row r="516" spans="1:8" x14ac:dyDescent="0.25">
      <c r="A516" s="73">
        <v>44839</v>
      </c>
      <c r="B516" s="74" t="s">
        <v>32086</v>
      </c>
      <c r="C516" s="75" t="s">
        <v>212</v>
      </c>
      <c r="D516" s="81">
        <v>38527.599999999999</v>
      </c>
      <c r="E516" s="230">
        <v>44845</v>
      </c>
      <c r="F516" s="81">
        <v>38527.599999999999</v>
      </c>
      <c r="G516" s="197">
        <f>Tabla111[[#This Row],[Importe]]-Tabla111[[#This Row],[Pagado]]</f>
        <v>0</v>
      </c>
      <c r="H516" s="75" t="s">
        <v>10</v>
      </c>
    </row>
    <row r="517" spans="1:8" x14ac:dyDescent="0.25">
      <c r="A517" s="148">
        <v>44839</v>
      </c>
      <c r="B517" s="149" t="s">
        <v>32087</v>
      </c>
      <c r="C517" s="153" t="s">
        <v>154</v>
      </c>
      <c r="D517" s="154">
        <v>31857.1</v>
      </c>
      <c r="E517" s="231">
        <v>44842</v>
      </c>
      <c r="F517" s="154">
        <v>31857.1</v>
      </c>
      <c r="G517" s="197">
        <f>Tabla111[[#This Row],[Importe]]-Tabla111[[#This Row],[Pagado]]</f>
        <v>0</v>
      </c>
      <c r="H517" s="153" t="s">
        <v>10</v>
      </c>
    </row>
    <row r="518" spans="1:8" x14ac:dyDescent="0.25">
      <c r="A518" s="73">
        <v>44839</v>
      </c>
      <c r="B518" s="74" t="s">
        <v>32088</v>
      </c>
      <c r="C518" s="75" t="s">
        <v>214</v>
      </c>
      <c r="D518" s="81">
        <v>1425</v>
      </c>
      <c r="E518" s="230">
        <v>44839</v>
      </c>
      <c r="F518" s="81">
        <v>1425</v>
      </c>
      <c r="G518" s="197">
        <f>Tabla111[[#This Row],[Importe]]-Tabla111[[#This Row],[Pagado]]</f>
        <v>0</v>
      </c>
      <c r="H518" s="75" t="s">
        <v>10</v>
      </c>
    </row>
    <row r="519" spans="1:8" x14ac:dyDescent="0.25">
      <c r="A519" s="148">
        <v>44839</v>
      </c>
      <c r="B519" s="149" t="s">
        <v>32089</v>
      </c>
      <c r="C519" s="153" t="s">
        <v>208</v>
      </c>
      <c r="D519" s="154">
        <v>10618.8</v>
      </c>
      <c r="E519" s="231">
        <v>44840</v>
      </c>
      <c r="F519" s="154">
        <v>10618.8</v>
      </c>
      <c r="G519" s="197">
        <f>Tabla111[[#This Row],[Importe]]-Tabla111[[#This Row],[Pagado]]</f>
        <v>0</v>
      </c>
      <c r="H519" s="153" t="s">
        <v>10</v>
      </c>
    </row>
    <row r="520" spans="1:8" x14ac:dyDescent="0.25">
      <c r="A520" s="73">
        <v>44839</v>
      </c>
      <c r="B520" s="74" t="s">
        <v>32090</v>
      </c>
      <c r="C520" s="75" t="s">
        <v>226</v>
      </c>
      <c r="D520" s="81">
        <v>10668.7</v>
      </c>
      <c r="E520" s="230">
        <v>44839</v>
      </c>
      <c r="F520" s="81">
        <v>10668.7</v>
      </c>
      <c r="G520" s="197">
        <f>Tabla111[[#This Row],[Importe]]-Tabla111[[#This Row],[Pagado]]</f>
        <v>0</v>
      </c>
      <c r="H520" s="75" t="s">
        <v>10</v>
      </c>
    </row>
    <row r="521" spans="1:8" x14ac:dyDescent="0.25">
      <c r="A521" s="148">
        <v>44839</v>
      </c>
      <c r="B521" s="149" t="s">
        <v>32091</v>
      </c>
      <c r="C521" s="153" t="s">
        <v>31</v>
      </c>
      <c r="D521" s="154">
        <v>5780.5</v>
      </c>
      <c r="E521" s="231">
        <v>44839</v>
      </c>
      <c r="F521" s="154">
        <v>5780.5</v>
      </c>
      <c r="G521" s="197">
        <f>Tabla111[[#This Row],[Importe]]-Tabla111[[#This Row],[Pagado]]</f>
        <v>0</v>
      </c>
      <c r="H521" s="153" t="s">
        <v>10</v>
      </c>
    </row>
    <row r="522" spans="1:8" x14ac:dyDescent="0.25">
      <c r="A522" s="73">
        <v>44839</v>
      </c>
      <c r="B522" s="74" t="s">
        <v>32092</v>
      </c>
      <c r="C522" s="75" t="s">
        <v>698</v>
      </c>
      <c r="D522" s="81">
        <v>10130.799999999999</v>
      </c>
      <c r="E522" s="230">
        <v>44839</v>
      </c>
      <c r="F522" s="81">
        <v>10130.799999999999</v>
      </c>
      <c r="G522" s="197">
        <f>Tabla111[[#This Row],[Importe]]-Tabla111[[#This Row],[Pagado]]</f>
        <v>0</v>
      </c>
      <c r="H522" s="75" t="s">
        <v>10</v>
      </c>
    </row>
    <row r="523" spans="1:8" x14ac:dyDescent="0.25">
      <c r="A523" s="148">
        <v>44839</v>
      </c>
      <c r="B523" s="149" t="s">
        <v>32093</v>
      </c>
      <c r="C523" s="153" t="s">
        <v>2139</v>
      </c>
      <c r="D523" s="154">
        <v>1309.8</v>
      </c>
      <c r="E523" s="231">
        <v>44839</v>
      </c>
      <c r="F523" s="154">
        <v>1309.8</v>
      </c>
      <c r="G523" s="197">
        <f>Tabla111[[#This Row],[Importe]]-Tabla111[[#This Row],[Pagado]]</f>
        <v>0</v>
      </c>
      <c r="H523" s="153" t="s">
        <v>10</v>
      </c>
    </row>
    <row r="524" spans="1:8" x14ac:dyDescent="0.25">
      <c r="A524" s="73">
        <v>44839</v>
      </c>
      <c r="B524" s="74" t="s">
        <v>32094</v>
      </c>
      <c r="C524" s="75" t="s">
        <v>484</v>
      </c>
      <c r="D524" s="81">
        <v>4598</v>
      </c>
      <c r="E524" s="230">
        <v>44839</v>
      </c>
      <c r="F524" s="81">
        <v>4598</v>
      </c>
      <c r="G524" s="197">
        <f>Tabla111[[#This Row],[Importe]]-Tabla111[[#This Row],[Pagado]]</f>
        <v>0</v>
      </c>
      <c r="H524" s="75" t="s">
        <v>10</v>
      </c>
    </row>
    <row r="525" spans="1:8" x14ac:dyDescent="0.25">
      <c r="A525" s="148">
        <v>44839</v>
      </c>
      <c r="B525" s="149" t="s">
        <v>32095</v>
      </c>
      <c r="C525" s="153" t="s">
        <v>10157</v>
      </c>
      <c r="D525" s="154">
        <v>18898.099999999999</v>
      </c>
      <c r="E525" s="231">
        <v>44840</v>
      </c>
      <c r="F525" s="154">
        <v>18898.099999999999</v>
      </c>
      <c r="G525" s="197">
        <f>Tabla111[[#This Row],[Importe]]-Tabla111[[#This Row],[Pagado]]</f>
        <v>0</v>
      </c>
      <c r="H525" s="153" t="s">
        <v>10</v>
      </c>
    </row>
    <row r="526" spans="1:8" x14ac:dyDescent="0.25">
      <c r="A526" s="73">
        <v>44839</v>
      </c>
      <c r="B526" s="74" t="s">
        <v>32096</v>
      </c>
      <c r="C526" s="75" t="s">
        <v>419</v>
      </c>
      <c r="D526" s="81">
        <v>9070.9</v>
      </c>
      <c r="E526" s="230">
        <v>44839</v>
      </c>
      <c r="F526" s="81">
        <v>9070.9</v>
      </c>
      <c r="G526" s="197">
        <f>Tabla111[[#This Row],[Importe]]-Tabla111[[#This Row],[Pagado]]</f>
        <v>0</v>
      </c>
      <c r="H526" s="75" t="s">
        <v>10</v>
      </c>
    </row>
    <row r="527" spans="1:8" x14ac:dyDescent="0.25">
      <c r="A527" s="148">
        <v>44839</v>
      </c>
      <c r="B527" s="149" t="s">
        <v>32097</v>
      </c>
      <c r="C527" s="153" t="s">
        <v>9827</v>
      </c>
      <c r="D527" s="154">
        <v>3862.5</v>
      </c>
      <c r="E527" s="231">
        <v>44839</v>
      </c>
      <c r="F527" s="154">
        <v>3862.5</v>
      </c>
      <c r="G527" s="197">
        <f>Tabla111[[#This Row],[Importe]]-Tabla111[[#This Row],[Pagado]]</f>
        <v>0</v>
      </c>
      <c r="H527" s="153" t="s">
        <v>10</v>
      </c>
    </row>
    <row r="528" spans="1:8" x14ac:dyDescent="0.25">
      <c r="A528" s="73">
        <v>44839</v>
      </c>
      <c r="B528" s="74" t="s">
        <v>32098</v>
      </c>
      <c r="C528" s="75" t="s">
        <v>173</v>
      </c>
      <c r="D528" s="81">
        <v>35112</v>
      </c>
      <c r="E528" s="230">
        <v>44840</v>
      </c>
      <c r="F528" s="81">
        <v>35112</v>
      </c>
      <c r="G528" s="197">
        <f>Tabla111[[#This Row],[Importe]]-Tabla111[[#This Row],[Pagado]]</f>
        <v>0</v>
      </c>
      <c r="H528" s="75" t="s">
        <v>10</v>
      </c>
    </row>
    <row r="529" spans="1:8" x14ac:dyDescent="0.25">
      <c r="A529" s="148">
        <v>44839</v>
      </c>
      <c r="B529" s="149" t="s">
        <v>32099</v>
      </c>
      <c r="C529" s="153" t="s">
        <v>133</v>
      </c>
      <c r="D529" s="154">
        <v>31023.200000000001</v>
      </c>
      <c r="E529" s="231">
        <v>44859</v>
      </c>
      <c r="F529" s="154">
        <v>31023.200000000001</v>
      </c>
      <c r="G529" s="197">
        <f>Tabla111[[#This Row],[Importe]]-Tabla111[[#This Row],[Pagado]]</f>
        <v>0</v>
      </c>
      <c r="H529" s="153" t="s">
        <v>10</v>
      </c>
    </row>
    <row r="530" spans="1:8" x14ac:dyDescent="0.25">
      <c r="A530" s="73">
        <v>44839</v>
      </c>
      <c r="B530" s="74" t="s">
        <v>32100</v>
      </c>
      <c r="C530" s="75" t="s">
        <v>1644</v>
      </c>
      <c r="D530" s="81">
        <v>14207.2</v>
      </c>
      <c r="E530" s="230">
        <v>44840</v>
      </c>
      <c r="F530" s="81">
        <v>14207.2</v>
      </c>
      <c r="G530" s="197">
        <f>Tabla111[[#This Row],[Importe]]-Tabla111[[#This Row],[Pagado]]</f>
        <v>0</v>
      </c>
      <c r="H530" s="75" t="s">
        <v>10</v>
      </c>
    </row>
    <row r="531" spans="1:8" x14ac:dyDescent="0.25">
      <c r="A531" s="148">
        <v>44839</v>
      </c>
      <c r="B531" s="149" t="s">
        <v>32101</v>
      </c>
      <c r="C531" s="153" t="s">
        <v>541</v>
      </c>
      <c r="D531" s="154">
        <v>16962.400000000001</v>
      </c>
      <c r="E531" s="231">
        <v>44840</v>
      </c>
      <c r="F531" s="154">
        <v>16962.400000000001</v>
      </c>
      <c r="G531" s="197">
        <f>Tabla111[[#This Row],[Importe]]-Tabla111[[#This Row],[Pagado]]</f>
        <v>0</v>
      </c>
      <c r="H531" s="153" t="s">
        <v>10</v>
      </c>
    </row>
    <row r="532" spans="1:8" x14ac:dyDescent="0.25">
      <c r="A532" s="73">
        <v>44839</v>
      </c>
      <c r="B532" s="74" t="s">
        <v>32102</v>
      </c>
      <c r="C532" s="75" t="s">
        <v>214</v>
      </c>
      <c r="D532" s="81">
        <v>5247.3</v>
      </c>
      <c r="E532" s="230">
        <v>44839</v>
      </c>
      <c r="F532" s="81">
        <v>5247.3</v>
      </c>
      <c r="G532" s="197">
        <f>Tabla111[[#This Row],[Importe]]-Tabla111[[#This Row],[Pagado]]</f>
        <v>0</v>
      </c>
      <c r="H532" s="75" t="s">
        <v>10</v>
      </c>
    </row>
    <row r="533" spans="1:8" x14ac:dyDescent="0.25">
      <c r="A533" s="148">
        <v>44839</v>
      </c>
      <c r="B533" s="149" t="s">
        <v>32103</v>
      </c>
      <c r="C533" s="153" t="s">
        <v>15306</v>
      </c>
      <c r="D533" s="154">
        <v>11161</v>
      </c>
      <c r="E533" s="231">
        <v>44839</v>
      </c>
      <c r="F533" s="154">
        <v>11161</v>
      </c>
      <c r="G533" s="197">
        <f>Tabla111[[#This Row],[Importe]]-Tabla111[[#This Row],[Pagado]]</f>
        <v>0</v>
      </c>
      <c r="H533" s="153" t="s">
        <v>10</v>
      </c>
    </row>
    <row r="534" spans="1:8" x14ac:dyDescent="0.25">
      <c r="A534" s="73">
        <v>44839</v>
      </c>
      <c r="B534" s="74" t="s">
        <v>32104</v>
      </c>
      <c r="C534" s="75" t="s">
        <v>670</v>
      </c>
      <c r="D534" s="81">
        <v>760</v>
      </c>
      <c r="E534" s="230">
        <v>44839</v>
      </c>
      <c r="F534" s="81">
        <v>760</v>
      </c>
      <c r="G534" s="197">
        <f>Tabla111[[#This Row],[Importe]]-Tabla111[[#This Row],[Pagado]]</f>
        <v>0</v>
      </c>
      <c r="H534" s="75" t="s">
        <v>10</v>
      </c>
    </row>
    <row r="535" spans="1:8" x14ac:dyDescent="0.25">
      <c r="A535" s="148">
        <v>44839</v>
      </c>
      <c r="B535" s="149" t="s">
        <v>32105</v>
      </c>
      <c r="C535" s="153" t="s">
        <v>31</v>
      </c>
      <c r="D535" s="154">
        <v>425</v>
      </c>
      <c r="E535" s="231">
        <v>44839</v>
      </c>
      <c r="F535" s="154">
        <v>425</v>
      </c>
      <c r="G535" s="197">
        <f>Tabla111[[#This Row],[Importe]]-Tabla111[[#This Row],[Pagado]]</f>
        <v>0</v>
      </c>
      <c r="H535" s="153" t="s">
        <v>10</v>
      </c>
    </row>
    <row r="536" spans="1:8" x14ac:dyDescent="0.25">
      <c r="A536" s="73">
        <v>44839</v>
      </c>
      <c r="B536" s="74" t="s">
        <v>32106</v>
      </c>
      <c r="C536" s="75" t="s">
        <v>612</v>
      </c>
      <c r="D536" s="81">
        <v>787.8</v>
      </c>
      <c r="E536" s="230">
        <v>44839</v>
      </c>
      <c r="F536" s="81">
        <v>787.8</v>
      </c>
      <c r="G536" s="197">
        <f>Tabla111[[#This Row],[Importe]]-Tabla111[[#This Row],[Pagado]]</f>
        <v>0</v>
      </c>
      <c r="H536" s="75" t="s">
        <v>10</v>
      </c>
    </row>
    <row r="537" spans="1:8" x14ac:dyDescent="0.25">
      <c r="A537" s="148">
        <v>44839</v>
      </c>
      <c r="B537" s="149" t="s">
        <v>32107</v>
      </c>
      <c r="C537" s="153" t="s">
        <v>414</v>
      </c>
      <c r="D537" s="154">
        <v>14523.2</v>
      </c>
      <c r="E537" s="231">
        <v>44842</v>
      </c>
      <c r="F537" s="154">
        <v>14523.2</v>
      </c>
      <c r="G537" s="197">
        <f>Tabla111[[#This Row],[Importe]]-Tabla111[[#This Row],[Pagado]]</f>
        <v>0</v>
      </c>
      <c r="H537" s="153" t="s">
        <v>10</v>
      </c>
    </row>
    <row r="538" spans="1:8" x14ac:dyDescent="0.25">
      <c r="A538" s="73">
        <v>44839</v>
      </c>
      <c r="B538" s="74" t="s">
        <v>32108</v>
      </c>
      <c r="C538" s="75" t="s">
        <v>31</v>
      </c>
      <c r="D538" s="81">
        <v>190</v>
      </c>
      <c r="E538" s="230">
        <v>44839</v>
      </c>
      <c r="F538" s="81">
        <v>190</v>
      </c>
      <c r="G538" s="197">
        <f>Tabla111[[#This Row],[Importe]]-Tabla111[[#This Row],[Pagado]]</f>
        <v>0</v>
      </c>
      <c r="H538" s="75" t="s">
        <v>10</v>
      </c>
    </row>
    <row r="539" spans="1:8" x14ac:dyDescent="0.25">
      <c r="A539" s="148">
        <v>44839</v>
      </c>
      <c r="B539" s="149" t="s">
        <v>32109</v>
      </c>
      <c r="C539" s="153" t="s">
        <v>142</v>
      </c>
      <c r="D539" s="154">
        <v>11783.6</v>
      </c>
      <c r="E539" s="231">
        <v>44876</v>
      </c>
      <c r="F539" s="154">
        <v>11783.6</v>
      </c>
      <c r="G539" s="197">
        <f>Tabla111[[#This Row],[Importe]]-Tabla111[[#This Row],[Pagado]]</f>
        <v>0</v>
      </c>
      <c r="H539" s="153" t="s">
        <v>10</v>
      </c>
    </row>
    <row r="540" spans="1:8" x14ac:dyDescent="0.25">
      <c r="A540" s="73">
        <v>44839</v>
      </c>
      <c r="B540" s="74" t="s">
        <v>32110</v>
      </c>
      <c r="C540" s="75" t="s">
        <v>22</v>
      </c>
      <c r="D540" s="81">
        <v>32340.7</v>
      </c>
      <c r="E540" s="230">
        <v>44840</v>
      </c>
      <c r="F540" s="81">
        <v>32340.7</v>
      </c>
      <c r="G540" s="197">
        <f>Tabla111[[#This Row],[Importe]]-Tabla111[[#This Row],[Pagado]]</f>
        <v>0</v>
      </c>
      <c r="H540" s="75" t="s">
        <v>10</v>
      </c>
    </row>
    <row r="541" spans="1:8" x14ac:dyDescent="0.25">
      <c r="A541" s="148">
        <v>44839</v>
      </c>
      <c r="B541" s="149" t="s">
        <v>32111</v>
      </c>
      <c r="C541" s="153" t="s">
        <v>1350</v>
      </c>
      <c r="D541" s="154">
        <v>961.7</v>
      </c>
      <c r="E541" s="231">
        <v>44839</v>
      </c>
      <c r="F541" s="154">
        <v>961.7</v>
      </c>
      <c r="G541" s="197">
        <f>Tabla111[[#This Row],[Importe]]-Tabla111[[#This Row],[Pagado]]</f>
        <v>0</v>
      </c>
      <c r="H541" s="153" t="s">
        <v>10</v>
      </c>
    </row>
    <row r="542" spans="1:8" x14ac:dyDescent="0.25">
      <c r="A542" s="73">
        <v>44839</v>
      </c>
      <c r="B542" s="74" t="s">
        <v>32112</v>
      </c>
      <c r="C542" s="75" t="s">
        <v>1421</v>
      </c>
      <c r="D542" s="81">
        <v>65524.800000000003</v>
      </c>
      <c r="E542" s="230">
        <v>44839</v>
      </c>
      <c r="F542" s="81">
        <v>65524.800000000003</v>
      </c>
      <c r="G542" s="197">
        <f>Tabla111[[#This Row],[Importe]]-Tabla111[[#This Row],[Pagado]]</f>
        <v>0</v>
      </c>
      <c r="H542" s="75" t="s">
        <v>10</v>
      </c>
    </row>
    <row r="543" spans="1:8" x14ac:dyDescent="0.25">
      <c r="A543" s="148">
        <v>44839</v>
      </c>
      <c r="B543" s="149" t="s">
        <v>32113</v>
      </c>
      <c r="C543" s="153" t="s">
        <v>69</v>
      </c>
      <c r="D543" s="154">
        <v>1327.5</v>
      </c>
      <c r="E543" s="231">
        <v>44839</v>
      </c>
      <c r="F543" s="154">
        <v>1327.5</v>
      </c>
      <c r="G543" s="197">
        <f>Tabla111[[#This Row],[Importe]]-Tabla111[[#This Row],[Pagado]]</f>
        <v>0</v>
      </c>
      <c r="H543" s="153" t="s">
        <v>10</v>
      </c>
    </row>
    <row r="544" spans="1:8" x14ac:dyDescent="0.25">
      <c r="A544" s="73">
        <v>44839</v>
      </c>
      <c r="B544" s="74" t="s">
        <v>32114</v>
      </c>
      <c r="C544" s="75" t="s">
        <v>31</v>
      </c>
      <c r="D544" s="81">
        <v>1240.2</v>
      </c>
      <c r="E544" s="230">
        <v>44839</v>
      </c>
      <c r="F544" s="81">
        <v>1240.2</v>
      </c>
      <c r="G544" s="197">
        <f>Tabla111[[#This Row],[Importe]]-Tabla111[[#This Row],[Pagado]]</f>
        <v>0</v>
      </c>
      <c r="H544" s="75" t="s">
        <v>10</v>
      </c>
    </row>
    <row r="545" spans="1:8" x14ac:dyDescent="0.25">
      <c r="A545" s="148">
        <v>44839</v>
      </c>
      <c r="B545" s="149" t="s">
        <v>32115</v>
      </c>
      <c r="C545" s="153" t="s">
        <v>31</v>
      </c>
      <c r="D545" s="154">
        <v>28</v>
      </c>
      <c r="E545" s="231">
        <v>44839</v>
      </c>
      <c r="F545" s="154">
        <v>28</v>
      </c>
      <c r="G545" s="197">
        <f>Tabla111[[#This Row],[Importe]]-Tabla111[[#This Row],[Pagado]]</f>
        <v>0</v>
      </c>
      <c r="H545" s="153" t="s">
        <v>10</v>
      </c>
    </row>
    <row r="546" spans="1:8" x14ac:dyDescent="0.25">
      <c r="A546" s="73">
        <v>44839</v>
      </c>
      <c r="B546" s="74" t="s">
        <v>32116</v>
      </c>
      <c r="C546" s="75" t="s">
        <v>450</v>
      </c>
      <c r="D546" s="81">
        <v>1425</v>
      </c>
      <c r="E546" s="230">
        <v>44839</v>
      </c>
      <c r="F546" s="81">
        <v>1425</v>
      </c>
      <c r="G546" s="197">
        <f>Tabla111[[#This Row],[Importe]]-Tabla111[[#This Row],[Pagado]]</f>
        <v>0</v>
      </c>
      <c r="H546" s="75" t="s">
        <v>10</v>
      </c>
    </row>
    <row r="547" spans="1:8" x14ac:dyDescent="0.25">
      <c r="A547" s="148">
        <v>44839</v>
      </c>
      <c r="B547" s="149" t="s">
        <v>32117</v>
      </c>
      <c r="C547" s="153" t="s">
        <v>28087</v>
      </c>
      <c r="D547" s="154">
        <v>1151</v>
      </c>
      <c r="E547" s="231">
        <v>44840</v>
      </c>
      <c r="F547" s="154">
        <v>1151</v>
      </c>
      <c r="G547" s="197">
        <f>Tabla111[[#This Row],[Importe]]-Tabla111[[#This Row],[Pagado]]</f>
        <v>0</v>
      </c>
      <c r="H547" s="153" t="s">
        <v>10</v>
      </c>
    </row>
    <row r="548" spans="1:8" x14ac:dyDescent="0.25">
      <c r="A548" s="73">
        <v>44839</v>
      </c>
      <c r="B548" s="74" t="s">
        <v>32118</v>
      </c>
      <c r="C548" s="75" t="s">
        <v>9577</v>
      </c>
      <c r="D548" s="81">
        <v>24619.7</v>
      </c>
      <c r="E548" s="230">
        <v>44840</v>
      </c>
      <c r="F548" s="81">
        <v>24619.7</v>
      </c>
      <c r="G548" s="197">
        <f>Tabla111[[#This Row],[Importe]]-Tabla111[[#This Row],[Pagado]]</f>
        <v>0</v>
      </c>
      <c r="H548" s="75" t="s">
        <v>10</v>
      </c>
    </row>
    <row r="549" spans="1:8" x14ac:dyDescent="0.25">
      <c r="A549" s="148">
        <v>44839</v>
      </c>
      <c r="B549" s="149" t="s">
        <v>32119</v>
      </c>
      <c r="C549" s="153" t="s">
        <v>31</v>
      </c>
      <c r="D549" s="154">
        <v>1168</v>
      </c>
      <c r="E549" s="231">
        <v>44839</v>
      </c>
      <c r="F549" s="154">
        <v>1168</v>
      </c>
      <c r="G549" s="197">
        <f>Tabla111[[#This Row],[Importe]]-Tabla111[[#This Row],[Pagado]]</f>
        <v>0</v>
      </c>
      <c r="H549" s="153" t="s">
        <v>10</v>
      </c>
    </row>
    <row r="550" spans="1:8" x14ac:dyDescent="0.25">
      <c r="A550" s="73">
        <v>44839</v>
      </c>
      <c r="B550" s="74" t="s">
        <v>32120</v>
      </c>
      <c r="C550" s="75" t="s">
        <v>296</v>
      </c>
      <c r="D550" s="81">
        <v>3404.8</v>
      </c>
      <c r="E550" s="230">
        <v>44839</v>
      </c>
      <c r="F550" s="81">
        <v>3404.8</v>
      </c>
      <c r="G550" s="197">
        <f>Tabla111[[#This Row],[Importe]]-Tabla111[[#This Row],[Pagado]]</f>
        <v>0</v>
      </c>
      <c r="H550" s="75" t="s">
        <v>10</v>
      </c>
    </row>
    <row r="551" spans="1:8" x14ac:dyDescent="0.25">
      <c r="A551" s="148">
        <v>44839</v>
      </c>
      <c r="B551" s="149" t="s">
        <v>32121</v>
      </c>
      <c r="C551" s="153" t="s">
        <v>1339</v>
      </c>
      <c r="D551" s="154">
        <v>4517.3999999999996</v>
      </c>
      <c r="E551" s="231">
        <v>44839</v>
      </c>
      <c r="F551" s="154">
        <v>4517.3999999999996</v>
      </c>
      <c r="G551" s="197">
        <f>Tabla111[[#This Row],[Importe]]-Tabla111[[#This Row],[Pagado]]</f>
        <v>0</v>
      </c>
      <c r="H551" s="153" t="s">
        <v>10</v>
      </c>
    </row>
    <row r="552" spans="1:8" x14ac:dyDescent="0.25">
      <c r="A552" s="73">
        <v>44839</v>
      </c>
      <c r="B552" s="74" t="s">
        <v>32122</v>
      </c>
      <c r="C552" s="75" t="s">
        <v>27857</v>
      </c>
      <c r="D552" s="81">
        <v>0</v>
      </c>
      <c r="E552" s="232" t="s">
        <v>189</v>
      </c>
      <c r="F552" s="81">
        <v>0</v>
      </c>
      <c r="G552" s="197">
        <f>Tabla111[[#This Row],[Importe]]-Tabla111[[#This Row],[Pagado]]</f>
        <v>0</v>
      </c>
      <c r="H552" s="75" t="s">
        <v>189</v>
      </c>
    </row>
    <row r="553" spans="1:8" x14ac:dyDescent="0.25">
      <c r="A553" s="148">
        <v>44839</v>
      </c>
      <c r="B553" s="149" t="s">
        <v>32123</v>
      </c>
      <c r="C553" s="153" t="s">
        <v>167</v>
      </c>
      <c r="D553" s="154">
        <v>127066.4</v>
      </c>
      <c r="E553" s="231">
        <v>44839</v>
      </c>
      <c r="F553" s="154">
        <v>127066.4</v>
      </c>
      <c r="G553" s="197">
        <f>Tabla111[[#This Row],[Importe]]-Tabla111[[#This Row],[Pagado]]</f>
        <v>0</v>
      </c>
      <c r="H553" s="153" t="s">
        <v>10</v>
      </c>
    </row>
    <row r="554" spans="1:8" x14ac:dyDescent="0.25">
      <c r="A554" s="73">
        <v>44839</v>
      </c>
      <c r="B554" s="74" t="s">
        <v>32124</v>
      </c>
      <c r="C554" s="75" t="s">
        <v>282</v>
      </c>
      <c r="D554" s="81">
        <v>3277.5</v>
      </c>
      <c r="E554" s="230">
        <v>44840</v>
      </c>
      <c r="F554" s="81">
        <v>3277.5</v>
      </c>
      <c r="G554" s="197">
        <f>Tabla111[[#This Row],[Importe]]-Tabla111[[#This Row],[Pagado]]</f>
        <v>0</v>
      </c>
      <c r="H554" s="75" t="s">
        <v>10</v>
      </c>
    </row>
    <row r="555" spans="1:8" x14ac:dyDescent="0.25">
      <c r="A555" s="148">
        <v>44839</v>
      </c>
      <c r="B555" s="149" t="s">
        <v>32125</v>
      </c>
      <c r="C555" s="153" t="s">
        <v>284</v>
      </c>
      <c r="D555" s="154">
        <v>7815</v>
      </c>
      <c r="E555" s="231">
        <v>44840</v>
      </c>
      <c r="F555" s="154">
        <v>7815</v>
      </c>
      <c r="G555" s="197">
        <f>Tabla111[[#This Row],[Importe]]-Tabla111[[#This Row],[Pagado]]</f>
        <v>0</v>
      </c>
      <c r="H555" s="153" t="s">
        <v>10</v>
      </c>
    </row>
    <row r="556" spans="1:8" x14ac:dyDescent="0.25">
      <c r="A556" s="73">
        <v>44839</v>
      </c>
      <c r="B556" s="74" t="s">
        <v>32126</v>
      </c>
      <c r="C556" s="75" t="s">
        <v>280</v>
      </c>
      <c r="D556" s="81">
        <v>1192.5</v>
      </c>
      <c r="E556" s="230">
        <v>44840</v>
      </c>
      <c r="F556" s="81">
        <v>1192.5</v>
      </c>
      <c r="G556" s="197">
        <f>Tabla111[[#This Row],[Importe]]-Tabla111[[#This Row],[Pagado]]</f>
        <v>0</v>
      </c>
      <c r="H556" s="75" t="s">
        <v>10</v>
      </c>
    </row>
    <row r="557" spans="1:8" x14ac:dyDescent="0.25">
      <c r="A557" s="148">
        <v>44839</v>
      </c>
      <c r="B557" s="149" t="s">
        <v>32127</v>
      </c>
      <c r="C557" s="153" t="s">
        <v>5345</v>
      </c>
      <c r="D557" s="154">
        <v>2572.5</v>
      </c>
      <c r="E557" s="231">
        <v>44840</v>
      </c>
      <c r="F557" s="154">
        <v>2572.5</v>
      </c>
      <c r="G557" s="197">
        <f>Tabla111[[#This Row],[Importe]]-Tabla111[[#This Row],[Pagado]]</f>
        <v>0</v>
      </c>
      <c r="H557" s="153" t="s">
        <v>10</v>
      </c>
    </row>
    <row r="558" spans="1:8" x14ac:dyDescent="0.25">
      <c r="A558" s="73">
        <v>44839</v>
      </c>
      <c r="B558" s="74" t="s">
        <v>32128</v>
      </c>
      <c r="C558" s="75" t="s">
        <v>10819</v>
      </c>
      <c r="D558" s="81">
        <v>1515</v>
      </c>
      <c r="E558" s="230">
        <v>44840</v>
      </c>
      <c r="F558" s="81">
        <v>1515</v>
      </c>
      <c r="G558" s="197">
        <f>Tabla111[[#This Row],[Importe]]-Tabla111[[#This Row],[Pagado]]</f>
        <v>0</v>
      </c>
      <c r="H558" s="75" t="s">
        <v>10</v>
      </c>
    </row>
    <row r="559" spans="1:8" x14ac:dyDescent="0.25">
      <c r="A559" s="148">
        <v>44839</v>
      </c>
      <c r="B559" s="149" t="s">
        <v>32129</v>
      </c>
      <c r="C559" s="153" t="s">
        <v>610</v>
      </c>
      <c r="D559" s="154">
        <v>31782</v>
      </c>
      <c r="E559" s="231">
        <v>44839</v>
      </c>
      <c r="F559" s="154">
        <v>31782</v>
      </c>
      <c r="G559" s="197">
        <f>Tabla111[[#This Row],[Importe]]-Tabla111[[#This Row],[Pagado]]</f>
        <v>0</v>
      </c>
      <c r="H559" s="153" t="s">
        <v>10</v>
      </c>
    </row>
    <row r="560" spans="1:8" x14ac:dyDescent="0.25">
      <c r="A560" s="73">
        <v>44839</v>
      </c>
      <c r="B560" s="74" t="s">
        <v>32130</v>
      </c>
      <c r="C560" s="75" t="s">
        <v>22</v>
      </c>
      <c r="D560" s="81">
        <v>262.8</v>
      </c>
      <c r="E560" s="230">
        <v>44840</v>
      </c>
      <c r="F560" s="81">
        <v>262.8</v>
      </c>
      <c r="G560" s="197">
        <f>Tabla111[[#This Row],[Importe]]-Tabla111[[#This Row],[Pagado]]</f>
        <v>0</v>
      </c>
      <c r="H560" s="75" t="s">
        <v>10</v>
      </c>
    </row>
    <row r="561" spans="1:8" x14ac:dyDescent="0.25">
      <c r="A561" s="148">
        <v>44839</v>
      </c>
      <c r="B561" s="149" t="s">
        <v>32131</v>
      </c>
      <c r="C561" s="153" t="s">
        <v>53</v>
      </c>
      <c r="D561" s="154">
        <v>1985.4</v>
      </c>
      <c r="E561" s="231">
        <v>44839</v>
      </c>
      <c r="F561" s="154">
        <v>1985.4</v>
      </c>
      <c r="G561" s="197">
        <f>Tabla111[[#This Row],[Importe]]-Tabla111[[#This Row],[Pagado]]</f>
        <v>0</v>
      </c>
      <c r="H561" s="153" t="s">
        <v>10</v>
      </c>
    </row>
    <row r="562" spans="1:8" x14ac:dyDescent="0.25">
      <c r="A562" s="73">
        <v>44839</v>
      </c>
      <c r="B562" s="74" t="s">
        <v>32132</v>
      </c>
      <c r="C562" s="75" t="s">
        <v>196</v>
      </c>
      <c r="D562" s="81">
        <v>13143.34</v>
      </c>
      <c r="E562" s="230">
        <v>44841</v>
      </c>
      <c r="F562" s="81">
        <v>13143.34</v>
      </c>
      <c r="G562" s="197">
        <f>Tabla111[[#This Row],[Importe]]-Tabla111[[#This Row],[Pagado]]</f>
        <v>0</v>
      </c>
      <c r="H562" s="75" t="s">
        <v>10</v>
      </c>
    </row>
    <row r="563" spans="1:8" x14ac:dyDescent="0.25">
      <c r="A563" s="148">
        <v>44839</v>
      </c>
      <c r="B563" s="149" t="s">
        <v>32133</v>
      </c>
      <c r="C563" s="153" t="s">
        <v>32134</v>
      </c>
      <c r="D563" s="154">
        <v>0</v>
      </c>
      <c r="E563" s="233" t="s">
        <v>189</v>
      </c>
      <c r="F563" s="154">
        <v>0</v>
      </c>
      <c r="G563" s="197">
        <f>Tabla111[[#This Row],[Importe]]-Tabla111[[#This Row],[Pagado]]</f>
        <v>0</v>
      </c>
      <c r="H563" s="153" t="s">
        <v>189</v>
      </c>
    </row>
    <row r="564" spans="1:8" x14ac:dyDescent="0.25">
      <c r="A564" s="73">
        <v>44839</v>
      </c>
      <c r="B564" s="74" t="s">
        <v>32135</v>
      </c>
      <c r="C564" s="75" t="s">
        <v>409</v>
      </c>
      <c r="D564" s="81">
        <v>15697.04</v>
      </c>
      <c r="E564" s="230">
        <v>44845</v>
      </c>
      <c r="F564" s="81">
        <v>15697.04</v>
      </c>
      <c r="G564" s="197">
        <f>Tabla111[[#This Row],[Importe]]-Tabla111[[#This Row],[Pagado]]</f>
        <v>0</v>
      </c>
      <c r="H564" s="75" t="s">
        <v>10</v>
      </c>
    </row>
    <row r="565" spans="1:8" x14ac:dyDescent="0.25">
      <c r="A565" s="148">
        <v>44840</v>
      </c>
      <c r="B565" s="149" t="s">
        <v>32136</v>
      </c>
      <c r="C565" s="153" t="s">
        <v>887</v>
      </c>
      <c r="D565" s="154">
        <v>14123.6</v>
      </c>
      <c r="E565" s="231">
        <v>44840</v>
      </c>
      <c r="F565" s="154">
        <v>14123.6</v>
      </c>
      <c r="G565" s="197">
        <f>Tabla111[[#This Row],[Importe]]-Tabla111[[#This Row],[Pagado]]</f>
        <v>0</v>
      </c>
      <c r="H565" s="153" t="s">
        <v>10</v>
      </c>
    </row>
    <row r="566" spans="1:8" x14ac:dyDescent="0.25">
      <c r="A566" s="73">
        <v>44840</v>
      </c>
      <c r="B566" s="74" t="s">
        <v>32137</v>
      </c>
      <c r="C566" s="75" t="s">
        <v>475</v>
      </c>
      <c r="D566" s="81">
        <v>54256.6</v>
      </c>
      <c r="E566" s="230">
        <v>44841</v>
      </c>
      <c r="F566" s="81">
        <v>54256.6</v>
      </c>
      <c r="G566" s="197">
        <f>Tabla111[[#This Row],[Importe]]-Tabla111[[#This Row],[Pagado]]</f>
        <v>0</v>
      </c>
      <c r="H566" s="75" t="s">
        <v>10</v>
      </c>
    </row>
    <row r="567" spans="1:8" x14ac:dyDescent="0.25">
      <c r="A567" s="148">
        <v>44840</v>
      </c>
      <c r="B567" s="149" t="s">
        <v>32138</v>
      </c>
      <c r="C567" s="153" t="s">
        <v>12</v>
      </c>
      <c r="D567" s="154">
        <v>31814.45</v>
      </c>
      <c r="E567" s="231">
        <v>44840</v>
      </c>
      <c r="F567" s="154">
        <v>31814.45</v>
      </c>
      <c r="G567" s="197">
        <f>Tabla111[[#This Row],[Importe]]-Tabla111[[#This Row],[Pagado]]</f>
        <v>0</v>
      </c>
      <c r="H567" s="153" t="s">
        <v>10</v>
      </c>
    </row>
    <row r="568" spans="1:8" x14ac:dyDescent="0.25">
      <c r="A568" s="73">
        <v>44840</v>
      </c>
      <c r="B568" s="74" t="s">
        <v>32139</v>
      </c>
      <c r="C568" s="75" t="s">
        <v>151</v>
      </c>
      <c r="D568" s="81">
        <v>7945.4</v>
      </c>
      <c r="E568" s="230">
        <v>44840</v>
      </c>
      <c r="F568" s="81">
        <v>7945.4</v>
      </c>
      <c r="G568" s="197">
        <f>Tabla111[[#This Row],[Importe]]-Tabla111[[#This Row],[Pagado]]</f>
        <v>0</v>
      </c>
      <c r="H568" s="75" t="s">
        <v>10</v>
      </c>
    </row>
    <row r="569" spans="1:8" x14ac:dyDescent="0.25">
      <c r="A569" s="148">
        <v>44840</v>
      </c>
      <c r="B569" s="149" t="s">
        <v>32140</v>
      </c>
      <c r="C569" s="153" t="s">
        <v>89</v>
      </c>
      <c r="D569" s="154">
        <v>8642</v>
      </c>
      <c r="E569" s="231">
        <v>44841</v>
      </c>
      <c r="F569" s="154">
        <v>8642</v>
      </c>
      <c r="G569" s="197">
        <f>Tabla111[[#This Row],[Importe]]-Tabla111[[#This Row],[Pagado]]</f>
        <v>0</v>
      </c>
      <c r="H569" s="153" t="s">
        <v>10</v>
      </c>
    </row>
    <row r="570" spans="1:8" x14ac:dyDescent="0.25">
      <c r="A570" s="73">
        <v>44840</v>
      </c>
      <c r="B570" s="74" t="s">
        <v>32141</v>
      </c>
      <c r="C570" s="75" t="s">
        <v>109</v>
      </c>
      <c r="D570" s="81">
        <v>5934.5</v>
      </c>
      <c r="E570" s="230">
        <v>44841</v>
      </c>
      <c r="F570" s="81">
        <v>5934.5</v>
      </c>
      <c r="G570" s="197">
        <f>Tabla111[[#This Row],[Importe]]-Tabla111[[#This Row],[Pagado]]</f>
        <v>0</v>
      </c>
      <c r="H570" s="75" t="s">
        <v>10</v>
      </c>
    </row>
    <row r="571" spans="1:8" x14ac:dyDescent="0.25">
      <c r="A571" s="148">
        <v>44840</v>
      </c>
      <c r="B571" s="149" t="s">
        <v>32142</v>
      </c>
      <c r="C571" s="153" t="s">
        <v>64</v>
      </c>
      <c r="D571" s="154">
        <v>4914</v>
      </c>
      <c r="E571" s="231">
        <v>44841</v>
      </c>
      <c r="F571" s="154">
        <v>4914</v>
      </c>
      <c r="G571" s="197">
        <f>Tabla111[[#This Row],[Importe]]-Tabla111[[#This Row],[Pagado]]</f>
        <v>0</v>
      </c>
      <c r="H571" s="153" t="s">
        <v>10</v>
      </c>
    </row>
    <row r="572" spans="1:8" x14ac:dyDescent="0.25">
      <c r="A572" s="73">
        <v>44840</v>
      </c>
      <c r="B572" s="74" t="s">
        <v>32143</v>
      </c>
      <c r="C572" s="75" t="s">
        <v>93</v>
      </c>
      <c r="D572" s="81">
        <v>7589.3</v>
      </c>
      <c r="E572" s="230" t="s">
        <v>32039</v>
      </c>
      <c r="F572" s="81">
        <f>4000+3589.3</f>
        <v>7589.3</v>
      </c>
      <c r="G572" s="197">
        <f>Tabla111[[#This Row],[Importe]]-Tabla111[[#This Row],[Pagado]]</f>
        <v>0</v>
      </c>
      <c r="H572" s="75" t="s">
        <v>10</v>
      </c>
    </row>
    <row r="573" spans="1:8" x14ac:dyDescent="0.25">
      <c r="A573" s="148">
        <v>44840</v>
      </c>
      <c r="B573" s="149" t="s">
        <v>32144</v>
      </c>
      <c r="C573" s="153" t="s">
        <v>481</v>
      </c>
      <c r="D573" s="154">
        <v>666.4</v>
      </c>
      <c r="E573" s="231">
        <v>44840</v>
      </c>
      <c r="F573" s="154">
        <v>666.4</v>
      </c>
      <c r="G573" s="197">
        <f>Tabla111[[#This Row],[Importe]]-Tabla111[[#This Row],[Pagado]]</f>
        <v>0</v>
      </c>
      <c r="H573" s="153" t="s">
        <v>10</v>
      </c>
    </row>
    <row r="574" spans="1:8" x14ac:dyDescent="0.25">
      <c r="A574" s="73">
        <v>44840</v>
      </c>
      <c r="B574" s="74" t="s">
        <v>32145</v>
      </c>
      <c r="C574" s="75" t="s">
        <v>618</v>
      </c>
      <c r="D574" s="81">
        <v>12748</v>
      </c>
      <c r="E574" s="230">
        <v>44840</v>
      </c>
      <c r="F574" s="81">
        <v>12748</v>
      </c>
      <c r="G574" s="197">
        <f>Tabla111[[#This Row],[Importe]]-Tabla111[[#This Row],[Pagado]]</f>
        <v>0</v>
      </c>
      <c r="H574" s="75" t="s">
        <v>10</v>
      </c>
    </row>
    <row r="575" spans="1:8" x14ac:dyDescent="0.25">
      <c r="A575" s="148">
        <v>44840</v>
      </c>
      <c r="B575" s="149" t="s">
        <v>32146</v>
      </c>
      <c r="C575" s="153" t="s">
        <v>159</v>
      </c>
      <c r="D575" s="154">
        <v>2012.6</v>
      </c>
      <c r="E575" s="231">
        <v>44840</v>
      </c>
      <c r="F575" s="154">
        <v>2012.6</v>
      </c>
      <c r="G575" s="197">
        <f>Tabla111[[#This Row],[Importe]]-Tabla111[[#This Row],[Pagado]]</f>
        <v>0</v>
      </c>
      <c r="H575" s="153" t="s">
        <v>10</v>
      </c>
    </row>
    <row r="576" spans="1:8" x14ac:dyDescent="0.25">
      <c r="A576" s="73">
        <v>44840</v>
      </c>
      <c r="B576" s="74" t="s">
        <v>32147</v>
      </c>
      <c r="C576" s="75" t="s">
        <v>105</v>
      </c>
      <c r="D576" s="81">
        <v>11310</v>
      </c>
      <c r="E576" s="230">
        <v>44841</v>
      </c>
      <c r="F576" s="81">
        <v>11310</v>
      </c>
      <c r="G576" s="197">
        <f>Tabla111[[#This Row],[Importe]]-Tabla111[[#This Row],[Pagado]]</f>
        <v>0</v>
      </c>
      <c r="H576" s="75" t="s">
        <v>10</v>
      </c>
    </row>
    <row r="577" spans="1:8" x14ac:dyDescent="0.25">
      <c r="A577" s="148">
        <v>44840</v>
      </c>
      <c r="B577" s="149" t="s">
        <v>32148</v>
      </c>
      <c r="C577" s="153" t="s">
        <v>22</v>
      </c>
      <c r="D577" s="154">
        <v>32414.799999999999</v>
      </c>
      <c r="E577" s="231" t="s">
        <v>31544</v>
      </c>
      <c r="F577" s="154">
        <f>30000+2414.8</f>
        <v>32414.799999999999</v>
      </c>
      <c r="G577" s="197">
        <f>Tabla111[[#This Row],[Importe]]-Tabla111[[#This Row],[Pagado]]</f>
        <v>0</v>
      </c>
      <c r="H577" s="153" t="s">
        <v>10</v>
      </c>
    </row>
    <row r="578" spans="1:8" x14ac:dyDescent="0.25">
      <c r="A578" s="73">
        <v>44840</v>
      </c>
      <c r="B578" s="74" t="s">
        <v>32149</v>
      </c>
      <c r="C578" s="75" t="s">
        <v>114</v>
      </c>
      <c r="D578" s="81">
        <v>5320.8</v>
      </c>
      <c r="E578" s="230">
        <v>44841</v>
      </c>
      <c r="F578" s="81">
        <v>5320.8</v>
      </c>
      <c r="G578" s="197">
        <f>Tabla111[[#This Row],[Importe]]-Tabla111[[#This Row],[Pagado]]</f>
        <v>0</v>
      </c>
      <c r="H578" s="75" t="s">
        <v>10</v>
      </c>
    </row>
    <row r="579" spans="1:8" x14ac:dyDescent="0.25">
      <c r="A579" s="148">
        <v>44840</v>
      </c>
      <c r="B579" s="149" t="s">
        <v>32150</v>
      </c>
      <c r="C579" s="153" t="s">
        <v>39</v>
      </c>
      <c r="D579" s="154">
        <v>11973.2</v>
      </c>
      <c r="E579" s="231">
        <v>44841</v>
      </c>
      <c r="F579" s="154">
        <f>7200+4773.2</f>
        <v>11973.2</v>
      </c>
      <c r="G579" s="197">
        <f>Tabla111[[#This Row],[Importe]]-Tabla111[[#This Row],[Pagado]]</f>
        <v>0</v>
      </c>
      <c r="H579" s="153" t="s">
        <v>10</v>
      </c>
    </row>
    <row r="580" spans="1:8" x14ac:dyDescent="0.25">
      <c r="A580" s="73">
        <v>44840</v>
      </c>
      <c r="B580" s="74" t="s">
        <v>32151</v>
      </c>
      <c r="C580" s="75" t="s">
        <v>97</v>
      </c>
      <c r="D580" s="81">
        <v>1094.4000000000001</v>
      </c>
      <c r="E580" s="230">
        <v>44841</v>
      </c>
      <c r="F580" s="81">
        <v>1094.4000000000001</v>
      </c>
      <c r="G580" s="197">
        <f>Tabla111[[#This Row],[Importe]]-Tabla111[[#This Row],[Pagado]]</f>
        <v>0</v>
      </c>
      <c r="H580" s="75" t="s">
        <v>10</v>
      </c>
    </row>
    <row r="581" spans="1:8" x14ac:dyDescent="0.25">
      <c r="A581" s="148">
        <v>44840</v>
      </c>
      <c r="B581" s="149" t="s">
        <v>32152</v>
      </c>
      <c r="C581" s="153" t="s">
        <v>934</v>
      </c>
      <c r="D581" s="154">
        <v>2315.4</v>
      </c>
      <c r="E581" s="231">
        <v>44840</v>
      </c>
      <c r="F581" s="154">
        <v>2315.4</v>
      </c>
      <c r="G581" s="197">
        <f>Tabla111[[#This Row],[Importe]]-Tabla111[[#This Row],[Pagado]]</f>
        <v>0</v>
      </c>
      <c r="H581" s="153" t="s">
        <v>10</v>
      </c>
    </row>
    <row r="582" spans="1:8" x14ac:dyDescent="0.25">
      <c r="A582" s="73">
        <v>44840</v>
      </c>
      <c r="B582" s="74" t="s">
        <v>32153</v>
      </c>
      <c r="C582" s="75" t="s">
        <v>966</v>
      </c>
      <c r="D582" s="81">
        <v>5644.6</v>
      </c>
      <c r="E582" s="230">
        <v>44840</v>
      </c>
      <c r="F582" s="81">
        <v>5644.6</v>
      </c>
      <c r="G582" s="197">
        <f>Tabla111[[#This Row],[Importe]]-Tabla111[[#This Row],[Pagado]]</f>
        <v>0</v>
      </c>
      <c r="H582" s="75" t="s">
        <v>10</v>
      </c>
    </row>
    <row r="583" spans="1:8" x14ac:dyDescent="0.25">
      <c r="A583" s="148">
        <v>44840</v>
      </c>
      <c r="B583" s="149" t="s">
        <v>32154</v>
      </c>
      <c r="C583" s="153" t="s">
        <v>5906</v>
      </c>
      <c r="D583" s="154">
        <v>580.79999999999995</v>
      </c>
      <c r="E583" s="231">
        <v>44840</v>
      </c>
      <c r="F583" s="154">
        <v>580.79999999999995</v>
      </c>
      <c r="G583" s="197">
        <f>Tabla111[[#This Row],[Importe]]-Tabla111[[#This Row],[Pagado]]</f>
        <v>0</v>
      </c>
      <c r="H583" s="153" t="s">
        <v>10</v>
      </c>
    </row>
    <row r="584" spans="1:8" x14ac:dyDescent="0.25">
      <c r="A584" s="73">
        <v>44840</v>
      </c>
      <c r="B584" s="74" t="s">
        <v>32155</v>
      </c>
      <c r="C584" s="75" t="s">
        <v>31323</v>
      </c>
      <c r="D584" s="81">
        <v>4924.8</v>
      </c>
      <c r="E584" s="230">
        <v>44840</v>
      </c>
      <c r="F584" s="81">
        <v>4924.8</v>
      </c>
      <c r="G584" s="197">
        <f>Tabla111[[#This Row],[Importe]]-Tabla111[[#This Row],[Pagado]]</f>
        <v>0</v>
      </c>
      <c r="H584" s="75" t="s">
        <v>10</v>
      </c>
    </row>
    <row r="585" spans="1:8" x14ac:dyDescent="0.25">
      <c r="A585" s="148">
        <v>44840</v>
      </c>
      <c r="B585" s="149" t="s">
        <v>32156</v>
      </c>
      <c r="C585" s="153" t="s">
        <v>131</v>
      </c>
      <c r="D585" s="154">
        <v>6442.5</v>
      </c>
      <c r="E585" s="231">
        <v>44840</v>
      </c>
      <c r="F585" s="154">
        <v>6442.5</v>
      </c>
      <c r="G585" s="197">
        <f>Tabla111[[#This Row],[Importe]]-Tabla111[[#This Row],[Pagado]]</f>
        <v>0</v>
      </c>
      <c r="H585" s="153" t="s">
        <v>10</v>
      </c>
    </row>
    <row r="586" spans="1:8" x14ac:dyDescent="0.25">
      <c r="A586" s="73">
        <v>44840</v>
      </c>
      <c r="B586" s="74" t="s">
        <v>32157</v>
      </c>
      <c r="C586" s="75" t="s">
        <v>520</v>
      </c>
      <c r="D586" s="81">
        <v>3920.8</v>
      </c>
      <c r="E586" s="230">
        <v>44840</v>
      </c>
      <c r="F586" s="81">
        <v>3920.8</v>
      </c>
      <c r="G586" s="197">
        <f>Tabla111[[#This Row],[Importe]]-Tabla111[[#This Row],[Pagado]]</f>
        <v>0</v>
      </c>
      <c r="H586" s="75" t="s">
        <v>10</v>
      </c>
    </row>
    <row r="587" spans="1:8" x14ac:dyDescent="0.25">
      <c r="A587" s="148">
        <v>44840</v>
      </c>
      <c r="B587" s="149" t="s">
        <v>32158</v>
      </c>
      <c r="C587" s="153" t="s">
        <v>157</v>
      </c>
      <c r="D587" s="154">
        <v>5969.2</v>
      </c>
      <c r="E587" s="231">
        <v>44840</v>
      </c>
      <c r="F587" s="154">
        <v>5969.2</v>
      </c>
      <c r="G587" s="197">
        <f>Tabla111[[#This Row],[Importe]]-Tabla111[[#This Row],[Pagado]]</f>
        <v>0</v>
      </c>
      <c r="H587" s="153" t="s">
        <v>10</v>
      </c>
    </row>
    <row r="588" spans="1:8" x14ac:dyDescent="0.25">
      <c r="A588" s="73">
        <v>44840</v>
      </c>
      <c r="B588" s="74" t="s">
        <v>32159</v>
      </c>
      <c r="C588" s="75" t="s">
        <v>9</v>
      </c>
      <c r="D588" s="81">
        <v>8569.1</v>
      </c>
      <c r="E588" s="230">
        <v>44840</v>
      </c>
      <c r="F588" s="81">
        <v>8569.1</v>
      </c>
      <c r="G588" s="197">
        <f>Tabla111[[#This Row],[Importe]]-Tabla111[[#This Row],[Pagado]]</f>
        <v>0</v>
      </c>
      <c r="H588" s="75" t="s">
        <v>10</v>
      </c>
    </row>
    <row r="589" spans="1:8" x14ac:dyDescent="0.25">
      <c r="A589" s="148">
        <v>44840</v>
      </c>
      <c r="B589" s="149" t="s">
        <v>32160</v>
      </c>
      <c r="C589" s="153" t="s">
        <v>87</v>
      </c>
      <c r="D589" s="154">
        <v>2826.6</v>
      </c>
      <c r="E589" s="231">
        <v>44840</v>
      </c>
      <c r="F589" s="154">
        <v>2826.6</v>
      </c>
      <c r="G589" s="197">
        <f>Tabla111[[#This Row],[Importe]]-Tabla111[[#This Row],[Pagado]]</f>
        <v>0</v>
      </c>
      <c r="H589" s="153" t="s">
        <v>10</v>
      </c>
    </row>
    <row r="590" spans="1:8" x14ac:dyDescent="0.25">
      <c r="A590" s="73">
        <v>44840</v>
      </c>
      <c r="B590" s="74" t="s">
        <v>32161</v>
      </c>
      <c r="C590" s="75" t="s">
        <v>83</v>
      </c>
      <c r="D590" s="81">
        <v>9420</v>
      </c>
      <c r="E590" s="230">
        <v>44840</v>
      </c>
      <c r="F590" s="81">
        <v>9420</v>
      </c>
      <c r="G590" s="197">
        <f>Tabla111[[#This Row],[Importe]]-Tabla111[[#This Row],[Pagado]]</f>
        <v>0</v>
      </c>
      <c r="H590" s="75" t="s">
        <v>10</v>
      </c>
    </row>
    <row r="591" spans="1:8" x14ac:dyDescent="0.25">
      <c r="A591" s="148">
        <v>44840</v>
      </c>
      <c r="B591" s="149" t="s">
        <v>32162</v>
      </c>
      <c r="C591" s="153" t="s">
        <v>79</v>
      </c>
      <c r="D591" s="154">
        <v>12594.6</v>
      </c>
      <c r="E591" s="231">
        <v>44840</v>
      </c>
      <c r="F591" s="154">
        <v>12594.6</v>
      </c>
      <c r="G591" s="197">
        <f>Tabla111[[#This Row],[Importe]]-Tabla111[[#This Row],[Pagado]]</f>
        <v>0</v>
      </c>
      <c r="H591" s="153" t="s">
        <v>10</v>
      </c>
    </row>
    <row r="592" spans="1:8" x14ac:dyDescent="0.25">
      <c r="A592" s="73">
        <v>44840</v>
      </c>
      <c r="B592" s="74" t="s">
        <v>32163</v>
      </c>
      <c r="C592" s="75" t="s">
        <v>157</v>
      </c>
      <c r="D592" s="81">
        <v>950.4</v>
      </c>
      <c r="E592" s="230">
        <v>44840</v>
      </c>
      <c r="F592" s="81">
        <v>950.4</v>
      </c>
      <c r="G592" s="197">
        <f>Tabla111[[#This Row],[Importe]]-Tabla111[[#This Row],[Pagado]]</f>
        <v>0</v>
      </c>
      <c r="H592" s="75" t="s">
        <v>10</v>
      </c>
    </row>
    <row r="593" spans="1:8" x14ac:dyDescent="0.25">
      <c r="A593" s="148">
        <v>44840</v>
      </c>
      <c r="B593" s="149" t="s">
        <v>32164</v>
      </c>
      <c r="C593" s="153" t="s">
        <v>75</v>
      </c>
      <c r="D593" s="154">
        <v>7860</v>
      </c>
      <c r="E593" s="231">
        <v>44840</v>
      </c>
      <c r="F593" s="154">
        <v>7860</v>
      </c>
      <c r="G593" s="197">
        <f>Tabla111[[#This Row],[Importe]]-Tabla111[[#This Row],[Pagado]]</f>
        <v>0</v>
      </c>
      <c r="H593" s="153" t="s">
        <v>10</v>
      </c>
    </row>
    <row r="594" spans="1:8" x14ac:dyDescent="0.25">
      <c r="A594" s="73">
        <v>44840</v>
      </c>
      <c r="B594" s="74" t="s">
        <v>32165</v>
      </c>
      <c r="C594" s="75" t="s">
        <v>31</v>
      </c>
      <c r="D594" s="81">
        <v>4552.5</v>
      </c>
      <c r="E594" s="230">
        <v>44840</v>
      </c>
      <c r="F594" s="81">
        <v>4552.5</v>
      </c>
      <c r="G594" s="197">
        <f>Tabla111[[#This Row],[Importe]]-Tabla111[[#This Row],[Pagado]]</f>
        <v>0</v>
      </c>
      <c r="H594" s="75" t="s">
        <v>10</v>
      </c>
    </row>
    <row r="595" spans="1:8" x14ac:dyDescent="0.25">
      <c r="A595" s="148">
        <v>44840</v>
      </c>
      <c r="B595" s="149" t="s">
        <v>32166</v>
      </c>
      <c r="C595" s="153" t="s">
        <v>924</v>
      </c>
      <c r="D595" s="154">
        <v>23408.2</v>
      </c>
      <c r="E595" s="231">
        <v>44840</v>
      </c>
      <c r="F595" s="154">
        <v>23408.2</v>
      </c>
      <c r="G595" s="197">
        <f>Tabla111[[#This Row],[Importe]]-Tabla111[[#This Row],[Pagado]]</f>
        <v>0</v>
      </c>
      <c r="H595" s="153" t="s">
        <v>10</v>
      </c>
    </row>
    <row r="596" spans="1:8" x14ac:dyDescent="0.25">
      <c r="A596" s="73">
        <v>44840</v>
      </c>
      <c r="B596" s="74" t="s">
        <v>32167</v>
      </c>
      <c r="C596" s="75" t="s">
        <v>17556</v>
      </c>
      <c r="D596" s="81">
        <v>4327.6000000000004</v>
      </c>
      <c r="E596" s="230">
        <v>44840</v>
      </c>
      <c r="F596" s="81">
        <v>4327.6000000000004</v>
      </c>
      <c r="G596" s="197">
        <f>Tabla111[[#This Row],[Importe]]-Tabla111[[#This Row],[Pagado]]</f>
        <v>0</v>
      </c>
      <c r="H596" s="75" t="s">
        <v>10</v>
      </c>
    </row>
    <row r="597" spans="1:8" x14ac:dyDescent="0.25">
      <c r="A597" s="148">
        <v>44840</v>
      </c>
      <c r="B597" s="149" t="s">
        <v>32168</v>
      </c>
      <c r="C597" s="153" t="s">
        <v>647</v>
      </c>
      <c r="D597" s="154">
        <v>4498.8999999999996</v>
      </c>
      <c r="E597" s="231">
        <v>44840</v>
      </c>
      <c r="F597" s="154">
        <v>4498.8999999999996</v>
      </c>
      <c r="G597" s="197">
        <f>Tabla111[[#This Row],[Importe]]-Tabla111[[#This Row],[Pagado]]</f>
        <v>0</v>
      </c>
      <c r="H597" s="153" t="s">
        <v>10</v>
      </c>
    </row>
    <row r="598" spans="1:8" x14ac:dyDescent="0.25">
      <c r="A598" s="73">
        <v>44840</v>
      </c>
      <c r="B598" s="74" t="s">
        <v>32169</v>
      </c>
      <c r="C598" s="75" t="s">
        <v>319</v>
      </c>
      <c r="D598" s="81">
        <v>7712.2</v>
      </c>
      <c r="E598" s="230">
        <v>44840</v>
      </c>
      <c r="F598" s="81">
        <v>7712.2</v>
      </c>
      <c r="G598" s="197">
        <f>Tabla111[[#This Row],[Importe]]-Tabla111[[#This Row],[Pagado]]</f>
        <v>0</v>
      </c>
      <c r="H598" s="75" t="s">
        <v>10</v>
      </c>
    </row>
    <row r="599" spans="1:8" x14ac:dyDescent="0.25">
      <c r="A599" s="148">
        <v>44840</v>
      </c>
      <c r="B599" s="149" t="s">
        <v>32170</v>
      </c>
      <c r="C599" s="153" t="s">
        <v>129</v>
      </c>
      <c r="D599" s="154">
        <v>1442.4</v>
      </c>
      <c r="E599" s="231">
        <v>44840</v>
      </c>
      <c r="F599" s="154">
        <v>1442.4</v>
      </c>
      <c r="G599" s="197">
        <f>Tabla111[[#This Row],[Importe]]-Tabla111[[#This Row],[Pagado]]</f>
        <v>0</v>
      </c>
      <c r="H599" s="153" t="s">
        <v>10</v>
      </c>
    </row>
    <row r="600" spans="1:8" x14ac:dyDescent="0.25">
      <c r="A600" s="73">
        <v>44840</v>
      </c>
      <c r="B600" s="74" t="s">
        <v>32171</v>
      </c>
      <c r="C600" s="75" t="s">
        <v>140</v>
      </c>
      <c r="D600" s="81">
        <v>1271.4000000000001</v>
      </c>
      <c r="E600" s="230">
        <v>44840</v>
      </c>
      <c r="F600" s="81">
        <v>1271.4000000000001</v>
      </c>
      <c r="G600" s="197">
        <f>Tabla111[[#This Row],[Importe]]-Tabla111[[#This Row],[Pagado]]</f>
        <v>0</v>
      </c>
      <c r="H600" s="75" t="s">
        <v>10</v>
      </c>
    </row>
    <row r="601" spans="1:8" x14ac:dyDescent="0.25">
      <c r="A601" s="148">
        <v>44840</v>
      </c>
      <c r="B601" s="149" t="s">
        <v>32172</v>
      </c>
      <c r="C601" s="153" t="s">
        <v>333</v>
      </c>
      <c r="D601" s="154">
        <v>313.26</v>
      </c>
      <c r="E601" s="231">
        <v>44840</v>
      </c>
      <c r="F601" s="154">
        <v>313.26</v>
      </c>
      <c r="G601" s="197">
        <f>Tabla111[[#This Row],[Importe]]-Tabla111[[#This Row],[Pagado]]</f>
        <v>0</v>
      </c>
      <c r="H601" s="153" t="s">
        <v>10</v>
      </c>
    </row>
    <row r="602" spans="1:8" x14ac:dyDescent="0.25">
      <c r="A602" s="73">
        <v>44840</v>
      </c>
      <c r="B602" s="74" t="s">
        <v>32173</v>
      </c>
      <c r="C602" s="75" t="s">
        <v>127</v>
      </c>
      <c r="D602" s="81">
        <v>4856.3999999999996</v>
      </c>
      <c r="E602" s="230">
        <v>44840</v>
      </c>
      <c r="F602" s="81">
        <v>4856.3999999999996</v>
      </c>
      <c r="G602" s="197">
        <f>Tabla111[[#This Row],[Importe]]-Tabla111[[#This Row],[Pagado]]</f>
        <v>0</v>
      </c>
      <c r="H602" s="75" t="s">
        <v>10</v>
      </c>
    </row>
    <row r="603" spans="1:8" x14ac:dyDescent="0.25">
      <c r="A603" s="148">
        <v>44840</v>
      </c>
      <c r="B603" s="149" t="s">
        <v>32174</v>
      </c>
      <c r="C603" s="153" t="s">
        <v>357</v>
      </c>
      <c r="D603" s="154">
        <v>4020.4</v>
      </c>
      <c r="E603" s="231">
        <v>44840</v>
      </c>
      <c r="F603" s="154">
        <v>4020.4</v>
      </c>
      <c r="G603" s="197">
        <f>Tabla111[[#This Row],[Importe]]-Tabla111[[#This Row],[Pagado]]</f>
        <v>0</v>
      </c>
      <c r="H603" s="153" t="s">
        <v>10</v>
      </c>
    </row>
    <row r="604" spans="1:8" x14ac:dyDescent="0.25">
      <c r="A604" s="73">
        <v>44840</v>
      </c>
      <c r="B604" s="74" t="s">
        <v>32175</v>
      </c>
      <c r="C604" s="75" t="s">
        <v>45</v>
      </c>
      <c r="D604" s="81">
        <v>12506.4</v>
      </c>
      <c r="E604" s="230">
        <v>44840</v>
      </c>
      <c r="F604" s="81">
        <v>12506.4</v>
      </c>
      <c r="G604" s="197">
        <f>Tabla111[[#This Row],[Importe]]-Tabla111[[#This Row],[Pagado]]</f>
        <v>0</v>
      </c>
      <c r="H604" s="75" t="s">
        <v>10</v>
      </c>
    </row>
    <row r="605" spans="1:8" x14ac:dyDescent="0.25">
      <c r="A605" s="148">
        <v>44840</v>
      </c>
      <c r="B605" s="149" t="s">
        <v>32176</v>
      </c>
      <c r="C605" s="153" t="s">
        <v>49</v>
      </c>
      <c r="D605" s="154">
        <v>3620.6</v>
      </c>
      <c r="E605" s="231">
        <v>44840</v>
      </c>
      <c r="F605" s="154">
        <v>3620.6</v>
      </c>
      <c r="G605" s="197">
        <f>Tabla111[[#This Row],[Importe]]-Tabla111[[#This Row],[Pagado]]</f>
        <v>0</v>
      </c>
      <c r="H605" s="153" t="s">
        <v>10</v>
      </c>
    </row>
    <row r="606" spans="1:8" x14ac:dyDescent="0.25">
      <c r="A606" s="73">
        <v>44840</v>
      </c>
      <c r="B606" s="74" t="s">
        <v>32177</v>
      </c>
      <c r="C606" s="75" t="s">
        <v>56</v>
      </c>
      <c r="D606" s="81">
        <v>8636</v>
      </c>
      <c r="E606" s="230">
        <v>44840</v>
      </c>
      <c r="F606" s="81">
        <v>8636</v>
      </c>
      <c r="G606" s="197">
        <f>Tabla111[[#This Row],[Importe]]-Tabla111[[#This Row],[Pagado]]</f>
        <v>0</v>
      </c>
      <c r="H606" s="75" t="s">
        <v>10</v>
      </c>
    </row>
    <row r="607" spans="1:8" x14ac:dyDescent="0.25">
      <c r="A607" s="148">
        <v>44840</v>
      </c>
      <c r="B607" s="149" t="s">
        <v>32178</v>
      </c>
      <c r="C607" s="153" t="s">
        <v>228</v>
      </c>
      <c r="D607" s="154">
        <v>4371.6000000000004</v>
      </c>
      <c r="E607" s="231">
        <v>44840</v>
      </c>
      <c r="F607" s="154">
        <v>4371.6000000000004</v>
      </c>
      <c r="G607" s="197">
        <f>Tabla111[[#This Row],[Importe]]-Tabla111[[#This Row],[Pagado]]</f>
        <v>0</v>
      </c>
      <c r="H607" s="153" t="s">
        <v>10</v>
      </c>
    </row>
    <row r="608" spans="1:8" x14ac:dyDescent="0.25">
      <c r="A608" s="73">
        <v>44840</v>
      </c>
      <c r="B608" s="74" t="s">
        <v>32179</v>
      </c>
      <c r="C608" s="75" t="s">
        <v>175</v>
      </c>
      <c r="D608" s="81">
        <v>18665.8</v>
      </c>
      <c r="E608" s="230">
        <v>44840</v>
      </c>
      <c r="F608" s="81">
        <v>18665.8</v>
      </c>
      <c r="G608" s="197">
        <f>Tabla111[[#This Row],[Importe]]-Tabla111[[#This Row],[Pagado]]</f>
        <v>0</v>
      </c>
      <c r="H608" s="75" t="s">
        <v>10</v>
      </c>
    </row>
    <row r="609" spans="1:8" x14ac:dyDescent="0.25">
      <c r="A609" s="148">
        <v>44840</v>
      </c>
      <c r="B609" s="149" t="s">
        <v>32180</v>
      </c>
      <c r="C609" s="153" t="s">
        <v>146</v>
      </c>
      <c r="D609" s="154">
        <v>6027</v>
      </c>
      <c r="E609" s="231">
        <v>44840</v>
      </c>
      <c r="F609" s="154">
        <v>6027</v>
      </c>
      <c r="G609" s="197">
        <f>Tabla111[[#This Row],[Importe]]-Tabla111[[#This Row],[Pagado]]</f>
        <v>0</v>
      </c>
      <c r="H609" s="153" t="s">
        <v>10</v>
      </c>
    </row>
    <row r="610" spans="1:8" x14ac:dyDescent="0.25">
      <c r="A610" s="73">
        <v>44840</v>
      </c>
      <c r="B610" s="74" t="s">
        <v>32181</v>
      </c>
      <c r="C610" s="75" t="s">
        <v>664</v>
      </c>
      <c r="D610" s="81">
        <v>3378.4</v>
      </c>
      <c r="E610" s="230">
        <v>44840</v>
      </c>
      <c r="F610" s="81">
        <v>3378.4</v>
      </c>
      <c r="G610" s="197">
        <f>Tabla111[[#This Row],[Importe]]-Tabla111[[#This Row],[Pagado]]</f>
        <v>0</v>
      </c>
      <c r="H610" s="75" t="s">
        <v>10</v>
      </c>
    </row>
    <row r="611" spans="1:8" x14ac:dyDescent="0.25">
      <c r="A611" s="148">
        <v>44840</v>
      </c>
      <c r="B611" s="149" t="s">
        <v>32182</v>
      </c>
      <c r="C611" s="153" t="s">
        <v>664</v>
      </c>
      <c r="D611" s="154">
        <v>3069</v>
      </c>
      <c r="E611" s="231">
        <v>44840</v>
      </c>
      <c r="F611" s="154">
        <v>3069</v>
      </c>
      <c r="G611" s="197">
        <f>Tabla111[[#This Row],[Importe]]-Tabla111[[#This Row],[Pagado]]</f>
        <v>0</v>
      </c>
      <c r="H611" s="153" t="s">
        <v>10</v>
      </c>
    </row>
    <row r="612" spans="1:8" x14ac:dyDescent="0.25">
      <c r="A612" s="73">
        <v>44840</v>
      </c>
      <c r="B612" s="74" t="s">
        <v>32183</v>
      </c>
      <c r="C612" s="75" t="s">
        <v>214</v>
      </c>
      <c r="D612" s="81">
        <v>1402.5</v>
      </c>
      <c r="E612" s="230">
        <v>44840</v>
      </c>
      <c r="F612" s="81">
        <v>1402.5</v>
      </c>
      <c r="G612" s="197">
        <f>Tabla111[[#This Row],[Importe]]-Tabla111[[#This Row],[Pagado]]</f>
        <v>0</v>
      </c>
      <c r="H612" s="75" t="s">
        <v>10</v>
      </c>
    </row>
    <row r="613" spans="1:8" x14ac:dyDescent="0.25">
      <c r="A613" s="148">
        <v>44840</v>
      </c>
      <c r="B613" s="149" t="s">
        <v>32184</v>
      </c>
      <c r="C613" s="153" t="s">
        <v>58</v>
      </c>
      <c r="D613" s="154">
        <v>2256.1999999999998</v>
      </c>
      <c r="E613" s="231">
        <v>44840</v>
      </c>
      <c r="F613" s="154">
        <v>2256.1999999999998</v>
      </c>
      <c r="G613" s="197">
        <f>Tabla111[[#This Row],[Importe]]-Tabla111[[#This Row],[Pagado]]</f>
        <v>0</v>
      </c>
      <c r="H613" s="153" t="s">
        <v>10</v>
      </c>
    </row>
    <row r="614" spans="1:8" x14ac:dyDescent="0.25">
      <c r="A614" s="73">
        <v>44840</v>
      </c>
      <c r="B614" s="74" t="s">
        <v>32185</v>
      </c>
      <c r="C614" s="75" t="s">
        <v>9854</v>
      </c>
      <c r="D614" s="81">
        <v>1053</v>
      </c>
      <c r="E614" s="230">
        <v>44840</v>
      </c>
      <c r="F614" s="81">
        <v>1053</v>
      </c>
      <c r="G614" s="197">
        <f>Tabla111[[#This Row],[Importe]]-Tabla111[[#This Row],[Pagado]]</f>
        <v>0</v>
      </c>
      <c r="H614" s="75" t="s">
        <v>10</v>
      </c>
    </row>
    <row r="615" spans="1:8" x14ac:dyDescent="0.25">
      <c r="A615" s="148">
        <v>44840</v>
      </c>
      <c r="B615" s="149" t="s">
        <v>32186</v>
      </c>
      <c r="C615" s="153" t="s">
        <v>226</v>
      </c>
      <c r="D615" s="154">
        <v>3442.5</v>
      </c>
      <c r="E615" s="231">
        <v>44840</v>
      </c>
      <c r="F615" s="154">
        <v>3442.5</v>
      </c>
      <c r="G615" s="197">
        <f>Tabla111[[#This Row],[Importe]]-Tabla111[[#This Row],[Pagado]]</f>
        <v>0</v>
      </c>
      <c r="H615" s="153" t="s">
        <v>10</v>
      </c>
    </row>
    <row r="616" spans="1:8" x14ac:dyDescent="0.25">
      <c r="A616" s="73">
        <v>44840</v>
      </c>
      <c r="B616" s="74" t="s">
        <v>32187</v>
      </c>
      <c r="C616" s="75" t="s">
        <v>426</v>
      </c>
      <c r="D616" s="81">
        <v>2599.1999999999998</v>
      </c>
      <c r="E616" s="230">
        <v>44840</v>
      </c>
      <c r="F616" s="81">
        <v>2599.1999999999998</v>
      </c>
      <c r="G616" s="197">
        <f>Tabla111[[#This Row],[Importe]]-Tabla111[[#This Row],[Pagado]]</f>
        <v>0</v>
      </c>
      <c r="H616" s="75" t="s">
        <v>10</v>
      </c>
    </row>
    <row r="617" spans="1:8" x14ac:dyDescent="0.25">
      <c r="A617" s="148">
        <v>44840</v>
      </c>
      <c r="B617" s="149" t="s">
        <v>32188</v>
      </c>
      <c r="C617" s="153" t="s">
        <v>31</v>
      </c>
      <c r="D617" s="154">
        <v>7098.4</v>
      </c>
      <c r="E617" s="231">
        <v>44840</v>
      </c>
      <c r="F617" s="154">
        <v>7098.4</v>
      </c>
      <c r="G617" s="197">
        <f>Tabla111[[#This Row],[Importe]]-Tabla111[[#This Row],[Pagado]]</f>
        <v>0</v>
      </c>
      <c r="H617" s="153" t="s">
        <v>10</v>
      </c>
    </row>
    <row r="618" spans="1:8" x14ac:dyDescent="0.25">
      <c r="A618" s="73">
        <v>44840</v>
      </c>
      <c r="B618" s="74" t="s">
        <v>32189</v>
      </c>
      <c r="C618" s="75" t="s">
        <v>53</v>
      </c>
      <c r="D618" s="81">
        <v>2543.1999999999998</v>
      </c>
      <c r="E618" s="230">
        <v>44840</v>
      </c>
      <c r="F618" s="81">
        <v>2543.1999999999998</v>
      </c>
      <c r="G618" s="197">
        <f>Tabla111[[#This Row],[Importe]]-Tabla111[[#This Row],[Pagado]]</f>
        <v>0</v>
      </c>
      <c r="H618" s="75" t="s">
        <v>10</v>
      </c>
    </row>
    <row r="619" spans="1:8" x14ac:dyDescent="0.25">
      <c r="A619" s="148">
        <v>44840</v>
      </c>
      <c r="B619" s="149" t="s">
        <v>32190</v>
      </c>
      <c r="C619" s="153" t="s">
        <v>698</v>
      </c>
      <c r="D619" s="154">
        <v>7540.3</v>
      </c>
      <c r="E619" s="231">
        <v>44840</v>
      </c>
      <c r="F619" s="154">
        <v>7540.3</v>
      </c>
      <c r="G619" s="197">
        <f>Tabla111[[#This Row],[Importe]]-Tabla111[[#This Row],[Pagado]]</f>
        <v>0</v>
      </c>
      <c r="H619" s="153" t="s">
        <v>10</v>
      </c>
    </row>
    <row r="620" spans="1:8" x14ac:dyDescent="0.25">
      <c r="A620" s="73">
        <v>44840</v>
      </c>
      <c r="B620" s="74" t="s">
        <v>32191</v>
      </c>
      <c r="C620" s="75" t="s">
        <v>198</v>
      </c>
      <c r="D620" s="81">
        <v>4985.6000000000004</v>
      </c>
      <c r="E620" s="230">
        <v>44840</v>
      </c>
      <c r="F620" s="81">
        <v>4985.6000000000004</v>
      </c>
      <c r="G620" s="197">
        <f>Tabla111[[#This Row],[Importe]]-Tabla111[[#This Row],[Pagado]]</f>
        <v>0</v>
      </c>
      <c r="H620" s="75" t="s">
        <v>10</v>
      </c>
    </row>
    <row r="621" spans="1:8" x14ac:dyDescent="0.25">
      <c r="A621" s="148">
        <v>44840</v>
      </c>
      <c r="B621" s="149" t="s">
        <v>32192</v>
      </c>
      <c r="C621" s="153" t="s">
        <v>31</v>
      </c>
      <c r="D621" s="154">
        <v>1635</v>
      </c>
      <c r="E621" s="231">
        <v>44840</v>
      </c>
      <c r="F621" s="154">
        <v>1635</v>
      </c>
      <c r="G621" s="197">
        <f>Tabla111[[#This Row],[Importe]]-Tabla111[[#This Row],[Pagado]]</f>
        <v>0</v>
      </c>
      <c r="H621" s="153" t="s">
        <v>10</v>
      </c>
    </row>
    <row r="622" spans="1:8" x14ac:dyDescent="0.25">
      <c r="A622" s="73">
        <v>44840</v>
      </c>
      <c r="B622" s="74" t="s">
        <v>32193</v>
      </c>
      <c r="C622" s="75" t="s">
        <v>149</v>
      </c>
      <c r="D622" s="81">
        <v>1680</v>
      </c>
      <c r="E622" s="230">
        <v>44840</v>
      </c>
      <c r="F622" s="81">
        <v>1680</v>
      </c>
      <c r="G622" s="197">
        <f>Tabla111[[#This Row],[Importe]]-Tabla111[[#This Row],[Pagado]]</f>
        <v>0</v>
      </c>
      <c r="H622" s="75" t="s">
        <v>10</v>
      </c>
    </row>
    <row r="623" spans="1:8" x14ac:dyDescent="0.25">
      <c r="A623" s="148">
        <v>44840</v>
      </c>
      <c r="B623" s="149" t="s">
        <v>32194</v>
      </c>
      <c r="C623" s="153" t="s">
        <v>200</v>
      </c>
      <c r="D623" s="154">
        <v>1095</v>
      </c>
      <c r="E623" s="231">
        <v>44840</v>
      </c>
      <c r="F623" s="154">
        <v>1095</v>
      </c>
      <c r="G623" s="197">
        <f>Tabla111[[#This Row],[Importe]]-Tabla111[[#This Row],[Pagado]]</f>
        <v>0</v>
      </c>
      <c r="H623" s="153" t="s">
        <v>10</v>
      </c>
    </row>
    <row r="624" spans="1:8" x14ac:dyDescent="0.25">
      <c r="A624" s="73">
        <v>44840</v>
      </c>
      <c r="B624" s="74" t="s">
        <v>32195</v>
      </c>
      <c r="C624" s="75" t="s">
        <v>222</v>
      </c>
      <c r="D624" s="81">
        <v>10826.8</v>
      </c>
      <c r="E624" s="230">
        <v>44840</v>
      </c>
      <c r="F624" s="81">
        <v>10826.8</v>
      </c>
      <c r="G624" s="197">
        <f>Tabla111[[#This Row],[Importe]]-Tabla111[[#This Row],[Pagado]]</f>
        <v>0</v>
      </c>
      <c r="H624" s="75" t="s">
        <v>10</v>
      </c>
    </row>
    <row r="625" spans="1:8" x14ac:dyDescent="0.25">
      <c r="A625" s="148">
        <v>44840</v>
      </c>
      <c r="B625" s="149" t="s">
        <v>32196</v>
      </c>
      <c r="C625" s="153" t="s">
        <v>67</v>
      </c>
      <c r="D625" s="154">
        <v>14984.2</v>
      </c>
      <c r="E625" s="231">
        <v>44840</v>
      </c>
      <c r="F625" s="154">
        <v>14984.2</v>
      </c>
      <c r="G625" s="197">
        <f>Tabla111[[#This Row],[Importe]]-Tabla111[[#This Row],[Pagado]]</f>
        <v>0</v>
      </c>
      <c r="H625" s="153" t="s">
        <v>10</v>
      </c>
    </row>
    <row r="626" spans="1:8" x14ac:dyDescent="0.25">
      <c r="A626" s="73">
        <v>44840</v>
      </c>
      <c r="B626" s="74" t="s">
        <v>32197</v>
      </c>
      <c r="C626" s="75" t="s">
        <v>29</v>
      </c>
      <c r="D626" s="81">
        <v>3885</v>
      </c>
      <c r="E626" s="230">
        <v>44840</v>
      </c>
      <c r="F626" s="81">
        <v>3885</v>
      </c>
      <c r="G626" s="197">
        <f>Tabla111[[#This Row],[Importe]]-Tabla111[[#This Row],[Pagado]]</f>
        <v>0</v>
      </c>
      <c r="H626" s="75" t="s">
        <v>10</v>
      </c>
    </row>
    <row r="627" spans="1:8" x14ac:dyDescent="0.25">
      <c r="A627" s="148">
        <v>44840</v>
      </c>
      <c r="B627" s="149" t="s">
        <v>32198</v>
      </c>
      <c r="C627" s="153" t="s">
        <v>35</v>
      </c>
      <c r="D627" s="154">
        <v>4201.6000000000004</v>
      </c>
      <c r="E627" s="231">
        <v>44840</v>
      </c>
      <c r="F627" s="154">
        <v>4201.6000000000004</v>
      </c>
      <c r="G627" s="197">
        <f>Tabla111[[#This Row],[Importe]]-Tabla111[[#This Row],[Pagado]]</f>
        <v>0</v>
      </c>
      <c r="H627" s="153" t="s">
        <v>10</v>
      </c>
    </row>
    <row r="628" spans="1:8" x14ac:dyDescent="0.25">
      <c r="A628" s="73">
        <v>44840</v>
      </c>
      <c r="B628" s="74" t="s">
        <v>32199</v>
      </c>
      <c r="C628" s="75" t="s">
        <v>216</v>
      </c>
      <c r="D628" s="81">
        <v>1260</v>
      </c>
      <c r="E628" s="230">
        <v>44840</v>
      </c>
      <c r="F628" s="81">
        <v>1260</v>
      </c>
      <c r="G628" s="197">
        <f>Tabla111[[#This Row],[Importe]]-Tabla111[[#This Row],[Pagado]]</f>
        <v>0</v>
      </c>
      <c r="H628" s="75" t="s">
        <v>10</v>
      </c>
    </row>
    <row r="629" spans="1:8" x14ac:dyDescent="0.25">
      <c r="A629" s="148">
        <v>44840</v>
      </c>
      <c r="B629" s="149" t="s">
        <v>32200</v>
      </c>
      <c r="C629" s="153" t="s">
        <v>2383</v>
      </c>
      <c r="D629" s="154">
        <v>2520</v>
      </c>
      <c r="E629" s="231">
        <v>44840</v>
      </c>
      <c r="F629" s="154">
        <v>2520</v>
      </c>
      <c r="G629" s="197">
        <f>Tabla111[[#This Row],[Importe]]-Tabla111[[#This Row],[Pagado]]</f>
        <v>0</v>
      </c>
      <c r="H629" s="153" t="s">
        <v>10</v>
      </c>
    </row>
    <row r="630" spans="1:8" x14ac:dyDescent="0.25">
      <c r="A630" s="73">
        <v>44840</v>
      </c>
      <c r="B630" s="74" t="s">
        <v>32201</v>
      </c>
      <c r="C630" s="75" t="s">
        <v>10190</v>
      </c>
      <c r="D630" s="81">
        <v>22533</v>
      </c>
      <c r="E630" s="230">
        <v>44840</v>
      </c>
      <c r="F630" s="81">
        <v>22533</v>
      </c>
      <c r="G630" s="197">
        <f>Tabla111[[#This Row],[Importe]]-Tabla111[[#This Row],[Pagado]]</f>
        <v>0</v>
      </c>
      <c r="H630" s="75" t="s">
        <v>10</v>
      </c>
    </row>
    <row r="631" spans="1:8" x14ac:dyDescent="0.25">
      <c r="A631" s="148">
        <v>44840</v>
      </c>
      <c r="B631" s="149" t="s">
        <v>32202</v>
      </c>
      <c r="C631" s="153" t="s">
        <v>296</v>
      </c>
      <c r="D631" s="154">
        <v>592.79999999999995</v>
      </c>
      <c r="E631" s="231">
        <v>44840</v>
      </c>
      <c r="F631" s="154">
        <v>592.79999999999995</v>
      </c>
      <c r="G631" s="197">
        <f>Tabla111[[#This Row],[Importe]]-Tabla111[[#This Row],[Pagado]]</f>
        <v>0</v>
      </c>
      <c r="H631" s="153" t="s">
        <v>10</v>
      </c>
    </row>
    <row r="632" spans="1:8" x14ac:dyDescent="0.25">
      <c r="A632" s="73">
        <v>44840</v>
      </c>
      <c r="B632" s="74" t="s">
        <v>32203</v>
      </c>
      <c r="C632" s="75" t="s">
        <v>296</v>
      </c>
      <c r="D632" s="81">
        <v>144</v>
      </c>
      <c r="E632" s="230">
        <v>44840</v>
      </c>
      <c r="F632" s="81">
        <v>144</v>
      </c>
      <c r="G632" s="197">
        <f>Tabla111[[#This Row],[Importe]]-Tabla111[[#This Row],[Pagado]]</f>
        <v>0</v>
      </c>
      <c r="H632" s="75" t="s">
        <v>10</v>
      </c>
    </row>
    <row r="633" spans="1:8" x14ac:dyDescent="0.25">
      <c r="A633" s="148">
        <v>44840</v>
      </c>
      <c r="B633" s="149" t="s">
        <v>32204</v>
      </c>
      <c r="C633" s="153" t="s">
        <v>31</v>
      </c>
      <c r="D633" s="154">
        <v>5180</v>
      </c>
      <c r="E633" s="231">
        <v>44840</v>
      </c>
      <c r="F633" s="154">
        <v>5180</v>
      </c>
      <c r="G633" s="197">
        <f>Tabla111[[#This Row],[Importe]]-Tabla111[[#This Row],[Pagado]]</f>
        <v>0</v>
      </c>
      <c r="H633" s="153" t="s">
        <v>10</v>
      </c>
    </row>
    <row r="634" spans="1:8" x14ac:dyDescent="0.25">
      <c r="A634" s="73">
        <v>44840</v>
      </c>
      <c r="B634" s="74" t="s">
        <v>32205</v>
      </c>
      <c r="C634" s="75" t="s">
        <v>196</v>
      </c>
      <c r="D634" s="81">
        <v>166585.60000000001</v>
      </c>
      <c r="E634" s="230">
        <v>44841</v>
      </c>
      <c r="F634" s="81">
        <v>166585.60000000001</v>
      </c>
      <c r="G634" s="197">
        <f>Tabla111[[#This Row],[Importe]]-Tabla111[[#This Row],[Pagado]]</f>
        <v>0</v>
      </c>
      <c r="H634" s="75" t="s">
        <v>10</v>
      </c>
    </row>
    <row r="635" spans="1:8" x14ac:dyDescent="0.25">
      <c r="A635" s="148">
        <v>44840</v>
      </c>
      <c r="B635" s="149" t="s">
        <v>32206</v>
      </c>
      <c r="C635" s="153" t="s">
        <v>1003</v>
      </c>
      <c r="D635" s="154">
        <v>12431.6</v>
      </c>
      <c r="E635" s="231">
        <v>44843</v>
      </c>
      <c r="F635" s="154">
        <v>12431.6</v>
      </c>
      <c r="G635" s="197">
        <f>Tabla111[[#This Row],[Importe]]-Tabla111[[#This Row],[Pagado]]</f>
        <v>0</v>
      </c>
      <c r="H635" s="153" t="s">
        <v>10</v>
      </c>
    </row>
    <row r="636" spans="1:8" x14ac:dyDescent="0.25">
      <c r="A636" s="73">
        <v>44840</v>
      </c>
      <c r="B636" s="74" t="s">
        <v>32207</v>
      </c>
      <c r="C636" s="75" t="s">
        <v>11383</v>
      </c>
      <c r="D636" s="81">
        <v>30062.5</v>
      </c>
      <c r="E636" s="230">
        <v>44840</v>
      </c>
      <c r="F636" s="81">
        <v>30062.5</v>
      </c>
      <c r="G636" s="197">
        <f>Tabla111[[#This Row],[Importe]]-Tabla111[[#This Row],[Pagado]]</f>
        <v>0</v>
      </c>
      <c r="H636" s="75" t="s">
        <v>10</v>
      </c>
    </row>
    <row r="637" spans="1:8" x14ac:dyDescent="0.25">
      <c r="A637" s="148">
        <v>44840</v>
      </c>
      <c r="B637" s="149" t="s">
        <v>32208</v>
      </c>
      <c r="C637" s="153" t="s">
        <v>24</v>
      </c>
      <c r="D637" s="154">
        <v>2839.4</v>
      </c>
      <c r="E637" s="231">
        <v>44840</v>
      </c>
      <c r="F637" s="154">
        <v>2839.4</v>
      </c>
      <c r="G637" s="197">
        <f>Tabla111[[#This Row],[Importe]]-Tabla111[[#This Row],[Pagado]]</f>
        <v>0</v>
      </c>
      <c r="H637" s="153" t="s">
        <v>10</v>
      </c>
    </row>
    <row r="638" spans="1:8" x14ac:dyDescent="0.25">
      <c r="A638" s="73">
        <v>44840</v>
      </c>
      <c r="B638" s="74" t="s">
        <v>32209</v>
      </c>
      <c r="C638" s="75" t="s">
        <v>33</v>
      </c>
      <c r="D638" s="81">
        <v>16455.400000000001</v>
      </c>
      <c r="E638" s="230">
        <v>44840</v>
      </c>
      <c r="F638" s="81">
        <v>16455.400000000001</v>
      </c>
      <c r="G638" s="197">
        <f>Tabla111[[#This Row],[Importe]]-Tabla111[[#This Row],[Pagado]]</f>
        <v>0</v>
      </c>
      <c r="H638" s="75" t="s">
        <v>10</v>
      </c>
    </row>
    <row r="639" spans="1:8" x14ac:dyDescent="0.25">
      <c r="A639" s="148">
        <v>44840</v>
      </c>
      <c r="B639" s="149" t="s">
        <v>32210</v>
      </c>
      <c r="C639" s="153" t="s">
        <v>31</v>
      </c>
      <c r="D639" s="154">
        <v>9280</v>
      </c>
      <c r="E639" s="231">
        <v>44840</v>
      </c>
      <c r="F639" s="154">
        <v>9280</v>
      </c>
      <c r="G639" s="197">
        <f>Tabla111[[#This Row],[Importe]]-Tabla111[[#This Row],[Pagado]]</f>
        <v>0</v>
      </c>
      <c r="H639" s="153" t="s">
        <v>10</v>
      </c>
    </row>
    <row r="640" spans="1:8" x14ac:dyDescent="0.25">
      <c r="A640" s="73">
        <v>44840</v>
      </c>
      <c r="B640" s="74" t="s">
        <v>32211</v>
      </c>
      <c r="C640" s="75" t="s">
        <v>11383</v>
      </c>
      <c r="D640" s="81">
        <v>3478</v>
      </c>
      <c r="E640" s="230">
        <v>44840</v>
      </c>
      <c r="F640" s="81">
        <v>3478</v>
      </c>
      <c r="G640" s="197">
        <f>Tabla111[[#This Row],[Importe]]-Tabla111[[#This Row],[Pagado]]</f>
        <v>0</v>
      </c>
      <c r="H640" s="75" t="s">
        <v>10</v>
      </c>
    </row>
    <row r="641" spans="1:8" x14ac:dyDescent="0.25">
      <c r="A641" s="148">
        <v>44840</v>
      </c>
      <c r="B641" s="149" t="s">
        <v>32212</v>
      </c>
      <c r="C641" s="153" t="s">
        <v>11383</v>
      </c>
      <c r="D641" s="154">
        <v>384</v>
      </c>
      <c r="E641" s="231">
        <v>44840</v>
      </c>
      <c r="F641" s="154">
        <v>384</v>
      </c>
      <c r="G641" s="197">
        <f>Tabla111[[#This Row],[Importe]]-Tabla111[[#This Row],[Pagado]]</f>
        <v>0</v>
      </c>
      <c r="H641" s="153" t="s">
        <v>10</v>
      </c>
    </row>
    <row r="642" spans="1:8" x14ac:dyDescent="0.25">
      <c r="A642" s="73">
        <v>44840</v>
      </c>
      <c r="B642" s="74" t="s">
        <v>32213</v>
      </c>
      <c r="C642" s="75" t="s">
        <v>670</v>
      </c>
      <c r="D642" s="81">
        <v>2248.4</v>
      </c>
      <c r="E642" s="230">
        <v>44840</v>
      </c>
      <c r="F642" s="81">
        <v>2248.4</v>
      </c>
      <c r="G642" s="197">
        <f>Tabla111[[#This Row],[Importe]]-Tabla111[[#This Row],[Pagado]]</f>
        <v>0</v>
      </c>
      <c r="H642" s="75" t="s">
        <v>10</v>
      </c>
    </row>
    <row r="643" spans="1:8" x14ac:dyDescent="0.25">
      <c r="A643" s="148">
        <v>44840</v>
      </c>
      <c r="B643" s="149" t="s">
        <v>32214</v>
      </c>
      <c r="C643" s="153" t="s">
        <v>647</v>
      </c>
      <c r="D643" s="154">
        <v>2336.1</v>
      </c>
      <c r="E643" s="231">
        <v>44840</v>
      </c>
      <c r="F643" s="154">
        <v>2336.1</v>
      </c>
      <c r="G643" s="197">
        <f>Tabla111[[#This Row],[Importe]]-Tabla111[[#This Row],[Pagado]]</f>
        <v>0</v>
      </c>
      <c r="H643" s="153" t="s">
        <v>10</v>
      </c>
    </row>
    <row r="644" spans="1:8" x14ac:dyDescent="0.25">
      <c r="A644" s="73">
        <v>44840</v>
      </c>
      <c r="B644" s="74" t="s">
        <v>32215</v>
      </c>
      <c r="C644" s="75" t="s">
        <v>1505</v>
      </c>
      <c r="D644" s="81">
        <v>4887</v>
      </c>
      <c r="E644" s="230">
        <v>44840</v>
      </c>
      <c r="F644" s="81">
        <v>4887</v>
      </c>
      <c r="G644" s="197">
        <f>Tabla111[[#This Row],[Importe]]-Tabla111[[#This Row],[Pagado]]</f>
        <v>0</v>
      </c>
      <c r="H644" s="75" t="s">
        <v>10</v>
      </c>
    </row>
    <row r="645" spans="1:8" x14ac:dyDescent="0.25">
      <c r="A645" s="148">
        <v>44840</v>
      </c>
      <c r="B645" s="149" t="s">
        <v>32216</v>
      </c>
      <c r="C645" s="153" t="s">
        <v>670</v>
      </c>
      <c r="D645" s="154">
        <v>585</v>
      </c>
      <c r="E645" s="231">
        <v>44840</v>
      </c>
      <c r="F645" s="154">
        <v>585</v>
      </c>
      <c r="G645" s="197">
        <f>Tabla111[[#This Row],[Importe]]-Tabla111[[#This Row],[Pagado]]</f>
        <v>0</v>
      </c>
      <c r="H645" s="153" t="s">
        <v>10</v>
      </c>
    </row>
    <row r="646" spans="1:8" x14ac:dyDescent="0.25">
      <c r="A646" s="73">
        <v>44840</v>
      </c>
      <c r="B646" s="74" t="s">
        <v>32217</v>
      </c>
      <c r="C646" s="75" t="s">
        <v>107</v>
      </c>
      <c r="D646" s="81">
        <v>15368.9</v>
      </c>
      <c r="E646" s="230">
        <v>44840</v>
      </c>
      <c r="F646" s="81">
        <v>15368.9</v>
      </c>
      <c r="G646" s="197">
        <f>Tabla111[[#This Row],[Importe]]-Tabla111[[#This Row],[Pagado]]</f>
        <v>0</v>
      </c>
      <c r="H646" s="75" t="s">
        <v>10</v>
      </c>
    </row>
    <row r="647" spans="1:8" x14ac:dyDescent="0.25">
      <c r="A647" s="148">
        <v>44840</v>
      </c>
      <c r="B647" s="149" t="s">
        <v>32218</v>
      </c>
      <c r="C647" s="153" t="s">
        <v>9827</v>
      </c>
      <c r="D647" s="154">
        <v>4072.5</v>
      </c>
      <c r="E647" s="231">
        <v>44840</v>
      </c>
      <c r="F647" s="154">
        <v>4072.5</v>
      </c>
      <c r="G647" s="197">
        <f>Tabla111[[#This Row],[Importe]]-Tabla111[[#This Row],[Pagado]]</f>
        <v>0</v>
      </c>
      <c r="H647" s="153" t="s">
        <v>10</v>
      </c>
    </row>
    <row r="648" spans="1:8" x14ac:dyDescent="0.25">
      <c r="A648" s="73">
        <v>44840</v>
      </c>
      <c r="B648" s="74" t="s">
        <v>32219</v>
      </c>
      <c r="C648" s="75" t="s">
        <v>214</v>
      </c>
      <c r="D648" s="81">
        <v>4125</v>
      </c>
      <c r="E648" s="230">
        <v>44840</v>
      </c>
      <c r="F648" s="81">
        <v>4125</v>
      </c>
      <c r="G648" s="197">
        <f>Tabla111[[#This Row],[Importe]]-Tabla111[[#This Row],[Pagado]]</f>
        <v>0</v>
      </c>
      <c r="H648" s="75" t="s">
        <v>10</v>
      </c>
    </row>
    <row r="649" spans="1:8" x14ac:dyDescent="0.25">
      <c r="A649" s="148">
        <v>44840</v>
      </c>
      <c r="B649" s="149" t="s">
        <v>32220</v>
      </c>
      <c r="C649" s="153" t="s">
        <v>681</v>
      </c>
      <c r="D649" s="154">
        <v>5.94</v>
      </c>
      <c r="E649" s="231">
        <v>44847</v>
      </c>
      <c r="F649" s="154">
        <v>5.94</v>
      </c>
      <c r="G649" s="197">
        <f>Tabla111[[#This Row],[Importe]]-Tabla111[[#This Row],[Pagado]]</f>
        <v>0</v>
      </c>
      <c r="H649" s="153" t="s">
        <v>10</v>
      </c>
    </row>
    <row r="650" spans="1:8" x14ac:dyDescent="0.25">
      <c r="A650" s="73">
        <v>44840</v>
      </c>
      <c r="B650" s="74" t="s">
        <v>32221</v>
      </c>
      <c r="C650" s="75" t="s">
        <v>135</v>
      </c>
      <c r="D650" s="81">
        <v>1185.5999999999999</v>
      </c>
      <c r="E650" s="230">
        <v>44840</v>
      </c>
      <c r="F650" s="81">
        <v>1185.5999999999999</v>
      </c>
      <c r="G650" s="197">
        <f>Tabla111[[#This Row],[Importe]]-Tabla111[[#This Row],[Pagado]]</f>
        <v>0</v>
      </c>
      <c r="H650" s="75" t="s">
        <v>10</v>
      </c>
    </row>
    <row r="651" spans="1:8" x14ac:dyDescent="0.25">
      <c r="A651" s="148">
        <v>44840</v>
      </c>
      <c r="B651" s="149" t="s">
        <v>32222</v>
      </c>
      <c r="C651" s="153" t="s">
        <v>12</v>
      </c>
      <c r="D651" s="154">
        <v>11124.8</v>
      </c>
      <c r="E651" s="231">
        <v>44841</v>
      </c>
      <c r="F651" s="154">
        <v>11124.8</v>
      </c>
      <c r="G651" s="197">
        <f>Tabla111[[#This Row],[Importe]]-Tabla111[[#This Row],[Pagado]]</f>
        <v>0</v>
      </c>
      <c r="H651" s="153" t="s">
        <v>10</v>
      </c>
    </row>
    <row r="652" spans="1:8" x14ac:dyDescent="0.25">
      <c r="A652" s="73">
        <v>44840</v>
      </c>
      <c r="B652" s="74" t="s">
        <v>32223</v>
      </c>
      <c r="C652" s="75" t="s">
        <v>31</v>
      </c>
      <c r="D652" s="81">
        <v>2257.6</v>
      </c>
      <c r="E652" s="230">
        <v>44840</v>
      </c>
      <c r="F652" s="81">
        <v>2257.6</v>
      </c>
      <c r="G652" s="197">
        <f>Tabla111[[#This Row],[Importe]]-Tabla111[[#This Row],[Pagado]]</f>
        <v>0</v>
      </c>
      <c r="H652" s="75" t="s">
        <v>10</v>
      </c>
    </row>
    <row r="653" spans="1:8" x14ac:dyDescent="0.25">
      <c r="A653" s="148">
        <v>44840</v>
      </c>
      <c r="B653" s="149" t="s">
        <v>32224</v>
      </c>
      <c r="C653" s="153" t="s">
        <v>204</v>
      </c>
      <c r="D653" s="154">
        <v>529.20000000000005</v>
      </c>
      <c r="E653" s="231">
        <v>44840</v>
      </c>
      <c r="F653" s="154">
        <v>529.20000000000005</v>
      </c>
      <c r="G653" s="197">
        <f>Tabla111[[#This Row],[Importe]]-Tabla111[[#This Row],[Pagado]]</f>
        <v>0</v>
      </c>
      <c r="H653" s="153" t="s">
        <v>10</v>
      </c>
    </row>
    <row r="654" spans="1:8" x14ac:dyDescent="0.25">
      <c r="A654" s="73">
        <v>44840</v>
      </c>
      <c r="B654" s="74" t="s">
        <v>32225</v>
      </c>
      <c r="C654" s="75" t="s">
        <v>815</v>
      </c>
      <c r="D654" s="81">
        <v>984.5</v>
      </c>
      <c r="E654" s="230">
        <v>44840</v>
      </c>
      <c r="F654" s="81">
        <v>984.5</v>
      </c>
      <c r="G654" s="197">
        <f>Tabla111[[#This Row],[Importe]]-Tabla111[[#This Row],[Pagado]]</f>
        <v>0</v>
      </c>
      <c r="H654" s="75" t="s">
        <v>10</v>
      </c>
    </row>
    <row r="655" spans="1:8" x14ac:dyDescent="0.25">
      <c r="A655" s="148">
        <v>44840</v>
      </c>
      <c r="B655" s="149" t="s">
        <v>32226</v>
      </c>
      <c r="C655" s="153" t="s">
        <v>31</v>
      </c>
      <c r="D655" s="154">
        <v>144</v>
      </c>
      <c r="E655" s="231">
        <v>44840</v>
      </c>
      <c r="F655" s="154">
        <v>144</v>
      </c>
      <c r="G655" s="197">
        <f>Tabla111[[#This Row],[Importe]]-Tabla111[[#This Row],[Pagado]]</f>
        <v>0</v>
      </c>
      <c r="H655" s="153" t="s">
        <v>10</v>
      </c>
    </row>
    <row r="656" spans="1:8" x14ac:dyDescent="0.25">
      <c r="A656" s="73">
        <v>44840</v>
      </c>
      <c r="B656" s="74" t="s">
        <v>32227</v>
      </c>
      <c r="C656" s="75" t="s">
        <v>1421</v>
      </c>
      <c r="D656" s="81">
        <v>33165</v>
      </c>
      <c r="E656" s="230">
        <v>44840</v>
      </c>
      <c r="F656" s="81">
        <v>33165</v>
      </c>
      <c r="G656" s="197">
        <f>Tabla111[[#This Row],[Importe]]-Tabla111[[#This Row],[Pagado]]</f>
        <v>0</v>
      </c>
      <c r="H656" s="75" t="s">
        <v>10</v>
      </c>
    </row>
    <row r="657" spans="1:8" x14ac:dyDescent="0.25">
      <c r="A657" s="148">
        <v>44840</v>
      </c>
      <c r="B657" s="149" t="s">
        <v>32228</v>
      </c>
      <c r="C657" s="153" t="s">
        <v>402</v>
      </c>
      <c r="D657" s="154">
        <v>18701.099999999999</v>
      </c>
      <c r="E657" s="231">
        <v>44847</v>
      </c>
      <c r="F657" s="154">
        <v>18701.099999999999</v>
      </c>
      <c r="G657" s="197">
        <f>Tabla111[[#This Row],[Importe]]-Tabla111[[#This Row],[Pagado]]</f>
        <v>0</v>
      </c>
      <c r="H657" s="153" t="s">
        <v>10</v>
      </c>
    </row>
    <row r="658" spans="1:8" x14ac:dyDescent="0.25">
      <c r="A658" s="73">
        <v>44840</v>
      </c>
      <c r="B658" s="74" t="s">
        <v>32229</v>
      </c>
      <c r="C658" s="75" t="s">
        <v>296</v>
      </c>
      <c r="D658" s="81">
        <v>4389</v>
      </c>
      <c r="E658" s="230">
        <v>44840</v>
      </c>
      <c r="F658" s="81">
        <v>4389</v>
      </c>
      <c r="G658" s="197">
        <f>Tabla111[[#This Row],[Importe]]-Tabla111[[#This Row],[Pagado]]</f>
        <v>0</v>
      </c>
      <c r="H658" s="75" t="s">
        <v>10</v>
      </c>
    </row>
    <row r="659" spans="1:8" x14ac:dyDescent="0.25">
      <c r="A659" s="148">
        <v>44840</v>
      </c>
      <c r="B659" s="149" t="s">
        <v>32230</v>
      </c>
      <c r="C659" s="153" t="s">
        <v>400</v>
      </c>
      <c r="D659" s="154">
        <v>10102.6</v>
      </c>
      <c r="E659" s="231">
        <v>44847</v>
      </c>
      <c r="F659" s="154">
        <v>10102.6</v>
      </c>
      <c r="G659" s="197">
        <f>Tabla111[[#This Row],[Importe]]-Tabla111[[#This Row],[Pagado]]</f>
        <v>0</v>
      </c>
      <c r="H659" s="153" t="s">
        <v>10</v>
      </c>
    </row>
    <row r="660" spans="1:8" x14ac:dyDescent="0.25">
      <c r="A660" s="73">
        <v>44840</v>
      </c>
      <c r="B660" s="74" t="s">
        <v>32231</v>
      </c>
      <c r="C660" s="75" t="s">
        <v>142</v>
      </c>
      <c r="D660" s="81">
        <v>43663.74</v>
      </c>
      <c r="E660" s="230">
        <v>44876</v>
      </c>
      <c r="F660" s="81">
        <v>43663.74</v>
      </c>
      <c r="G660" s="197">
        <f>Tabla111[[#This Row],[Importe]]-Tabla111[[#This Row],[Pagado]]</f>
        <v>0</v>
      </c>
      <c r="H660" s="75" t="s">
        <v>10</v>
      </c>
    </row>
    <row r="661" spans="1:8" x14ac:dyDescent="0.25">
      <c r="A661" s="148">
        <v>44840</v>
      </c>
      <c r="B661" s="149" t="s">
        <v>32232</v>
      </c>
      <c r="C661" s="153" t="s">
        <v>729</v>
      </c>
      <c r="D661" s="154">
        <v>30364.400000000001</v>
      </c>
      <c r="E661" s="231">
        <v>44841</v>
      </c>
      <c r="F661" s="154">
        <v>30364.400000000001</v>
      </c>
      <c r="G661" s="197">
        <f>Tabla111[[#This Row],[Importe]]-Tabla111[[#This Row],[Pagado]]</f>
        <v>0</v>
      </c>
      <c r="H661" s="153" t="s">
        <v>10</v>
      </c>
    </row>
    <row r="662" spans="1:8" x14ac:dyDescent="0.25">
      <c r="A662" s="73">
        <v>44840</v>
      </c>
      <c r="B662" s="74" t="s">
        <v>32233</v>
      </c>
      <c r="C662" s="75" t="s">
        <v>31</v>
      </c>
      <c r="D662" s="81">
        <v>637.5</v>
      </c>
      <c r="E662" s="230">
        <v>44840</v>
      </c>
      <c r="F662" s="81">
        <v>637.5</v>
      </c>
      <c r="G662" s="197">
        <f>Tabla111[[#This Row],[Importe]]-Tabla111[[#This Row],[Pagado]]</f>
        <v>0</v>
      </c>
      <c r="H662" s="75" t="s">
        <v>10</v>
      </c>
    </row>
    <row r="663" spans="1:8" x14ac:dyDescent="0.25">
      <c r="A663" s="148">
        <v>44840</v>
      </c>
      <c r="B663" s="149" t="s">
        <v>32234</v>
      </c>
      <c r="C663" s="153" t="s">
        <v>284</v>
      </c>
      <c r="D663" s="154">
        <v>7792.5</v>
      </c>
      <c r="E663" s="231">
        <v>44841</v>
      </c>
      <c r="F663" s="154">
        <v>7792.5</v>
      </c>
      <c r="G663" s="197">
        <f>Tabla111[[#This Row],[Importe]]-Tabla111[[#This Row],[Pagado]]</f>
        <v>0</v>
      </c>
      <c r="H663" s="153" t="s">
        <v>10</v>
      </c>
    </row>
    <row r="664" spans="1:8" x14ac:dyDescent="0.25">
      <c r="A664" s="73">
        <v>44840</v>
      </c>
      <c r="B664" s="74" t="s">
        <v>32235</v>
      </c>
      <c r="C664" s="75" t="s">
        <v>431</v>
      </c>
      <c r="D664" s="81">
        <v>3795</v>
      </c>
      <c r="E664" s="230">
        <v>44841</v>
      </c>
      <c r="F664" s="81">
        <v>3795</v>
      </c>
      <c r="G664" s="197">
        <f>Tabla111[[#This Row],[Importe]]-Tabla111[[#This Row],[Pagado]]</f>
        <v>0</v>
      </c>
      <c r="H664" s="75" t="s">
        <v>10</v>
      </c>
    </row>
    <row r="665" spans="1:8" x14ac:dyDescent="0.25">
      <c r="A665" s="148">
        <v>44840</v>
      </c>
      <c r="B665" s="149" t="s">
        <v>32236</v>
      </c>
      <c r="C665" s="153" t="s">
        <v>280</v>
      </c>
      <c r="D665" s="154">
        <v>690</v>
      </c>
      <c r="E665" s="231">
        <v>44841</v>
      </c>
      <c r="F665" s="154">
        <v>690</v>
      </c>
      <c r="G665" s="197">
        <f>Tabla111[[#This Row],[Importe]]-Tabla111[[#This Row],[Pagado]]</f>
        <v>0</v>
      </c>
      <c r="H665" s="153" t="s">
        <v>10</v>
      </c>
    </row>
    <row r="666" spans="1:8" x14ac:dyDescent="0.25">
      <c r="A666" s="73">
        <v>44840</v>
      </c>
      <c r="B666" s="74" t="s">
        <v>32237</v>
      </c>
      <c r="C666" s="75" t="s">
        <v>10819</v>
      </c>
      <c r="D666" s="81">
        <v>1365</v>
      </c>
      <c r="E666" s="230">
        <v>44841</v>
      </c>
      <c r="F666" s="81">
        <v>1365</v>
      </c>
      <c r="G666" s="197">
        <f>Tabla111[[#This Row],[Importe]]-Tabla111[[#This Row],[Pagado]]</f>
        <v>0</v>
      </c>
      <c r="H666" s="75" t="s">
        <v>10</v>
      </c>
    </row>
    <row r="667" spans="1:8" x14ac:dyDescent="0.25">
      <c r="A667" s="148">
        <v>44840</v>
      </c>
      <c r="B667" s="149" t="s">
        <v>32238</v>
      </c>
      <c r="C667" s="153" t="s">
        <v>53</v>
      </c>
      <c r="D667" s="154">
        <v>1254</v>
      </c>
      <c r="E667" s="231">
        <v>44840</v>
      </c>
      <c r="F667" s="154">
        <v>1254</v>
      </c>
      <c r="G667" s="197">
        <f>Tabla111[[#This Row],[Importe]]-Tabla111[[#This Row],[Pagado]]</f>
        <v>0</v>
      </c>
      <c r="H667" s="153" t="s">
        <v>10</v>
      </c>
    </row>
    <row r="668" spans="1:8" x14ac:dyDescent="0.25">
      <c r="A668" s="73">
        <v>44840</v>
      </c>
      <c r="B668" s="74" t="s">
        <v>32239</v>
      </c>
      <c r="C668" s="75" t="s">
        <v>10678</v>
      </c>
      <c r="D668" s="81">
        <v>990.8</v>
      </c>
      <c r="E668" s="230">
        <v>44840</v>
      </c>
      <c r="F668" s="81">
        <v>990.8</v>
      </c>
      <c r="G668" s="197">
        <f>Tabla111[[#This Row],[Importe]]-Tabla111[[#This Row],[Pagado]]</f>
        <v>0</v>
      </c>
      <c r="H668" s="75" t="s">
        <v>10</v>
      </c>
    </row>
    <row r="669" spans="1:8" x14ac:dyDescent="0.25">
      <c r="A669" s="148">
        <v>44840</v>
      </c>
      <c r="B669" s="149" t="s">
        <v>32240</v>
      </c>
      <c r="C669" s="153" t="s">
        <v>7801</v>
      </c>
      <c r="D669" s="154">
        <v>4567.5</v>
      </c>
      <c r="E669" s="231">
        <v>44840</v>
      </c>
      <c r="F669" s="154">
        <v>4567.5</v>
      </c>
      <c r="G669" s="197">
        <f>Tabla111[[#This Row],[Importe]]-Tabla111[[#This Row],[Pagado]]</f>
        <v>0</v>
      </c>
      <c r="H669" s="153" t="s">
        <v>10</v>
      </c>
    </row>
    <row r="670" spans="1:8" x14ac:dyDescent="0.25">
      <c r="A670" s="73">
        <v>44840</v>
      </c>
      <c r="B670" s="74" t="s">
        <v>32241</v>
      </c>
      <c r="C670" s="75" t="s">
        <v>296</v>
      </c>
      <c r="D670" s="81">
        <v>1892.4</v>
      </c>
      <c r="E670" s="230">
        <v>44840</v>
      </c>
      <c r="F670" s="81">
        <v>1892.4</v>
      </c>
      <c r="G670" s="197">
        <f>Tabla111[[#This Row],[Importe]]-Tabla111[[#This Row],[Pagado]]</f>
        <v>0</v>
      </c>
      <c r="H670" s="75" t="s">
        <v>10</v>
      </c>
    </row>
    <row r="671" spans="1:8" x14ac:dyDescent="0.25">
      <c r="A671" s="148">
        <v>44840</v>
      </c>
      <c r="B671" s="149" t="s">
        <v>32242</v>
      </c>
      <c r="C671" s="153" t="s">
        <v>2020</v>
      </c>
      <c r="D671" s="154">
        <v>76000</v>
      </c>
      <c r="E671" s="231">
        <v>44840</v>
      </c>
      <c r="F671" s="154">
        <v>76000</v>
      </c>
      <c r="G671" s="197">
        <f>Tabla111[[#This Row],[Importe]]-Tabla111[[#This Row],[Pagado]]</f>
        <v>0</v>
      </c>
      <c r="H671" s="153" t="s">
        <v>10</v>
      </c>
    </row>
    <row r="672" spans="1:8" x14ac:dyDescent="0.25">
      <c r="A672" s="73">
        <v>44840</v>
      </c>
      <c r="B672" s="74" t="s">
        <v>32243</v>
      </c>
      <c r="C672" s="75" t="s">
        <v>28087</v>
      </c>
      <c r="D672" s="81">
        <v>16804.97</v>
      </c>
      <c r="E672" s="230">
        <v>44842</v>
      </c>
      <c r="F672" s="81">
        <v>16804.97</v>
      </c>
      <c r="G672" s="197">
        <f>Tabla111[[#This Row],[Importe]]-Tabla111[[#This Row],[Pagado]]</f>
        <v>0</v>
      </c>
      <c r="H672" s="75" t="s">
        <v>10</v>
      </c>
    </row>
    <row r="673" spans="1:8" x14ac:dyDescent="0.25">
      <c r="A673" s="148">
        <v>44841</v>
      </c>
      <c r="B673" s="149" t="s">
        <v>32244</v>
      </c>
      <c r="C673" s="153" t="s">
        <v>887</v>
      </c>
      <c r="D673" s="154">
        <v>16080</v>
      </c>
      <c r="E673" s="231">
        <v>44841</v>
      </c>
      <c r="F673" s="154">
        <v>16080</v>
      </c>
      <c r="G673" s="197">
        <f>Tabla111[[#This Row],[Importe]]-Tabla111[[#This Row],[Pagado]]</f>
        <v>0</v>
      </c>
      <c r="H673" s="153" t="s">
        <v>10</v>
      </c>
    </row>
    <row r="674" spans="1:8" x14ac:dyDescent="0.25">
      <c r="A674" s="73">
        <v>44841</v>
      </c>
      <c r="B674" s="74" t="s">
        <v>32245</v>
      </c>
      <c r="C674" s="75" t="s">
        <v>475</v>
      </c>
      <c r="D674" s="81">
        <v>73787.100000000006</v>
      </c>
      <c r="E674" s="230" t="s">
        <v>32246</v>
      </c>
      <c r="F674" s="81">
        <f>22800+38700+12287.1</f>
        <v>73787.100000000006</v>
      </c>
      <c r="G674" s="197">
        <f>Tabla111[[#This Row],[Importe]]-Tabla111[[#This Row],[Pagado]]</f>
        <v>0</v>
      </c>
      <c r="H674" s="75" t="s">
        <v>10</v>
      </c>
    </row>
    <row r="675" spans="1:8" x14ac:dyDescent="0.25">
      <c r="A675" s="148">
        <v>44841</v>
      </c>
      <c r="B675" s="149" t="s">
        <v>32247</v>
      </c>
      <c r="C675" s="153" t="s">
        <v>670</v>
      </c>
      <c r="D675" s="154">
        <v>4672.5</v>
      </c>
      <c r="E675" s="231">
        <v>44841</v>
      </c>
      <c r="F675" s="154">
        <v>4672.5</v>
      </c>
      <c r="G675" s="197">
        <f>Tabla111[[#This Row],[Importe]]-Tabla111[[#This Row],[Pagado]]</f>
        <v>0</v>
      </c>
      <c r="H675" s="153" t="s">
        <v>10</v>
      </c>
    </row>
    <row r="676" spans="1:8" x14ac:dyDescent="0.25">
      <c r="A676" s="73">
        <v>44841</v>
      </c>
      <c r="B676" s="74" t="s">
        <v>32248</v>
      </c>
      <c r="C676" s="75" t="s">
        <v>1187</v>
      </c>
      <c r="D676" s="81">
        <v>2933.2</v>
      </c>
      <c r="E676" s="230">
        <v>44841</v>
      </c>
      <c r="F676" s="81">
        <v>2933.2</v>
      </c>
      <c r="G676" s="197">
        <f>Tabla111[[#This Row],[Importe]]-Tabla111[[#This Row],[Pagado]]</f>
        <v>0</v>
      </c>
      <c r="H676" s="75" t="s">
        <v>10</v>
      </c>
    </row>
    <row r="677" spans="1:8" x14ac:dyDescent="0.25">
      <c r="A677" s="148">
        <v>44841</v>
      </c>
      <c r="B677" s="149" t="s">
        <v>32249</v>
      </c>
      <c r="C677" s="153" t="s">
        <v>1187</v>
      </c>
      <c r="D677" s="154">
        <v>70</v>
      </c>
      <c r="E677" s="231">
        <v>44841</v>
      </c>
      <c r="F677" s="154">
        <v>70</v>
      </c>
      <c r="G677" s="197">
        <f>Tabla111[[#This Row],[Importe]]-Tabla111[[#This Row],[Pagado]]</f>
        <v>0</v>
      </c>
      <c r="H677" s="153" t="s">
        <v>10</v>
      </c>
    </row>
    <row r="678" spans="1:8" x14ac:dyDescent="0.25">
      <c r="A678" s="73">
        <v>44841</v>
      </c>
      <c r="B678" s="74" t="s">
        <v>32250</v>
      </c>
      <c r="C678" s="75" t="s">
        <v>670</v>
      </c>
      <c r="D678" s="81">
        <v>4290</v>
      </c>
      <c r="E678" s="230">
        <v>44841</v>
      </c>
      <c r="F678" s="81">
        <v>4290</v>
      </c>
      <c r="G678" s="197">
        <f>Tabla111[[#This Row],[Importe]]-Tabla111[[#This Row],[Pagado]]</f>
        <v>0</v>
      </c>
      <c r="H678" s="75" t="s">
        <v>10</v>
      </c>
    </row>
    <row r="679" spans="1:8" x14ac:dyDescent="0.25">
      <c r="A679" s="148">
        <v>44841</v>
      </c>
      <c r="B679" s="149" t="s">
        <v>32251</v>
      </c>
      <c r="C679" s="153" t="s">
        <v>12</v>
      </c>
      <c r="D679" s="154">
        <v>33154.550000000003</v>
      </c>
      <c r="E679" s="231">
        <v>44841</v>
      </c>
      <c r="F679" s="154">
        <v>33154.550000000003</v>
      </c>
      <c r="G679" s="197">
        <f>Tabla111[[#This Row],[Importe]]-Tabla111[[#This Row],[Pagado]]</f>
        <v>0</v>
      </c>
      <c r="H679" s="153" t="s">
        <v>10</v>
      </c>
    </row>
    <row r="680" spans="1:8" x14ac:dyDescent="0.25">
      <c r="A680" s="73">
        <v>44841</v>
      </c>
      <c r="B680" s="74" t="s">
        <v>32252</v>
      </c>
      <c r="C680" s="75" t="s">
        <v>481</v>
      </c>
      <c r="D680" s="81">
        <v>1246.4000000000001</v>
      </c>
      <c r="E680" s="230">
        <v>44841</v>
      </c>
      <c r="F680" s="81">
        <v>1246.4000000000001</v>
      </c>
      <c r="G680" s="197">
        <f>Tabla111[[#This Row],[Importe]]-Tabla111[[#This Row],[Pagado]]</f>
        <v>0</v>
      </c>
      <c r="H680" s="75" t="s">
        <v>10</v>
      </c>
    </row>
    <row r="681" spans="1:8" x14ac:dyDescent="0.25">
      <c r="A681" s="148">
        <v>44841</v>
      </c>
      <c r="B681" s="149" t="s">
        <v>32253</v>
      </c>
      <c r="C681" s="153" t="s">
        <v>111</v>
      </c>
      <c r="D681" s="154">
        <v>5544.5</v>
      </c>
      <c r="E681" s="231">
        <v>44842</v>
      </c>
      <c r="F681" s="154">
        <v>5544.5</v>
      </c>
      <c r="G681" s="197">
        <f>Tabla111[[#This Row],[Importe]]-Tabla111[[#This Row],[Pagado]]</f>
        <v>0</v>
      </c>
      <c r="H681" s="153" t="s">
        <v>10</v>
      </c>
    </row>
    <row r="682" spans="1:8" x14ac:dyDescent="0.25">
      <c r="A682" s="73">
        <v>44841</v>
      </c>
      <c r="B682" s="74" t="s">
        <v>32254</v>
      </c>
      <c r="C682" s="75" t="s">
        <v>10586</v>
      </c>
      <c r="D682" s="81">
        <v>5232.7</v>
      </c>
      <c r="E682" s="230" t="s">
        <v>32039</v>
      </c>
      <c r="F682" s="81">
        <f>4233+999.7</f>
        <v>5232.7</v>
      </c>
      <c r="G682" s="197">
        <f>Tabla111[[#This Row],[Importe]]-Tabla111[[#This Row],[Pagado]]</f>
        <v>0</v>
      </c>
      <c r="H682" s="75" t="s">
        <v>10</v>
      </c>
    </row>
    <row r="683" spans="1:8" x14ac:dyDescent="0.25">
      <c r="A683" s="148">
        <v>44841</v>
      </c>
      <c r="B683" s="149" t="s">
        <v>32255</v>
      </c>
      <c r="C683" s="153" t="s">
        <v>97</v>
      </c>
      <c r="D683" s="154">
        <v>1015.2</v>
      </c>
      <c r="E683" s="231">
        <v>44842</v>
      </c>
      <c r="F683" s="154">
        <v>1015.2</v>
      </c>
      <c r="G683" s="197">
        <f>Tabla111[[#This Row],[Importe]]-Tabla111[[#This Row],[Pagado]]</f>
        <v>0</v>
      </c>
      <c r="H683" s="153" t="s">
        <v>10</v>
      </c>
    </row>
    <row r="684" spans="1:8" x14ac:dyDescent="0.25">
      <c r="A684" s="73">
        <v>44841</v>
      </c>
      <c r="B684" s="74" t="s">
        <v>32256</v>
      </c>
      <c r="C684" s="75" t="s">
        <v>131</v>
      </c>
      <c r="D684" s="81">
        <v>8983.6</v>
      </c>
      <c r="E684" s="230">
        <v>44841</v>
      </c>
      <c r="F684" s="81">
        <v>8983.6</v>
      </c>
      <c r="G684" s="197">
        <f>Tabla111[[#This Row],[Importe]]-Tabla111[[#This Row],[Pagado]]</f>
        <v>0</v>
      </c>
      <c r="H684" s="75" t="s">
        <v>10</v>
      </c>
    </row>
    <row r="685" spans="1:8" x14ac:dyDescent="0.25">
      <c r="A685" s="148">
        <v>44841</v>
      </c>
      <c r="B685" s="149" t="s">
        <v>32257</v>
      </c>
      <c r="C685" s="153" t="s">
        <v>93</v>
      </c>
      <c r="D685" s="154">
        <v>8983</v>
      </c>
      <c r="E685" s="231">
        <v>44844</v>
      </c>
      <c r="F685" s="154">
        <v>8983</v>
      </c>
      <c r="G685" s="197">
        <f>Tabla111[[#This Row],[Importe]]-Tabla111[[#This Row],[Pagado]]</f>
        <v>0</v>
      </c>
      <c r="H685" s="153" t="s">
        <v>10</v>
      </c>
    </row>
    <row r="686" spans="1:8" x14ac:dyDescent="0.25">
      <c r="A686" s="73">
        <v>44841</v>
      </c>
      <c r="B686" s="74" t="s">
        <v>32258</v>
      </c>
      <c r="C686" s="75" t="s">
        <v>75</v>
      </c>
      <c r="D686" s="81">
        <v>7627.5</v>
      </c>
      <c r="E686" s="230">
        <v>44841</v>
      </c>
      <c r="F686" s="81">
        <v>7627.5</v>
      </c>
      <c r="G686" s="197">
        <f>Tabla111[[#This Row],[Importe]]-Tabla111[[#This Row],[Pagado]]</f>
        <v>0</v>
      </c>
      <c r="H686" s="75" t="s">
        <v>10</v>
      </c>
    </row>
    <row r="687" spans="1:8" x14ac:dyDescent="0.25">
      <c r="A687" s="148">
        <v>44841</v>
      </c>
      <c r="B687" s="149" t="s">
        <v>32259</v>
      </c>
      <c r="C687" s="153" t="s">
        <v>95</v>
      </c>
      <c r="D687" s="154">
        <v>31140</v>
      </c>
      <c r="E687" s="231">
        <v>44841</v>
      </c>
      <c r="F687" s="154">
        <v>31140</v>
      </c>
      <c r="G687" s="197">
        <f>Tabla111[[#This Row],[Importe]]-Tabla111[[#This Row],[Pagado]]</f>
        <v>0</v>
      </c>
      <c r="H687" s="153" t="s">
        <v>10</v>
      </c>
    </row>
    <row r="688" spans="1:8" x14ac:dyDescent="0.25">
      <c r="A688" s="73">
        <v>44841</v>
      </c>
      <c r="B688" s="74" t="s">
        <v>32260</v>
      </c>
      <c r="C688" s="75" t="s">
        <v>473</v>
      </c>
      <c r="D688" s="81">
        <v>2262</v>
      </c>
      <c r="E688" s="230">
        <v>44841</v>
      </c>
      <c r="F688" s="81">
        <v>2262</v>
      </c>
      <c r="G688" s="197">
        <f>Tabla111[[#This Row],[Importe]]-Tabla111[[#This Row],[Pagado]]</f>
        <v>0</v>
      </c>
      <c r="H688" s="75" t="s">
        <v>10</v>
      </c>
    </row>
    <row r="689" spans="1:8" x14ac:dyDescent="0.25">
      <c r="A689" s="148">
        <v>44841</v>
      </c>
      <c r="B689" s="149" t="s">
        <v>32261</v>
      </c>
      <c r="C689" s="153" t="s">
        <v>918</v>
      </c>
      <c r="D689" s="154">
        <v>512</v>
      </c>
      <c r="E689" s="231">
        <v>44842</v>
      </c>
      <c r="F689" s="154">
        <v>512</v>
      </c>
      <c r="G689" s="197">
        <f>Tabla111[[#This Row],[Importe]]-Tabla111[[#This Row],[Pagado]]</f>
        <v>0</v>
      </c>
      <c r="H689" s="153" t="s">
        <v>10</v>
      </c>
    </row>
    <row r="690" spans="1:8" x14ac:dyDescent="0.25">
      <c r="A690" s="73">
        <v>44841</v>
      </c>
      <c r="B690" s="74" t="s">
        <v>32262</v>
      </c>
      <c r="C690" s="75" t="s">
        <v>345</v>
      </c>
      <c r="D690" s="81">
        <v>615</v>
      </c>
      <c r="E690" s="230">
        <v>44841</v>
      </c>
      <c r="F690" s="81">
        <v>615</v>
      </c>
      <c r="G690" s="197">
        <f>Tabla111[[#This Row],[Importe]]-Tabla111[[#This Row],[Pagado]]</f>
        <v>0</v>
      </c>
      <c r="H690" s="75" t="s">
        <v>10</v>
      </c>
    </row>
    <row r="691" spans="1:8" x14ac:dyDescent="0.25">
      <c r="A691" s="148">
        <v>44841</v>
      </c>
      <c r="B691" s="149" t="s">
        <v>32263</v>
      </c>
      <c r="C691" s="153" t="s">
        <v>114</v>
      </c>
      <c r="D691" s="154">
        <v>5905.8</v>
      </c>
      <c r="E691" s="231">
        <v>44842</v>
      </c>
      <c r="F691" s="154">
        <v>5905.8</v>
      </c>
      <c r="G691" s="197">
        <f>Tabla111[[#This Row],[Importe]]-Tabla111[[#This Row],[Pagado]]</f>
        <v>0</v>
      </c>
      <c r="H691" s="153" t="s">
        <v>10</v>
      </c>
    </row>
    <row r="692" spans="1:8" x14ac:dyDescent="0.25">
      <c r="A692" s="73">
        <v>44841</v>
      </c>
      <c r="B692" s="74" t="s">
        <v>32264</v>
      </c>
      <c r="C692" s="75" t="s">
        <v>22</v>
      </c>
      <c r="D692" s="81">
        <v>67438.8</v>
      </c>
      <c r="E692" s="230" t="s">
        <v>32039</v>
      </c>
      <c r="F692" s="81">
        <f>6000+54000+7438.8</f>
        <v>67438.8</v>
      </c>
      <c r="G692" s="197">
        <f>Tabla111[[#This Row],[Importe]]-Tabla111[[#This Row],[Pagado]]</f>
        <v>0</v>
      </c>
      <c r="H692" s="75" t="s">
        <v>10</v>
      </c>
    </row>
    <row r="693" spans="1:8" x14ac:dyDescent="0.25">
      <c r="A693" s="148">
        <v>44841</v>
      </c>
      <c r="B693" s="149" t="s">
        <v>32265</v>
      </c>
      <c r="C693" s="153" t="s">
        <v>9</v>
      </c>
      <c r="D693" s="154">
        <v>9328.4</v>
      </c>
      <c r="E693" s="231">
        <v>44841</v>
      </c>
      <c r="F693" s="154">
        <v>9328.4</v>
      </c>
      <c r="G693" s="197">
        <f>Tabla111[[#This Row],[Importe]]-Tabla111[[#This Row],[Pagado]]</f>
        <v>0</v>
      </c>
      <c r="H693" s="153" t="s">
        <v>10</v>
      </c>
    </row>
    <row r="694" spans="1:8" x14ac:dyDescent="0.25">
      <c r="A694" s="73">
        <v>44841</v>
      </c>
      <c r="B694" s="74" t="s">
        <v>32266</v>
      </c>
      <c r="C694" s="75" t="s">
        <v>64</v>
      </c>
      <c r="D694" s="81">
        <v>5635</v>
      </c>
      <c r="E694" s="230">
        <v>44842</v>
      </c>
      <c r="F694" s="81">
        <v>5635</v>
      </c>
      <c r="G694" s="197">
        <f>Tabla111[[#This Row],[Importe]]-Tabla111[[#This Row],[Pagado]]</f>
        <v>0</v>
      </c>
      <c r="H694" s="75" t="s">
        <v>10</v>
      </c>
    </row>
    <row r="695" spans="1:8" x14ac:dyDescent="0.25">
      <c r="A695" s="148">
        <v>44841</v>
      </c>
      <c r="B695" s="149" t="s">
        <v>32267</v>
      </c>
      <c r="C695" s="153" t="s">
        <v>89</v>
      </c>
      <c r="D695" s="154">
        <v>12151</v>
      </c>
      <c r="E695" s="231">
        <v>44842</v>
      </c>
      <c r="F695" s="154">
        <v>12151</v>
      </c>
      <c r="G695" s="197">
        <f>Tabla111[[#This Row],[Importe]]-Tabla111[[#This Row],[Pagado]]</f>
        <v>0</v>
      </c>
      <c r="H695" s="153" t="s">
        <v>10</v>
      </c>
    </row>
    <row r="696" spans="1:8" x14ac:dyDescent="0.25">
      <c r="A696" s="73">
        <v>44841</v>
      </c>
      <c r="B696" s="74" t="s">
        <v>32268</v>
      </c>
      <c r="C696" s="75" t="s">
        <v>2151</v>
      </c>
      <c r="D696" s="81">
        <v>730.8</v>
      </c>
      <c r="E696" s="230">
        <v>44841</v>
      </c>
      <c r="F696" s="81">
        <v>730.8</v>
      </c>
      <c r="G696" s="197">
        <f>Tabla111[[#This Row],[Importe]]-Tabla111[[#This Row],[Pagado]]</f>
        <v>0</v>
      </c>
      <c r="H696" s="75" t="s">
        <v>10</v>
      </c>
    </row>
    <row r="697" spans="1:8" x14ac:dyDescent="0.25">
      <c r="A697" s="148">
        <v>44841</v>
      </c>
      <c r="B697" s="149" t="s">
        <v>32269</v>
      </c>
      <c r="C697" s="153" t="s">
        <v>83</v>
      </c>
      <c r="D697" s="154">
        <v>8576.6</v>
      </c>
      <c r="E697" s="231">
        <v>44841</v>
      </c>
      <c r="F697" s="154">
        <v>8576.6</v>
      </c>
      <c r="G697" s="197">
        <f>Tabla111[[#This Row],[Importe]]-Tabla111[[#This Row],[Pagado]]</f>
        <v>0</v>
      </c>
      <c r="H697" s="153" t="s">
        <v>10</v>
      </c>
    </row>
    <row r="698" spans="1:8" x14ac:dyDescent="0.25">
      <c r="A698" s="73">
        <v>44841</v>
      </c>
      <c r="B698" s="74" t="s">
        <v>32270</v>
      </c>
      <c r="C698" s="75" t="s">
        <v>348</v>
      </c>
      <c r="D698" s="81">
        <v>7273.2</v>
      </c>
      <c r="E698" s="230">
        <v>44841</v>
      </c>
      <c r="F698" s="81">
        <v>7273.2</v>
      </c>
      <c r="G698" s="197">
        <f>Tabla111[[#This Row],[Importe]]-Tabla111[[#This Row],[Pagado]]</f>
        <v>0</v>
      </c>
      <c r="H698" s="75" t="s">
        <v>10</v>
      </c>
    </row>
    <row r="699" spans="1:8" x14ac:dyDescent="0.25">
      <c r="A699" s="148">
        <v>44841</v>
      </c>
      <c r="B699" s="149" t="s">
        <v>32271</v>
      </c>
      <c r="C699" s="153" t="s">
        <v>326</v>
      </c>
      <c r="D699" s="154">
        <v>5152.3</v>
      </c>
      <c r="E699" s="231">
        <v>44842</v>
      </c>
      <c r="F699" s="154">
        <v>5152.3</v>
      </c>
      <c r="G699" s="197">
        <f>Tabla111[[#This Row],[Importe]]-Tabla111[[#This Row],[Pagado]]</f>
        <v>0</v>
      </c>
      <c r="H699" s="153" t="s">
        <v>10</v>
      </c>
    </row>
    <row r="700" spans="1:8" x14ac:dyDescent="0.25">
      <c r="A700" s="73">
        <v>44841</v>
      </c>
      <c r="B700" s="74" t="s">
        <v>32272</v>
      </c>
      <c r="C700" s="75" t="s">
        <v>60</v>
      </c>
      <c r="D700" s="81">
        <v>4797.2</v>
      </c>
      <c r="E700" s="230">
        <v>44842</v>
      </c>
      <c r="F700" s="81">
        <v>4797.2</v>
      </c>
      <c r="G700" s="197">
        <f>Tabla111[[#This Row],[Importe]]-Tabla111[[#This Row],[Pagado]]</f>
        <v>0</v>
      </c>
      <c r="H700" s="75" t="s">
        <v>10</v>
      </c>
    </row>
    <row r="701" spans="1:8" x14ac:dyDescent="0.25">
      <c r="A701" s="148">
        <v>44841</v>
      </c>
      <c r="B701" s="149" t="s">
        <v>32273</v>
      </c>
      <c r="C701" s="153" t="s">
        <v>105</v>
      </c>
      <c r="D701" s="154">
        <v>3717.8</v>
      </c>
      <c r="E701" s="231">
        <v>44842</v>
      </c>
      <c r="F701" s="154">
        <v>3717.8</v>
      </c>
      <c r="G701" s="197">
        <f>Tabla111[[#This Row],[Importe]]-Tabla111[[#This Row],[Pagado]]</f>
        <v>0</v>
      </c>
      <c r="H701" s="153" t="s">
        <v>10</v>
      </c>
    </row>
    <row r="702" spans="1:8" x14ac:dyDescent="0.25">
      <c r="A702" s="73">
        <v>44841</v>
      </c>
      <c r="B702" s="74" t="s">
        <v>32274</v>
      </c>
      <c r="C702" s="75" t="s">
        <v>39</v>
      </c>
      <c r="D702" s="81">
        <v>12549.1</v>
      </c>
      <c r="E702" s="230">
        <v>44842</v>
      </c>
      <c r="F702" s="81">
        <v>12549.1</v>
      </c>
      <c r="G702" s="197">
        <f>Tabla111[[#This Row],[Importe]]-Tabla111[[#This Row],[Pagado]]</f>
        <v>0</v>
      </c>
      <c r="H702" s="75" t="s">
        <v>10</v>
      </c>
    </row>
    <row r="703" spans="1:8" x14ac:dyDescent="0.25">
      <c r="A703" s="148">
        <v>44841</v>
      </c>
      <c r="B703" s="149" t="s">
        <v>32275</v>
      </c>
      <c r="C703" s="153" t="s">
        <v>314</v>
      </c>
      <c r="D703" s="154">
        <v>5532.3</v>
      </c>
      <c r="E703" s="231">
        <v>44841</v>
      </c>
      <c r="F703" s="154">
        <v>5532.3</v>
      </c>
      <c r="G703" s="197">
        <f>Tabla111[[#This Row],[Importe]]-Tabla111[[#This Row],[Pagado]]</f>
        <v>0</v>
      </c>
      <c r="H703" s="153" t="s">
        <v>10</v>
      </c>
    </row>
    <row r="704" spans="1:8" x14ac:dyDescent="0.25">
      <c r="A704" s="73">
        <v>44841</v>
      </c>
      <c r="B704" s="74" t="s">
        <v>32276</v>
      </c>
      <c r="C704" s="75" t="s">
        <v>87</v>
      </c>
      <c r="D704" s="81">
        <v>4770</v>
      </c>
      <c r="E704" s="230">
        <v>44841</v>
      </c>
      <c r="F704" s="81">
        <v>4770</v>
      </c>
      <c r="G704" s="197">
        <f>Tabla111[[#This Row],[Importe]]-Tabla111[[#This Row],[Pagado]]</f>
        <v>0</v>
      </c>
      <c r="H704" s="75" t="s">
        <v>10</v>
      </c>
    </row>
    <row r="705" spans="1:8" x14ac:dyDescent="0.25">
      <c r="A705" s="148">
        <v>44841</v>
      </c>
      <c r="B705" s="149" t="s">
        <v>32277</v>
      </c>
      <c r="C705" s="153" t="s">
        <v>161</v>
      </c>
      <c r="D705" s="154">
        <v>4545</v>
      </c>
      <c r="E705" s="231">
        <v>44841</v>
      </c>
      <c r="F705" s="154">
        <v>4545</v>
      </c>
      <c r="G705" s="197">
        <f>Tabla111[[#This Row],[Importe]]-Tabla111[[#This Row],[Pagado]]</f>
        <v>0</v>
      </c>
      <c r="H705" s="153" t="s">
        <v>10</v>
      </c>
    </row>
    <row r="706" spans="1:8" x14ac:dyDescent="0.25">
      <c r="A706" s="73">
        <v>44841</v>
      </c>
      <c r="B706" s="74" t="s">
        <v>32278</v>
      </c>
      <c r="C706" s="75" t="s">
        <v>140</v>
      </c>
      <c r="D706" s="81">
        <v>1109.5999999999999</v>
      </c>
      <c r="E706" s="230">
        <v>44841</v>
      </c>
      <c r="F706" s="81">
        <v>1109.5999999999999</v>
      </c>
      <c r="G706" s="197">
        <f>Tabla111[[#This Row],[Importe]]-Tabla111[[#This Row],[Pagado]]</f>
        <v>0</v>
      </c>
      <c r="H706" s="75" t="s">
        <v>10</v>
      </c>
    </row>
    <row r="707" spans="1:8" x14ac:dyDescent="0.25">
      <c r="A707" s="148">
        <v>44841</v>
      </c>
      <c r="B707" s="149" t="s">
        <v>32279</v>
      </c>
      <c r="C707" s="153" t="s">
        <v>339</v>
      </c>
      <c r="D707" s="154">
        <v>532</v>
      </c>
      <c r="E707" s="231">
        <v>44841</v>
      </c>
      <c r="F707" s="154">
        <v>532</v>
      </c>
      <c r="G707" s="197">
        <f>Tabla111[[#This Row],[Importe]]-Tabla111[[#This Row],[Pagado]]</f>
        <v>0</v>
      </c>
      <c r="H707" s="153" t="s">
        <v>10</v>
      </c>
    </row>
    <row r="708" spans="1:8" x14ac:dyDescent="0.25">
      <c r="A708" s="73">
        <v>44841</v>
      </c>
      <c r="B708" s="74" t="s">
        <v>32280</v>
      </c>
      <c r="C708" s="75" t="s">
        <v>127</v>
      </c>
      <c r="D708" s="81">
        <v>2260.4</v>
      </c>
      <c r="E708" s="230">
        <v>44841</v>
      </c>
      <c r="F708" s="81">
        <v>2260.4</v>
      </c>
      <c r="G708" s="197">
        <f>Tabla111[[#This Row],[Importe]]-Tabla111[[#This Row],[Pagado]]</f>
        <v>0</v>
      </c>
      <c r="H708" s="75" t="s">
        <v>10</v>
      </c>
    </row>
    <row r="709" spans="1:8" x14ac:dyDescent="0.25">
      <c r="A709" s="148">
        <v>44841</v>
      </c>
      <c r="B709" s="149" t="s">
        <v>32281</v>
      </c>
      <c r="C709" s="153" t="s">
        <v>31</v>
      </c>
      <c r="D709" s="154">
        <v>6038.9</v>
      </c>
      <c r="E709" s="231">
        <v>44841</v>
      </c>
      <c r="F709" s="154">
        <v>6038.9</v>
      </c>
      <c r="G709" s="197">
        <f>Tabla111[[#This Row],[Importe]]-Tabla111[[#This Row],[Pagado]]</f>
        <v>0</v>
      </c>
      <c r="H709" s="153" t="s">
        <v>10</v>
      </c>
    </row>
    <row r="710" spans="1:8" x14ac:dyDescent="0.25">
      <c r="A710" s="73">
        <v>44841</v>
      </c>
      <c r="B710" s="74" t="s">
        <v>32282</v>
      </c>
      <c r="C710" s="75" t="s">
        <v>146</v>
      </c>
      <c r="D710" s="81">
        <v>8241</v>
      </c>
      <c r="E710" s="230">
        <v>44841</v>
      </c>
      <c r="F710" s="81">
        <v>8241</v>
      </c>
      <c r="G710" s="197">
        <f>Tabla111[[#This Row],[Importe]]-Tabla111[[#This Row],[Pagado]]</f>
        <v>0</v>
      </c>
      <c r="H710" s="75" t="s">
        <v>10</v>
      </c>
    </row>
    <row r="711" spans="1:8" x14ac:dyDescent="0.25">
      <c r="A711" s="148">
        <v>44841</v>
      </c>
      <c r="B711" s="149" t="s">
        <v>32283</v>
      </c>
      <c r="C711" s="153" t="s">
        <v>289</v>
      </c>
      <c r="D711" s="154">
        <v>17106</v>
      </c>
      <c r="E711" s="231">
        <v>44841</v>
      </c>
      <c r="F711" s="154">
        <v>17106</v>
      </c>
      <c r="G711" s="197">
        <f>Tabla111[[#This Row],[Importe]]-Tabla111[[#This Row],[Pagado]]</f>
        <v>0</v>
      </c>
      <c r="H711" s="153" t="s">
        <v>10</v>
      </c>
    </row>
    <row r="712" spans="1:8" x14ac:dyDescent="0.25">
      <c r="A712" s="73">
        <v>44841</v>
      </c>
      <c r="B712" s="74" t="s">
        <v>32284</v>
      </c>
      <c r="C712" s="75" t="s">
        <v>206</v>
      </c>
      <c r="D712" s="81">
        <v>41968</v>
      </c>
      <c r="E712" s="230">
        <v>44845</v>
      </c>
      <c r="F712" s="81">
        <v>41968</v>
      </c>
      <c r="G712" s="197">
        <f>Tabla111[[#This Row],[Importe]]-Tabla111[[#This Row],[Pagado]]</f>
        <v>0</v>
      </c>
      <c r="H712" s="75" t="s">
        <v>10</v>
      </c>
    </row>
    <row r="713" spans="1:8" x14ac:dyDescent="0.25">
      <c r="A713" s="148">
        <v>44841</v>
      </c>
      <c r="B713" s="149" t="s">
        <v>32285</v>
      </c>
      <c r="C713" s="153" t="s">
        <v>647</v>
      </c>
      <c r="D713" s="154">
        <v>2736.2</v>
      </c>
      <c r="E713" s="231">
        <v>44841</v>
      </c>
      <c r="F713" s="154">
        <v>2736.2</v>
      </c>
      <c r="G713" s="197">
        <f>Tabla111[[#This Row],[Importe]]-Tabla111[[#This Row],[Pagado]]</f>
        <v>0</v>
      </c>
      <c r="H713" s="153" t="s">
        <v>10</v>
      </c>
    </row>
    <row r="714" spans="1:8" x14ac:dyDescent="0.25">
      <c r="A714" s="73">
        <v>44841</v>
      </c>
      <c r="B714" s="74" t="s">
        <v>32286</v>
      </c>
      <c r="C714" s="75" t="s">
        <v>17556</v>
      </c>
      <c r="D714" s="81">
        <v>4373.6000000000004</v>
      </c>
      <c r="E714" s="230">
        <v>44841</v>
      </c>
      <c r="F714" s="81">
        <v>4373.6000000000004</v>
      </c>
      <c r="G714" s="197">
        <f>Tabla111[[#This Row],[Importe]]-Tabla111[[#This Row],[Pagado]]</f>
        <v>0</v>
      </c>
      <c r="H714" s="75" t="s">
        <v>10</v>
      </c>
    </row>
    <row r="715" spans="1:8" x14ac:dyDescent="0.25">
      <c r="A715" s="148">
        <v>44841</v>
      </c>
      <c r="B715" s="149" t="s">
        <v>32287</v>
      </c>
      <c r="C715" s="153" t="s">
        <v>58</v>
      </c>
      <c r="D715" s="154">
        <v>899</v>
      </c>
      <c r="E715" s="231">
        <v>44841</v>
      </c>
      <c r="F715" s="154">
        <v>899</v>
      </c>
      <c r="G715" s="197">
        <f>Tabla111[[#This Row],[Importe]]-Tabla111[[#This Row],[Pagado]]</f>
        <v>0</v>
      </c>
      <c r="H715" s="153" t="s">
        <v>10</v>
      </c>
    </row>
    <row r="716" spans="1:8" x14ac:dyDescent="0.25">
      <c r="A716" s="73">
        <v>44841</v>
      </c>
      <c r="B716" s="74" t="s">
        <v>32288</v>
      </c>
      <c r="C716" s="75" t="s">
        <v>142</v>
      </c>
      <c r="D716" s="81">
        <v>134361.29999999999</v>
      </c>
      <c r="E716" s="230">
        <v>44876</v>
      </c>
      <c r="F716" s="81">
        <v>134361.29999999999</v>
      </c>
      <c r="G716" s="197">
        <f>Tabla111[[#This Row],[Importe]]-Tabla111[[#This Row],[Pagado]]</f>
        <v>0</v>
      </c>
      <c r="H716" s="75" t="s">
        <v>4814</v>
      </c>
    </row>
    <row r="717" spans="1:8" x14ac:dyDescent="0.25">
      <c r="A717" s="148">
        <v>44841</v>
      </c>
      <c r="B717" s="149" t="s">
        <v>32289</v>
      </c>
      <c r="C717" s="153" t="s">
        <v>365</v>
      </c>
      <c r="D717" s="154">
        <v>2315.5</v>
      </c>
      <c r="E717" s="231">
        <v>44841</v>
      </c>
      <c r="F717" s="154">
        <v>2315.5</v>
      </c>
      <c r="G717" s="197">
        <f>Tabla111[[#This Row],[Importe]]-Tabla111[[#This Row],[Pagado]]</f>
        <v>0</v>
      </c>
      <c r="H717" s="153" t="s">
        <v>10</v>
      </c>
    </row>
    <row r="718" spans="1:8" x14ac:dyDescent="0.25">
      <c r="A718" s="73">
        <v>44841</v>
      </c>
      <c r="B718" s="74" t="s">
        <v>32290</v>
      </c>
      <c r="C718" s="75" t="s">
        <v>414</v>
      </c>
      <c r="D718" s="81">
        <v>22725</v>
      </c>
      <c r="E718" s="230">
        <v>44846</v>
      </c>
      <c r="F718" s="81">
        <v>22725</v>
      </c>
      <c r="G718" s="197">
        <f>Tabla111[[#This Row],[Importe]]-Tabla111[[#This Row],[Pagado]]</f>
        <v>0</v>
      </c>
      <c r="H718" s="75" t="s">
        <v>10</v>
      </c>
    </row>
    <row r="719" spans="1:8" x14ac:dyDescent="0.25">
      <c r="A719" s="148">
        <v>44841</v>
      </c>
      <c r="B719" s="149" t="s">
        <v>32291</v>
      </c>
      <c r="C719" s="153" t="s">
        <v>196</v>
      </c>
      <c r="D719" s="154">
        <v>76166.539999999994</v>
      </c>
      <c r="E719" s="231">
        <v>44841</v>
      </c>
      <c r="F719" s="154">
        <v>76166.539999999994</v>
      </c>
      <c r="G719" s="197">
        <f>Tabla111[[#This Row],[Importe]]-Tabla111[[#This Row],[Pagado]]</f>
        <v>0</v>
      </c>
      <c r="H719" s="153" t="s">
        <v>10</v>
      </c>
    </row>
    <row r="720" spans="1:8" x14ac:dyDescent="0.25">
      <c r="A720" s="73">
        <v>44841</v>
      </c>
      <c r="B720" s="74" t="s">
        <v>32292</v>
      </c>
      <c r="C720" s="75" t="s">
        <v>647</v>
      </c>
      <c r="D720" s="81">
        <v>2093.8000000000002</v>
      </c>
      <c r="E720" s="230">
        <v>44841</v>
      </c>
      <c r="F720" s="81">
        <v>2093.8000000000002</v>
      </c>
      <c r="G720" s="197">
        <f>Tabla111[[#This Row],[Importe]]-Tabla111[[#This Row],[Pagado]]</f>
        <v>0</v>
      </c>
      <c r="H720" s="75" t="s">
        <v>10</v>
      </c>
    </row>
    <row r="721" spans="1:8" x14ac:dyDescent="0.25">
      <c r="A721" s="148">
        <v>44841</v>
      </c>
      <c r="B721" s="149" t="s">
        <v>32293</v>
      </c>
      <c r="C721" s="153" t="s">
        <v>154</v>
      </c>
      <c r="D721" s="154">
        <v>45328.800000000003</v>
      </c>
      <c r="E721" s="231">
        <v>44845</v>
      </c>
      <c r="F721" s="154">
        <v>45328.800000000003</v>
      </c>
      <c r="G721" s="197">
        <f>Tabla111[[#This Row],[Importe]]-Tabla111[[#This Row],[Pagado]]</f>
        <v>0</v>
      </c>
      <c r="H721" s="153" t="s">
        <v>10</v>
      </c>
    </row>
    <row r="722" spans="1:8" x14ac:dyDescent="0.25">
      <c r="A722" s="73">
        <v>44841</v>
      </c>
      <c r="B722" s="74" t="s">
        <v>32294</v>
      </c>
      <c r="C722" s="75" t="s">
        <v>16</v>
      </c>
      <c r="D722" s="81">
        <v>2988.9</v>
      </c>
      <c r="E722" s="230">
        <v>44841</v>
      </c>
      <c r="F722" s="81">
        <v>2988.9</v>
      </c>
      <c r="G722" s="197">
        <f>Tabla111[[#This Row],[Importe]]-Tabla111[[#This Row],[Pagado]]</f>
        <v>0</v>
      </c>
      <c r="H722" s="75" t="s">
        <v>10</v>
      </c>
    </row>
    <row r="723" spans="1:8" x14ac:dyDescent="0.25">
      <c r="A723" s="148">
        <v>44841</v>
      </c>
      <c r="B723" s="149" t="s">
        <v>32295</v>
      </c>
      <c r="C723" s="153" t="s">
        <v>218</v>
      </c>
      <c r="D723" s="154">
        <v>23446</v>
      </c>
      <c r="E723" s="231">
        <v>44845</v>
      </c>
      <c r="F723" s="154">
        <v>23446</v>
      </c>
      <c r="G723" s="197">
        <f>Tabla111[[#This Row],[Importe]]-Tabla111[[#This Row],[Pagado]]</f>
        <v>0</v>
      </c>
      <c r="H723" s="153" t="s">
        <v>10</v>
      </c>
    </row>
    <row r="724" spans="1:8" x14ac:dyDescent="0.25">
      <c r="A724" s="73">
        <v>44841</v>
      </c>
      <c r="B724" s="74" t="s">
        <v>32296</v>
      </c>
      <c r="C724" s="75" t="s">
        <v>208</v>
      </c>
      <c r="D724" s="81">
        <v>11104.2</v>
      </c>
      <c r="E724" s="230">
        <v>44842</v>
      </c>
      <c r="F724" s="81">
        <v>11104.2</v>
      </c>
      <c r="G724" s="197">
        <f>Tabla111[[#This Row],[Importe]]-Tabla111[[#This Row],[Pagado]]</f>
        <v>0</v>
      </c>
      <c r="H724" s="75" t="s">
        <v>10</v>
      </c>
    </row>
    <row r="725" spans="1:8" x14ac:dyDescent="0.25">
      <c r="A725" s="148">
        <v>44841</v>
      </c>
      <c r="B725" s="149" t="s">
        <v>32297</v>
      </c>
      <c r="C725" s="153" t="s">
        <v>212</v>
      </c>
      <c r="D725" s="154">
        <v>54892.1</v>
      </c>
      <c r="E725" s="231">
        <v>44845</v>
      </c>
      <c r="F725" s="154">
        <v>54892.1</v>
      </c>
      <c r="G725" s="197">
        <f>Tabla111[[#This Row],[Importe]]-Tabla111[[#This Row],[Pagado]]</f>
        <v>0</v>
      </c>
      <c r="H725" s="153" t="s">
        <v>10</v>
      </c>
    </row>
    <row r="726" spans="1:8" x14ac:dyDescent="0.25">
      <c r="A726" s="73">
        <v>44841</v>
      </c>
      <c r="B726" s="74" t="s">
        <v>32298</v>
      </c>
      <c r="C726" s="75" t="s">
        <v>49</v>
      </c>
      <c r="D726" s="81">
        <v>4300.3999999999996</v>
      </c>
      <c r="E726" s="230">
        <v>44841</v>
      </c>
      <c r="F726" s="81">
        <v>4300.3999999999996</v>
      </c>
      <c r="G726" s="197">
        <f>Tabla111[[#This Row],[Importe]]-Tabla111[[#This Row],[Pagado]]</f>
        <v>0</v>
      </c>
      <c r="H726" s="75" t="s">
        <v>10</v>
      </c>
    </row>
    <row r="727" spans="1:8" x14ac:dyDescent="0.25">
      <c r="A727" s="148">
        <v>44841</v>
      </c>
      <c r="B727" s="149" t="s">
        <v>32299</v>
      </c>
      <c r="C727" s="153" t="s">
        <v>16</v>
      </c>
      <c r="D727" s="154">
        <v>1380.4</v>
      </c>
      <c r="E727" s="231">
        <v>44841</v>
      </c>
      <c r="F727" s="154">
        <v>1380.4</v>
      </c>
      <c r="G727" s="197">
        <f>Tabla111[[#This Row],[Importe]]-Tabla111[[#This Row],[Pagado]]</f>
        <v>0</v>
      </c>
      <c r="H727" s="153" t="s">
        <v>10</v>
      </c>
    </row>
    <row r="728" spans="1:8" x14ac:dyDescent="0.25">
      <c r="A728" s="73">
        <v>44841</v>
      </c>
      <c r="B728" s="74" t="s">
        <v>32300</v>
      </c>
      <c r="C728" s="75" t="s">
        <v>51</v>
      </c>
      <c r="D728" s="81">
        <v>4083.6</v>
      </c>
      <c r="E728" s="230">
        <v>44841</v>
      </c>
      <c r="F728" s="81">
        <v>4083.6</v>
      </c>
      <c r="G728" s="197">
        <f>Tabla111[[#This Row],[Importe]]-Tabla111[[#This Row],[Pagado]]</f>
        <v>0</v>
      </c>
      <c r="H728" s="75" t="s">
        <v>10</v>
      </c>
    </row>
    <row r="729" spans="1:8" x14ac:dyDescent="0.25">
      <c r="A729" s="148">
        <v>44841</v>
      </c>
      <c r="B729" s="149" t="s">
        <v>32301</v>
      </c>
      <c r="C729" s="153" t="s">
        <v>51</v>
      </c>
      <c r="D729" s="154">
        <v>787.6</v>
      </c>
      <c r="E729" s="231">
        <v>44841</v>
      </c>
      <c r="F729" s="154">
        <v>787.6</v>
      </c>
      <c r="G729" s="197">
        <f>Tabla111[[#This Row],[Importe]]-Tabla111[[#This Row],[Pagado]]</f>
        <v>0</v>
      </c>
      <c r="H729" s="153" t="s">
        <v>10</v>
      </c>
    </row>
    <row r="730" spans="1:8" x14ac:dyDescent="0.25">
      <c r="A730" s="73">
        <v>44841</v>
      </c>
      <c r="B730" s="74" t="s">
        <v>32302</v>
      </c>
      <c r="C730" s="75" t="s">
        <v>2114</v>
      </c>
      <c r="D730" s="81">
        <v>1971.1</v>
      </c>
      <c r="E730" s="230">
        <v>44841</v>
      </c>
      <c r="F730" s="81">
        <v>1971.1</v>
      </c>
      <c r="G730" s="197">
        <f>Tabla111[[#This Row],[Importe]]-Tabla111[[#This Row],[Pagado]]</f>
        <v>0</v>
      </c>
      <c r="H730" s="75" t="s">
        <v>10</v>
      </c>
    </row>
    <row r="731" spans="1:8" x14ac:dyDescent="0.25">
      <c r="A731" s="148">
        <v>44841</v>
      </c>
      <c r="B731" s="149" t="s">
        <v>32303</v>
      </c>
      <c r="C731" s="153" t="s">
        <v>312</v>
      </c>
      <c r="D731" s="154">
        <v>5046.3999999999996</v>
      </c>
      <c r="E731" s="231">
        <v>44841</v>
      </c>
      <c r="F731" s="154">
        <v>5046.3999999999996</v>
      </c>
      <c r="G731" s="197">
        <f>Tabla111[[#This Row],[Importe]]-Tabla111[[#This Row],[Pagado]]</f>
        <v>0</v>
      </c>
      <c r="H731" s="153" t="s">
        <v>10</v>
      </c>
    </row>
    <row r="732" spans="1:8" x14ac:dyDescent="0.25">
      <c r="A732" s="73">
        <v>44841</v>
      </c>
      <c r="B732" s="74" t="s">
        <v>32304</v>
      </c>
      <c r="C732" s="75" t="s">
        <v>29</v>
      </c>
      <c r="D732" s="81">
        <v>5100</v>
      </c>
      <c r="E732" s="230">
        <v>44841</v>
      </c>
      <c r="F732" s="81">
        <v>5100</v>
      </c>
      <c r="G732" s="197">
        <f>Tabla111[[#This Row],[Importe]]-Tabla111[[#This Row],[Pagado]]</f>
        <v>0</v>
      </c>
      <c r="H732" s="75" t="s">
        <v>10</v>
      </c>
    </row>
    <row r="733" spans="1:8" x14ac:dyDescent="0.25">
      <c r="A733" s="148">
        <v>44841</v>
      </c>
      <c r="B733" s="149" t="s">
        <v>32305</v>
      </c>
      <c r="C733" s="153" t="s">
        <v>27</v>
      </c>
      <c r="D733" s="154">
        <v>1153.5999999999999</v>
      </c>
      <c r="E733" s="231">
        <v>44841</v>
      </c>
      <c r="F733" s="154">
        <v>1153.5999999999999</v>
      </c>
      <c r="G733" s="197">
        <f>Tabla111[[#This Row],[Importe]]-Tabla111[[#This Row],[Pagado]]</f>
        <v>0</v>
      </c>
      <c r="H733" s="153" t="s">
        <v>10</v>
      </c>
    </row>
    <row r="734" spans="1:8" x14ac:dyDescent="0.25">
      <c r="A734" s="73">
        <v>44841</v>
      </c>
      <c r="B734" s="74" t="s">
        <v>32306</v>
      </c>
      <c r="C734" s="75" t="s">
        <v>56</v>
      </c>
      <c r="D734" s="81">
        <v>8177.6</v>
      </c>
      <c r="E734" s="230">
        <v>44841</v>
      </c>
      <c r="F734" s="81">
        <v>8177.6</v>
      </c>
      <c r="G734" s="197">
        <f>Tabla111[[#This Row],[Importe]]-Tabla111[[#This Row],[Pagado]]</f>
        <v>0</v>
      </c>
      <c r="H734" s="75" t="s">
        <v>10</v>
      </c>
    </row>
    <row r="735" spans="1:8" x14ac:dyDescent="0.25">
      <c r="A735" s="148">
        <v>44841</v>
      </c>
      <c r="B735" s="149" t="s">
        <v>32307</v>
      </c>
      <c r="C735" s="153" t="s">
        <v>45</v>
      </c>
      <c r="D735" s="154">
        <v>13752</v>
      </c>
      <c r="E735" s="231">
        <v>44841</v>
      </c>
      <c r="F735" s="154">
        <v>13752</v>
      </c>
      <c r="G735" s="197">
        <f>Tabla111[[#This Row],[Importe]]-Tabla111[[#This Row],[Pagado]]</f>
        <v>0</v>
      </c>
      <c r="H735" s="153" t="s">
        <v>10</v>
      </c>
    </row>
    <row r="736" spans="1:8" x14ac:dyDescent="0.25">
      <c r="A736" s="73">
        <v>44841</v>
      </c>
      <c r="B736" s="74" t="s">
        <v>32308</v>
      </c>
      <c r="C736" s="75" t="s">
        <v>45</v>
      </c>
      <c r="D736" s="81">
        <v>140</v>
      </c>
      <c r="E736" s="230">
        <v>44841</v>
      </c>
      <c r="F736" s="81">
        <v>140</v>
      </c>
      <c r="G736" s="197">
        <f>Tabla111[[#This Row],[Importe]]-Tabla111[[#This Row],[Pagado]]</f>
        <v>0</v>
      </c>
      <c r="H736" s="75" t="s">
        <v>10</v>
      </c>
    </row>
    <row r="737" spans="1:8" x14ac:dyDescent="0.25">
      <c r="A737" s="148">
        <v>44841</v>
      </c>
      <c r="B737" s="149" t="s">
        <v>32309</v>
      </c>
      <c r="C737" s="153" t="s">
        <v>230</v>
      </c>
      <c r="D737" s="154">
        <v>7969.6</v>
      </c>
      <c r="E737" s="231">
        <v>44841</v>
      </c>
      <c r="F737" s="154">
        <v>7969.6</v>
      </c>
      <c r="G737" s="197">
        <f>Tabla111[[#This Row],[Importe]]-Tabla111[[#This Row],[Pagado]]</f>
        <v>0</v>
      </c>
      <c r="H737" s="153" t="s">
        <v>10</v>
      </c>
    </row>
    <row r="738" spans="1:8" x14ac:dyDescent="0.25">
      <c r="A738" s="73">
        <v>44841</v>
      </c>
      <c r="B738" s="74" t="s">
        <v>32310</v>
      </c>
      <c r="C738" s="75" t="s">
        <v>698</v>
      </c>
      <c r="D738" s="81">
        <v>9725.1</v>
      </c>
      <c r="E738" s="230">
        <v>44841</v>
      </c>
      <c r="F738" s="81">
        <v>9725.1</v>
      </c>
      <c r="G738" s="197">
        <f>Tabla111[[#This Row],[Importe]]-Tabla111[[#This Row],[Pagado]]</f>
        <v>0</v>
      </c>
      <c r="H738" s="75" t="s">
        <v>10</v>
      </c>
    </row>
    <row r="739" spans="1:8" x14ac:dyDescent="0.25">
      <c r="A739" s="148">
        <v>44841</v>
      </c>
      <c r="B739" s="149" t="s">
        <v>32311</v>
      </c>
      <c r="C739" s="153" t="s">
        <v>296</v>
      </c>
      <c r="D739" s="154">
        <v>699.2</v>
      </c>
      <c r="E739" s="231">
        <v>44841</v>
      </c>
      <c r="F739" s="154">
        <v>699.2</v>
      </c>
      <c r="G739" s="197">
        <f>Tabla111[[#This Row],[Importe]]-Tabla111[[#This Row],[Pagado]]</f>
        <v>0</v>
      </c>
      <c r="H739" s="153" t="s">
        <v>10</v>
      </c>
    </row>
    <row r="740" spans="1:8" x14ac:dyDescent="0.25">
      <c r="A740" s="73">
        <v>44841</v>
      </c>
      <c r="B740" s="74" t="s">
        <v>32312</v>
      </c>
      <c r="C740" s="75" t="s">
        <v>24</v>
      </c>
      <c r="D740" s="81">
        <v>4240</v>
      </c>
      <c r="E740" s="230">
        <v>44841</v>
      </c>
      <c r="F740" s="81">
        <v>4240</v>
      </c>
      <c r="G740" s="197">
        <f>Tabla111[[#This Row],[Importe]]-Tabla111[[#This Row],[Pagado]]</f>
        <v>0</v>
      </c>
      <c r="H740" s="75" t="s">
        <v>10</v>
      </c>
    </row>
    <row r="741" spans="1:8" x14ac:dyDescent="0.25">
      <c r="A741" s="148">
        <v>44841</v>
      </c>
      <c r="B741" s="149" t="s">
        <v>32313</v>
      </c>
      <c r="C741" s="153" t="s">
        <v>149</v>
      </c>
      <c r="D741" s="154">
        <v>427.5</v>
      </c>
      <c r="E741" s="231">
        <v>44841</v>
      </c>
      <c r="F741" s="154">
        <v>427.5</v>
      </c>
      <c r="G741" s="197">
        <f>Tabla111[[#This Row],[Importe]]-Tabla111[[#This Row],[Pagado]]</f>
        <v>0</v>
      </c>
      <c r="H741" s="153" t="s">
        <v>10</v>
      </c>
    </row>
    <row r="742" spans="1:8" x14ac:dyDescent="0.25">
      <c r="A742" s="73">
        <v>44841</v>
      </c>
      <c r="B742" s="74" t="s">
        <v>32314</v>
      </c>
      <c r="C742" s="75" t="s">
        <v>244</v>
      </c>
      <c r="D742" s="81">
        <v>2425.5</v>
      </c>
      <c r="E742" s="230">
        <v>44841</v>
      </c>
      <c r="F742" s="81">
        <v>2425.5</v>
      </c>
      <c r="G742" s="197">
        <f>Tabla111[[#This Row],[Importe]]-Tabla111[[#This Row],[Pagado]]</f>
        <v>0</v>
      </c>
      <c r="H742" s="75" t="s">
        <v>10</v>
      </c>
    </row>
    <row r="743" spans="1:8" x14ac:dyDescent="0.25">
      <c r="A743" s="148">
        <v>44841</v>
      </c>
      <c r="B743" s="149" t="s">
        <v>32315</v>
      </c>
      <c r="C743" s="153" t="s">
        <v>216</v>
      </c>
      <c r="D743" s="154">
        <v>3307.5</v>
      </c>
      <c r="E743" s="231">
        <v>44841</v>
      </c>
      <c r="F743" s="154">
        <v>3307.5</v>
      </c>
      <c r="G743" s="197">
        <f>Tabla111[[#This Row],[Importe]]-Tabla111[[#This Row],[Pagado]]</f>
        <v>0</v>
      </c>
      <c r="H743" s="153" t="s">
        <v>10</v>
      </c>
    </row>
    <row r="744" spans="1:8" x14ac:dyDescent="0.25">
      <c r="A744" s="73">
        <v>44841</v>
      </c>
      <c r="B744" s="74" t="s">
        <v>32316</v>
      </c>
      <c r="C744" s="75" t="s">
        <v>1378</v>
      </c>
      <c r="D744" s="81">
        <v>64301</v>
      </c>
      <c r="E744" s="230">
        <v>44842</v>
      </c>
      <c r="F744" s="81">
        <v>64301</v>
      </c>
      <c r="G744" s="197">
        <f>Tabla111[[#This Row],[Importe]]-Tabla111[[#This Row],[Pagado]]</f>
        <v>0</v>
      </c>
      <c r="H744" s="75" t="s">
        <v>10</v>
      </c>
    </row>
    <row r="745" spans="1:8" x14ac:dyDescent="0.25">
      <c r="A745" s="148">
        <v>44841</v>
      </c>
      <c r="B745" s="149" t="s">
        <v>32317</v>
      </c>
      <c r="C745" s="153" t="s">
        <v>135</v>
      </c>
      <c r="D745" s="154">
        <v>2330.4</v>
      </c>
      <c r="E745" s="231">
        <v>44841</v>
      </c>
      <c r="F745" s="154">
        <v>2330.4</v>
      </c>
      <c r="G745" s="197">
        <f>Tabla111[[#This Row],[Importe]]-Tabla111[[#This Row],[Pagado]]</f>
        <v>0</v>
      </c>
      <c r="H745" s="153" t="s">
        <v>10</v>
      </c>
    </row>
    <row r="746" spans="1:8" x14ac:dyDescent="0.25">
      <c r="A746" s="73">
        <v>44841</v>
      </c>
      <c r="B746" s="74" t="s">
        <v>32318</v>
      </c>
      <c r="C746" s="75" t="s">
        <v>4136</v>
      </c>
      <c r="D746" s="81">
        <v>2221.1999999999998</v>
      </c>
      <c r="E746" s="230">
        <v>44841</v>
      </c>
      <c r="F746" s="81">
        <v>2221.1999999999998</v>
      </c>
      <c r="G746" s="197">
        <f>Tabla111[[#This Row],[Importe]]-Tabla111[[#This Row],[Pagado]]</f>
        <v>0</v>
      </c>
      <c r="H746" s="75" t="s">
        <v>10</v>
      </c>
    </row>
    <row r="747" spans="1:8" x14ac:dyDescent="0.25">
      <c r="A747" s="148">
        <v>44841</v>
      </c>
      <c r="B747" s="149" t="s">
        <v>32319</v>
      </c>
      <c r="C747" s="153" t="s">
        <v>31</v>
      </c>
      <c r="D747" s="154">
        <v>600</v>
      </c>
      <c r="E747" s="231">
        <v>44841</v>
      </c>
      <c r="F747" s="154">
        <v>600</v>
      </c>
      <c r="G747" s="197">
        <f>Tabla111[[#This Row],[Importe]]-Tabla111[[#This Row],[Pagado]]</f>
        <v>0</v>
      </c>
      <c r="H747" s="153" t="s">
        <v>10</v>
      </c>
    </row>
    <row r="748" spans="1:8" x14ac:dyDescent="0.25">
      <c r="A748" s="73">
        <v>44841</v>
      </c>
      <c r="B748" s="74" t="s">
        <v>32320</v>
      </c>
      <c r="C748" s="75" t="s">
        <v>32321</v>
      </c>
      <c r="D748" s="81">
        <v>2152.5</v>
      </c>
      <c r="E748" s="230">
        <v>44841</v>
      </c>
      <c r="F748" s="81">
        <v>2152.5</v>
      </c>
      <c r="G748" s="197">
        <f>Tabla111[[#This Row],[Importe]]-Tabla111[[#This Row],[Pagado]]</f>
        <v>0</v>
      </c>
      <c r="H748" s="75" t="s">
        <v>10</v>
      </c>
    </row>
    <row r="749" spans="1:8" ht="31.5" x14ac:dyDescent="0.25">
      <c r="A749" s="148">
        <v>44841</v>
      </c>
      <c r="B749" s="149" t="s">
        <v>32322</v>
      </c>
      <c r="C749" s="160" t="s">
        <v>15077</v>
      </c>
      <c r="D749" s="154">
        <v>0</v>
      </c>
      <c r="E749" s="233" t="s">
        <v>189</v>
      </c>
      <c r="F749" s="154">
        <v>0</v>
      </c>
      <c r="G749" s="197">
        <f>Tabla111[[#This Row],[Importe]]-Tabla111[[#This Row],[Pagado]]</f>
        <v>0</v>
      </c>
      <c r="H749" s="153" t="s">
        <v>189</v>
      </c>
    </row>
    <row r="750" spans="1:8" x14ac:dyDescent="0.25">
      <c r="A750" s="73">
        <v>44841</v>
      </c>
      <c r="B750" s="74" t="s">
        <v>32323</v>
      </c>
      <c r="C750" s="75" t="s">
        <v>994</v>
      </c>
      <c r="D750" s="81">
        <v>7113</v>
      </c>
      <c r="E750" s="230">
        <v>44841</v>
      </c>
      <c r="F750" s="81">
        <v>7113</v>
      </c>
      <c r="G750" s="197">
        <f>Tabla111[[#This Row],[Importe]]-Tabla111[[#This Row],[Pagado]]</f>
        <v>0</v>
      </c>
      <c r="H750" s="75" t="s">
        <v>10</v>
      </c>
    </row>
    <row r="751" spans="1:8" x14ac:dyDescent="0.25">
      <c r="A751" s="148">
        <v>44841</v>
      </c>
      <c r="B751" s="149" t="s">
        <v>32324</v>
      </c>
      <c r="C751" s="153" t="s">
        <v>10157</v>
      </c>
      <c r="D751" s="154">
        <v>18963.900000000001</v>
      </c>
      <c r="E751" s="231">
        <v>44842</v>
      </c>
      <c r="F751" s="154">
        <v>18963.900000000001</v>
      </c>
      <c r="G751" s="197">
        <f>Tabla111[[#This Row],[Importe]]-Tabla111[[#This Row],[Pagado]]</f>
        <v>0</v>
      </c>
      <c r="H751" s="153" t="s">
        <v>10</v>
      </c>
    </row>
    <row r="752" spans="1:8" x14ac:dyDescent="0.25">
      <c r="A752" s="73">
        <v>44841</v>
      </c>
      <c r="B752" s="74" t="s">
        <v>32325</v>
      </c>
      <c r="C752" s="75" t="s">
        <v>9577</v>
      </c>
      <c r="D752" s="81">
        <v>1633.5</v>
      </c>
      <c r="E752" s="230">
        <v>44841</v>
      </c>
      <c r="F752" s="81">
        <v>1633.5</v>
      </c>
      <c r="G752" s="197">
        <f>Tabla111[[#This Row],[Importe]]-Tabla111[[#This Row],[Pagado]]</f>
        <v>0</v>
      </c>
      <c r="H752" s="75" t="s">
        <v>10</v>
      </c>
    </row>
    <row r="753" spans="1:8" x14ac:dyDescent="0.25">
      <c r="A753" s="148">
        <v>44841</v>
      </c>
      <c r="B753" s="149" t="s">
        <v>32326</v>
      </c>
      <c r="C753" s="153" t="s">
        <v>1362</v>
      </c>
      <c r="D753" s="154">
        <v>4582.8</v>
      </c>
      <c r="E753" s="231">
        <v>44841</v>
      </c>
      <c r="F753" s="154">
        <v>4582.8</v>
      </c>
      <c r="G753" s="197">
        <f>Tabla111[[#This Row],[Importe]]-Tabla111[[#This Row],[Pagado]]</f>
        <v>0</v>
      </c>
      <c r="H753" s="153" t="s">
        <v>10</v>
      </c>
    </row>
    <row r="754" spans="1:8" x14ac:dyDescent="0.25">
      <c r="A754" s="73">
        <v>44841</v>
      </c>
      <c r="B754" s="74" t="s">
        <v>32327</v>
      </c>
      <c r="C754" s="75" t="s">
        <v>233</v>
      </c>
      <c r="D754" s="81">
        <v>5272.5</v>
      </c>
      <c r="E754" s="230">
        <v>44841</v>
      </c>
      <c r="F754" s="81">
        <v>5272.5</v>
      </c>
      <c r="G754" s="197">
        <f>Tabla111[[#This Row],[Importe]]-Tabla111[[#This Row],[Pagado]]</f>
        <v>0</v>
      </c>
      <c r="H754" s="75" t="s">
        <v>10</v>
      </c>
    </row>
    <row r="755" spans="1:8" x14ac:dyDescent="0.25">
      <c r="A755" s="148">
        <v>44841</v>
      </c>
      <c r="B755" s="149" t="s">
        <v>32328</v>
      </c>
      <c r="C755" s="153" t="s">
        <v>133</v>
      </c>
      <c r="D755" s="154">
        <v>12840</v>
      </c>
      <c r="E755" s="231">
        <v>44842</v>
      </c>
      <c r="F755" s="154">
        <v>12840</v>
      </c>
      <c r="G755" s="197">
        <f>Tabla111[[#This Row],[Importe]]-Tabla111[[#This Row],[Pagado]]</f>
        <v>0</v>
      </c>
      <c r="H755" s="153" t="s">
        <v>10</v>
      </c>
    </row>
    <row r="756" spans="1:8" x14ac:dyDescent="0.25">
      <c r="A756" s="73">
        <v>44841</v>
      </c>
      <c r="B756" s="74" t="s">
        <v>32329</v>
      </c>
      <c r="C756" s="75" t="s">
        <v>9827</v>
      </c>
      <c r="D756" s="81">
        <v>3352.5</v>
      </c>
      <c r="E756" s="230">
        <v>44841</v>
      </c>
      <c r="F756" s="81">
        <v>3352.5</v>
      </c>
      <c r="G756" s="197">
        <f>Tabla111[[#This Row],[Importe]]-Tabla111[[#This Row],[Pagado]]</f>
        <v>0</v>
      </c>
      <c r="H756" s="75" t="s">
        <v>10</v>
      </c>
    </row>
    <row r="757" spans="1:8" x14ac:dyDescent="0.25">
      <c r="A757" s="148">
        <v>44841</v>
      </c>
      <c r="B757" s="149" t="s">
        <v>32330</v>
      </c>
      <c r="C757" s="153" t="s">
        <v>69</v>
      </c>
      <c r="D757" s="154">
        <v>2760</v>
      </c>
      <c r="E757" s="231">
        <v>44841</v>
      </c>
      <c r="F757" s="154">
        <v>2760</v>
      </c>
      <c r="G757" s="197">
        <f>Tabla111[[#This Row],[Importe]]-Tabla111[[#This Row],[Pagado]]</f>
        <v>0</v>
      </c>
      <c r="H757" s="153" t="s">
        <v>10</v>
      </c>
    </row>
    <row r="758" spans="1:8" x14ac:dyDescent="0.25">
      <c r="A758" s="73">
        <v>44841</v>
      </c>
      <c r="B758" s="74" t="s">
        <v>32331</v>
      </c>
      <c r="C758" s="75" t="s">
        <v>1644</v>
      </c>
      <c r="D758" s="81">
        <v>13714.2</v>
      </c>
      <c r="E758" s="230">
        <v>44842</v>
      </c>
      <c r="F758" s="81">
        <v>13714.2</v>
      </c>
      <c r="G758" s="197">
        <f>Tabla111[[#This Row],[Importe]]-Tabla111[[#This Row],[Pagado]]</f>
        <v>0</v>
      </c>
      <c r="H758" s="75" t="s">
        <v>10</v>
      </c>
    </row>
    <row r="759" spans="1:8" x14ac:dyDescent="0.25">
      <c r="A759" s="148">
        <v>44841</v>
      </c>
      <c r="B759" s="149" t="s">
        <v>32332</v>
      </c>
      <c r="C759" s="153" t="s">
        <v>419</v>
      </c>
      <c r="D759" s="154">
        <v>11389.5</v>
      </c>
      <c r="E759" s="231">
        <v>44841</v>
      </c>
      <c r="F759" s="154">
        <v>11389.5</v>
      </c>
      <c r="G759" s="197">
        <f>Tabla111[[#This Row],[Importe]]-Tabla111[[#This Row],[Pagado]]</f>
        <v>0</v>
      </c>
      <c r="H759" s="153" t="s">
        <v>10</v>
      </c>
    </row>
    <row r="760" spans="1:8" x14ac:dyDescent="0.25">
      <c r="A760" s="73">
        <v>44841</v>
      </c>
      <c r="B760" s="74" t="s">
        <v>32333</v>
      </c>
      <c r="C760" s="75" t="s">
        <v>592</v>
      </c>
      <c r="D760" s="81">
        <v>1963.5</v>
      </c>
      <c r="E760" s="230">
        <v>44842</v>
      </c>
      <c r="F760" s="81">
        <v>1963.5</v>
      </c>
      <c r="G760" s="197">
        <f>Tabla111[[#This Row],[Importe]]-Tabla111[[#This Row],[Pagado]]</f>
        <v>0</v>
      </c>
      <c r="H760" s="75" t="s">
        <v>10</v>
      </c>
    </row>
    <row r="761" spans="1:8" x14ac:dyDescent="0.25">
      <c r="A761" s="148">
        <v>44841</v>
      </c>
      <c r="B761" s="149" t="s">
        <v>32334</v>
      </c>
      <c r="C761" s="153" t="s">
        <v>849</v>
      </c>
      <c r="D761" s="154">
        <v>7035.7</v>
      </c>
      <c r="E761" s="231">
        <v>44841</v>
      </c>
      <c r="F761" s="154">
        <v>7035.7</v>
      </c>
      <c r="G761" s="197">
        <f>Tabla111[[#This Row],[Importe]]-Tabla111[[#This Row],[Pagado]]</f>
        <v>0</v>
      </c>
      <c r="H761" s="153" t="s">
        <v>10</v>
      </c>
    </row>
    <row r="762" spans="1:8" x14ac:dyDescent="0.25">
      <c r="A762" s="73">
        <v>44841</v>
      </c>
      <c r="B762" s="74" t="s">
        <v>32335</v>
      </c>
      <c r="C762" s="75" t="s">
        <v>173</v>
      </c>
      <c r="D762" s="81">
        <v>25545.599999999999</v>
      </c>
      <c r="E762" s="230">
        <v>44842</v>
      </c>
      <c r="F762" s="81">
        <v>25545.599999999999</v>
      </c>
      <c r="G762" s="197">
        <f>Tabla111[[#This Row],[Importe]]-Tabla111[[#This Row],[Pagado]]</f>
        <v>0</v>
      </c>
      <c r="H762" s="75" t="s">
        <v>10</v>
      </c>
    </row>
    <row r="763" spans="1:8" x14ac:dyDescent="0.25">
      <c r="A763" s="148">
        <v>44841</v>
      </c>
      <c r="B763" s="149" t="s">
        <v>32336</v>
      </c>
      <c r="C763" s="153" t="s">
        <v>107</v>
      </c>
      <c r="D763" s="154">
        <v>11496.8</v>
      </c>
      <c r="E763" s="231">
        <v>44841</v>
      </c>
      <c r="F763" s="154">
        <v>11496.8</v>
      </c>
      <c r="G763" s="197">
        <f>Tabla111[[#This Row],[Importe]]-Tabla111[[#This Row],[Pagado]]</f>
        <v>0</v>
      </c>
      <c r="H763" s="153" t="s">
        <v>10</v>
      </c>
    </row>
    <row r="764" spans="1:8" x14ac:dyDescent="0.25">
      <c r="A764" s="73">
        <v>44841</v>
      </c>
      <c r="B764" s="74" t="s">
        <v>32337</v>
      </c>
      <c r="C764" s="75" t="s">
        <v>10313</v>
      </c>
      <c r="D764" s="81">
        <v>4357.8</v>
      </c>
      <c r="E764" s="230">
        <v>44841</v>
      </c>
      <c r="F764" s="81">
        <v>4357.8</v>
      </c>
      <c r="G764" s="197">
        <f>Tabla111[[#This Row],[Importe]]-Tabla111[[#This Row],[Pagado]]</f>
        <v>0</v>
      </c>
      <c r="H764" s="75" t="s">
        <v>10</v>
      </c>
    </row>
    <row r="765" spans="1:8" x14ac:dyDescent="0.25">
      <c r="A765" s="148">
        <v>44841</v>
      </c>
      <c r="B765" s="149" t="s">
        <v>32338</v>
      </c>
      <c r="C765" s="153" t="s">
        <v>28087</v>
      </c>
      <c r="D765" s="154">
        <v>33160.9</v>
      </c>
      <c r="E765" s="231">
        <v>44842</v>
      </c>
      <c r="F765" s="154">
        <f>14967.53+18193.37</f>
        <v>33160.9</v>
      </c>
      <c r="G765" s="197">
        <f>Tabla111[[#This Row],[Importe]]-Tabla111[[#This Row],[Pagado]]</f>
        <v>0</v>
      </c>
      <c r="H765" s="153" t="s">
        <v>10</v>
      </c>
    </row>
    <row r="766" spans="1:8" x14ac:dyDescent="0.25">
      <c r="A766" s="73">
        <v>44841</v>
      </c>
      <c r="B766" s="74" t="s">
        <v>32339</v>
      </c>
      <c r="C766" s="75" t="s">
        <v>654</v>
      </c>
      <c r="D766" s="81">
        <v>1604</v>
      </c>
      <c r="E766" s="230">
        <v>44841</v>
      </c>
      <c r="F766" s="81">
        <v>1604</v>
      </c>
      <c r="G766" s="197">
        <f>Tabla111[[#This Row],[Importe]]-Tabla111[[#This Row],[Pagado]]</f>
        <v>0</v>
      </c>
      <c r="H766" s="75" t="s">
        <v>10</v>
      </c>
    </row>
    <row r="767" spans="1:8" x14ac:dyDescent="0.25">
      <c r="A767" s="148">
        <v>44841</v>
      </c>
      <c r="B767" s="149" t="s">
        <v>32340</v>
      </c>
      <c r="C767" s="153" t="s">
        <v>214</v>
      </c>
      <c r="D767" s="154">
        <v>1275</v>
      </c>
      <c r="E767" s="231">
        <v>44841</v>
      </c>
      <c r="F767" s="154">
        <v>1275</v>
      </c>
      <c r="G767" s="197">
        <f>Tabla111[[#This Row],[Importe]]-Tabla111[[#This Row],[Pagado]]</f>
        <v>0</v>
      </c>
      <c r="H767" s="153" t="s">
        <v>10</v>
      </c>
    </row>
    <row r="768" spans="1:8" x14ac:dyDescent="0.25">
      <c r="A768" s="73">
        <v>44841</v>
      </c>
      <c r="B768" s="74" t="s">
        <v>32341</v>
      </c>
      <c r="C768" s="75" t="s">
        <v>31</v>
      </c>
      <c r="D768" s="81">
        <v>684</v>
      </c>
      <c r="E768" s="230">
        <v>44841</v>
      </c>
      <c r="F768" s="81">
        <v>684</v>
      </c>
      <c r="G768" s="197">
        <f>Tabla111[[#This Row],[Importe]]-Tabla111[[#This Row],[Pagado]]</f>
        <v>0</v>
      </c>
      <c r="H768" s="75" t="s">
        <v>10</v>
      </c>
    </row>
    <row r="769" spans="1:8" x14ac:dyDescent="0.25">
      <c r="A769" s="148">
        <v>44841</v>
      </c>
      <c r="B769" s="149" t="s">
        <v>32342</v>
      </c>
      <c r="C769" s="153" t="s">
        <v>647</v>
      </c>
      <c r="D769" s="154">
        <v>926.6</v>
      </c>
      <c r="E769" s="231">
        <v>44841</v>
      </c>
      <c r="F769" s="154">
        <v>926.6</v>
      </c>
      <c r="G769" s="197">
        <f>Tabla111[[#This Row],[Importe]]-Tabla111[[#This Row],[Pagado]]</f>
        <v>0</v>
      </c>
      <c r="H769" s="153" t="s">
        <v>10</v>
      </c>
    </row>
    <row r="770" spans="1:8" x14ac:dyDescent="0.25">
      <c r="A770" s="73">
        <v>44841</v>
      </c>
      <c r="B770" s="74" t="s">
        <v>32343</v>
      </c>
      <c r="C770" s="75" t="s">
        <v>31</v>
      </c>
      <c r="D770" s="81">
        <v>9014.4</v>
      </c>
      <c r="E770" s="230">
        <v>44841</v>
      </c>
      <c r="F770" s="81">
        <v>9014.4</v>
      </c>
      <c r="G770" s="197">
        <f>Tabla111[[#This Row],[Importe]]-Tabla111[[#This Row],[Pagado]]</f>
        <v>0</v>
      </c>
      <c r="H770" s="75" t="s">
        <v>10</v>
      </c>
    </row>
    <row r="771" spans="1:8" x14ac:dyDescent="0.25">
      <c r="A771" s="148">
        <v>44841</v>
      </c>
      <c r="B771" s="149" t="s">
        <v>32344</v>
      </c>
      <c r="C771" s="153" t="s">
        <v>31</v>
      </c>
      <c r="D771" s="154">
        <v>12280</v>
      </c>
      <c r="E771" s="231">
        <v>44841</v>
      </c>
      <c r="F771" s="154">
        <v>12280</v>
      </c>
      <c r="G771" s="197">
        <f>Tabla111[[#This Row],[Importe]]-Tabla111[[#This Row],[Pagado]]</f>
        <v>0</v>
      </c>
      <c r="H771" s="153" t="s">
        <v>10</v>
      </c>
    </row>
    <row r="772" spans="1:8" x14ac:dyDescent="0.25">
      <c r="A772" s="73">
        <v>44841</v>
      </c>
      <c r="B772" s="74" t="s">
        <v>32345</v>
      </c>
      <c r="C772" s="75" t="s">
        <v>19637</v>
      </c>
      <c r="D772" s="81">
        <v>9208.5</v>
      </c>
      <c r="E772" s="230">
        <v>44847</v>
      </c>
      <c r="F772" s="81">
        <v>9208.5</v>
      </c>
      <c r="G772" s="197">
        <f>Tabla111[[#This Row],[Importe]]-Tabla111[[#This Row],[Pagado]]</f>
        <v>0</v>
      </c>
      <c r="H772" s="75" t="s">
        <v>10</v>
      </c>
    </row>
    <row r="773" spans="1:8" x14ac:dyDescent="0.25">
      <c r="A773" s="148">
        <v>44841</v>
      </c>
      <c r="B773" s="149" t="s">
        <v>32346</v>
      </c>
      <c r="C773" s="153" t="s">
        <v>396</v>
      </c>
      <c r="D773" s="154">
        <v>12826.4</v>
      </c>
      <c r="E773" s="231">
        <v>44847</v>
      </c>
      <c r="F773" s="154">
        <v>12826.4</v>
      </c>
      <c r="G773" s="197">
        <f>Tabla111[[#This Row],[Importe]]-Tabla111[[#This Row],[Pagado]]</f>
        <v>0</v>
      </c>
      <c r="H773" s="153" t="s">
        <v>10</v>
      </c>
    </row>
    <row r="774" spans="1:8" x14ac:dyDescent="0.25">
      <c r="A774" s="73">
        <v>44841</v>
      </c>
      <c r="B774" s="74" t="s">
        <v>32347</v>
      </c>
      <c r="C774" s="75" t="s">
        <v>426</v>
      </c>
      <c r="D774" s="81">
        <v>2421.6</v>
      </c>
      <c r="E774" s="230">
        <v>44841</v>
      </c>
      <c r="F774" s="81">
        <v>2421.6</v>
      </c>
      <c r="G774" s="197">
        <f>Tabla111[[#This Row],[Importe]]-Tabla111[[#This Row],[Pagado]]</f>
        <v>0</v>
      </c>
      <c r="H774" s="75" t="s">
        <v>10</v>
      </c>
    </row>
    <row r="775" spans="1:8" x14ac:dyDescent="0.25">
      <c r="A775" s="148">
        <v>44841</v>
      </c>
      <c r="B775" s="149" t="s">
        <v>32348</v>
      </c>
      <c r="C775" s="153" t="s">
        <v>79</v>
      </c>
      <c r="D775" s="154">
        <v>18240</v>
      </c>
      <c r="E775" s="231">
        <v>44841</v>
      </c>
      <c r="F775" s="154">
        <v>18240</v>
      </c>
      <c r="G775" s="197">
        <f>Tabla111[[#This Row],[Importe]]-Tabla111[[#This Row],[Pagado]]</f>
        <v>0</v>
      </c>
      <c r="H775" s="153" t="s">
        <v>10</v>
      </c>
    </row>
    <row r="776" spans="1:8" x14ac:dyDescent="0.25">
      <c r="A776" s="73">
        <v>44841</v>
      </c>
      <c r="B776" s="74" t="s">
        <v>32349</v>
      </c>
      <c r="C776" s="75" t="s">
        <v>200</v>
      </c>
      <c r="D776" s="81">
        <v>1155</v>
      </c>
      <c r="E776" s="230">
        <v>44841</v>
      </c>
      <c r="F776" s="81">
        <v>1155</v>
      </c>
      <c r="G776" s="197">
        <f>Tabla111[[#This Row],[Importe]]-Tabla111[[#This Row],[Pagado]]</f>
        <v>0</v>
      </c>
      <c r="H776" s="75" t="s">
        <v>10</v>
      </c>
    </row>
    <row r="777" spans="1:8" x14ac:dyDescent="0.25">
      <c r="A777" s="148">
        <v>44841</v>
      </c>
      <c r="B777" s="149" t="s">
        <v>32350</v>
      </c>
      <c r="C777" s="153" t="s">
        <v>175</v>
      </c>
      <c r="D777" s="154">
        <v>10371.1</v>
      </c>
      <c r="E777" s="231">
        <v>44841</v>
      </c>
      <c r="F777" s="154">
        <v>10371.1</v>
      </c>
      <c r="G777" s="197">
        <f>Tabla111[[#This Row],[Importe]]-Tabla111[[#This Row],[Pagado]]</f>
        <v>0</v>
      </c>
      <c r="H777" s="153" t="s">
        <v>10</v>
      </c>
    </row>
    <row r="778" spans="1:8" x14ac:dyDescent="0.25">
      <c r="A778" s="73">
        <v>44841</v>
      </c>
      <c r="B778" s="74" t="s">
        <v>32351</v>
      </c>
      <c r="C778" s="75" t="s">
        <v>71</v>
      </c>
      <c r="D778" s="81">
        <v>1649</v>
      </c>
      <c r="E778" s="230">
        <v>44841</v>
      </c>
      <c r="F778" s="81">
        <v>1649</v>
      </c>
      <c r="G778" s="197">
        <f>Tabla111[[#This Row],[Importe]]-Tabla111[[#This Row],[Pagado]]</f>
        <v>0</v>
      </c>
      <c r="H778" s="75" t="s">
        <v>10</v>
      </c>
    </row>
    <row r="779" spans="1:8" x14ac:dyDescent="0.25">
      <c r="A779" s="148">
        <v>44841</v>
      </c>
      <c r="B779" s="149" t="s">
        <v>32352</v>
      </c>
      <c r="C779" s="153" t="s">
        <v>296</v>
      </c>
      <c r="D779" s="154">
        <v>1330</v>
      </c>
      <c r="E779" s="231">
        <v>44841</v>
      </c>
      <c r="F779" s="154">
        <v>1330</v>
      </c>
      <c r="G779" s="197">
        <f>Tabla111[[#This Row],[Importe]]-Tabla111[[#This Row],[Pagado]]</f>
        <v>0</v>
      </c>
      <c r="H779" s="153" t="s">
        <v>10</v>
      </c>
    </row>
    <row r="780" spans="1:8" x14ac:dyDescent="0.25">
      <c r="A780" s="73">
        <v>44841</v>
      </c>
      <c r="B780" s="74" t="s">
        <v>32353</v>
      </c>
      <c r="C780" s="75" t="s">
        <v>31</v>
      </c>
      <c r="D780" s="81">
        <v>6168</v>
      </c>
      <c r="E780" s="230">
        <v>44841</v>
      </c>
      <c r="F780" s="81">
        <v>6168</v>
      </c>
      <c r="G780" s="197">
        <f>Tabla111[[#This Row],[Importe]]-Tabla111[[#This Row],[Pagado]]</f>
        <v>0</v>
      </c>
      <c r="H780" s="75" t="s">
        <v>10</v>
      </c>
    </row>
    <row r="781" spans="1:8" x14ac:dyDescent="0.25">
      <c r="A781" s="148">
        <v>44841</v>
      </c>
      <c r="B781" s="149" t="s">
        <v>32354</v>
      </c>
      <c r="C781" s="153" t="s">
        <v>10678</v>
      </c>
      <c r="D781" s="154">
        <v>748</v>
      </c>
      <c r="E781" s="231">
        <v>44841</v>
      </c>
      <c r="F781" s="154">
        <v>748</v>
      </c>
      <c r="G781" s="197">
        <f>Tabla111[[#This Row],[Importe]]-Tabla111[[#This Row],[Pagado]]</f>
        <v>0</v>
      </c>
      <c r="H781" s="153" t="s">
        <v>10</v>
      </c>
    </row>
    <row r="782" spans="1:8" x14ac:dyDescent="0.25">
      <c r="A782" s="73">
        <v>44841</v>
      </c>
      <c r="B782" s="74" t="s">
        <v>32355</v>
      </c>
      <c r="C782" s="75" t="s">
        <v>296</v>
      </c>
      <c r="D782" s="81">
        <v>4535.3</v>
      </c>
      <c r="E782" s="230">
        <v>44841</v>
      </c>
      <c r="F782" s="81">
        <v>4535.3</v>
      </c>
      <c r="G782" s="197">
        <f>Tabla111[[#This Row],[Importe]]-Tabla111[[#This Row],[Pagado]]</f>
        <v>0</v>
      </c>
      <c r="H782" s="75" t="s">
        <v>10</v>
      </c>
    </row>
    <row r="783" spans="1:8" x14ac:dyDescent="0.25">
      <c r="A783" s="148">
        <v>44841</v>
      </c>
      <c r="B783" s="149" t="s">
        <v>32356</v>
      </c>
      <c r="C783" s="153" t="s">
        <v>31</v>
      </c>
      <c r="D783" s="154">
        <v>780</v>
      </c>
      <c r="E783" s="231">
        <v>44841</v>
      </c>
      <c r="F783" s="154">
        <v>780</v>
      </c>
      <c r="G783" s="197">
        <f>Tabla111[[#This Row],[Importe]]-Tabla111[[#This Row],[Pagado]]</f>
        <v>0</v>
      </c>
      <c r="H783" s="153" t="s">
        <v>10</v>
      </c>
    </row>
    <row r="784" spans="1:8" x14ac:dyDescent="0.25">
      <c r="A784" s="73">
        <v>44841</v>
      </c>
      <c r="B784" s="74" t="s">
        <v>32357</v>
      </c>
      <c r="C784" s="75" t="s">
        <v>62</v>
      </c>
      <c r="D784" s="81">
        <v>4082.4</v>
      </c>
      <c r="E784" s="230">
        <v>44841</v>
      </c>
      <c r="F784" s="81">
        <v>4082.4</v>
      </c>
      <c r="G784" s="197">
        <f>Tabla111[[#This Row],[Importe]]-Tabla111[[#This Row],[Pagado]]</f>
        <v>0</v>
      </c>
      <c r="H784" s="75" t="s">
        <v>10</v>
      </c>
    </row>
    <row r="785" spans="1:8" x14ac:dyDescent="0.25">
      <c r="A785" s="148">
        <v>44841</v>
      </c>
      <c r="B785" s="149" t="s">
        <v>32358</v>
      </c>
      <c r="C785" s="153" t="s">
        <v>62</v>
      </c>
      <c r="D785" s="154">
        <v>3914</v>
      </c>
      <c r="E785" s="231">
        <v>44841</v>
      </c>
      <c r="F785" s="154">
        <v>3914</v>
      </c>
      <c r="G785" s="197">
        <f>Tabla111[[#This Row],[Importe]]-Tabla111[[#This Row],[Pagado]]</f>
        <v>0</v>
      </c>
      <c r="H785" s="153" t="s">
        <v>10</v>
      </c>
    </row>
    <row r="786" spans="1:8" x14ac:dyDescent="0.25">
      <c r="A786" s="73">
        <v>44841</v>
      </c>
      <c r="B786" s="74" t="s">
        <v>32359</v>
      </c>
      <c r="C786" s="75" t="s">
        <v>284</v>
      </c>
      <c r="D786" s="81">
        <v>13612.5</v>
      </c>
      <c r="E786" s="230">
        <v>44841</v>
      </c>
      <c r="F786" s="81">
        <v>13612.5</v>
      </c>
      <c r="G786" s="197">
        <f>Tabla111[[#This Row],[Importe]]-Tabla111[[#This Row],[Pagado]]</f>
        <v>0</v>
      </c>
      <c r="H786" s="75" t="s">
        <v>10</v>
      </c>
    </row>
    <row r="787" spans="1:8" x14ac:dyDescent="0.25">
      <c r="A787" s="148">
        <v>44841</v>
      </c>
      <c r="B787" s="149" t="s">
        <v>32360</v>
      </c>
      <c r="C787" s="153" t="s">
        <v>10819</v>
      </c>
      <c r="D787" s="154">
        <v>2947.5</v>
      </c>
      <c r="E787" s="231">
        <v>44841</v>
      </c>
      <c r="F787" s="154">
        <v>2947.5</v>
      </c>
      <c r="G787" s="197">
        <f>Tabla111[[#This Row],[Importe]]-Tabla111[[#This Row],[Pagado]]</f>
        <v>0</v>
      </c>
      <c r="H787" s="153" t="s">
        <v>10</v>
      </c>
    </row>
    <row r="788" spans="1:8" x14ac:dyDescent="0.25">
      <c r="A788" s="73">
        <v>44841</v>
      </c>
      <c r="B788" s="74" t="s">
        <v>32361</v>
      </c>
      <c r="C788" s="75" t="s">
        <v>280</v>
      </c>
      <c r="D788" s="81">
        <v>742.5</v>
      </c>
      <c r="E788" s="230">
        <v>44841</v>
      </c>
      <c r="F788" s="81">
        <v>742.5</v>
      </c>
      <c r="G788" s="197">
        <f>Tabla111[[#This Row],[Importe]]-Tabla111[[#This Row],[Pagado]]</f>
        <v>0</v>
      </c>
      <c r="H788" s="75" t="s">
        <v>10</v>
      </c>
    </row>
    <row r="789" spans="1:8" x14ac:dyDescent="0.25">
      <c r="A789" s="148">
        <v>44841</v>
      </c>
      <c r="B789" s="149" t="s">
        <v>32362</v>
      </c>
      <c r="C789" s="153" t="s">
        <v>31</v>
      </c>
      <c r="D789" s="154">
        <v>47.5</v>
      </c>
      <c r="E789" s="231">
        <v>44841</v>
      </c>
      <c r="F789" s="154">
        <v>47.5</v>
      </c>
      <c r="G789" s="197">
        <f>Tabla111[[#This Row],[Importe]]-Tabla111[[#This Row],[Pagado]]</f>
        <v>0</v>
      </c>
      <c r="H789" s="153" t="s">
        <v>10</v>
      </c>
    </row>
    <row r="790" spans="1:8" x14ac:dyDescent="0.25">
      <c r="A790" s="73">
        <v>44841</v>
      </c>
      <c r="B790" s="74" t="s">
        <v>32363</v>
      </c>
      <c r="C790" s="75" t="s">
        <v>31</v>
      </c>
      <c r="D790" s="81">
        <v>187</v>
      </c>
      <c r="E790" s="230">
        <v>44841</v>
      </c>
      <c r="F790" s="81">
        <v>187</v>
      </c>
      <c r="G790" s="197">
        <f>Tabla111[[#This Row],[Importe]]-Tabla111[[#This Row],[Pagado]]</f>
        <v>0</v>
      </c>
      <c r="H790" s="75" t="s">
        <v>10</v>
      </c>
    </row>
    <row r="791" spans="1:8" x14ac:dyDescent="0.25">
      <c r="A791" s="148">
        <v>44841</v>
      </c>
      <c r="B791" s="149" t="s">
        <v>32364</v>
      </c>
      <c r="C791" s="153" t="s">
        <v>414</v>
      </c>
      <c r="D791" s="154">
        <v>1060</v>
      </c>
      <c r="E791" s="231">
        <v>44841</v>
      </c>
      <c r="F791" s="154">
        <v>1060</v>
      </c>
      <c r="G791" s="197">
        <f>Tabla111[[#This Row],[Importe]]-Tabla111[[#This Row],[Pagado]]</f>
        <v>0</v>
      </c>
      <c r="H791" s="153" t="s">
        <v>10</v>
      </c>
    </row>
    <row r="792" spans="1:8" x14ac:dyDescent="0.25">
      <c r="A792" s="73">
        <v>44841</v>
      </c>
      <c r="B792" s="74" t="s">
        <v>32365</v>
      </c>
      <c r="C792" s="75" t="s">
        <v>5694</v>
      </c>
      <c r="D792" s="81">
        <v>4170</v>
      </c>
      <c r="E792" s="230">
        <v>44841</v>
      </c>
      <c r="F792" s="81">
        <v>4170</v>
      </c>
      <c r="G792" s="197">
        <f>Tabla111[[#This Row],[Importe]]-Tabla111[[#This Row],[Pagado]]</f>
        <v>0</v>
      </c>
      <c r="H792" s="75" t="s">
        <v>10</v>
      </c>
    </row>
    <row r="793" spans="1:8" x14ac:dyDescent="0.25">
      <c r="A793" s="148">
        <v>44841</v>
      </c>
      <c r="B793" s="149" t="s">
        <v>32366</v>
      </c>
      <c r="C793" s="153" t="s">
        <v>31</v>
      </c>
      <c r="D793" s="154">
        <v>1211.8</v>
      </c>
      <c r="E793" s="231">
        <v>44841</v>
      </c>
      <c r="F793" s="154">
        <v>1211.8</v>
      </c>
      <c r="G793" s="197">
        <f>Tabla111[[#This Row],[Importe]]-Tabla111[[#This Row],[Pagado]]</f>
        <v>0</v>
      </c>
      <c r="H793" s="153" t="s">
        <v>10</v>
      </c>
    </row>
    <row r="794" spans="1:8" x14ac:dyDescent="0.25">
      <c r="A794" s="73">
        <v>44841</v>
      </c>
      <c r="B794" s="74" t="s">
        <v>32367</v>
      </c>
      <c r="C794" s="75" t="s">
        <v>31</v>
      </c>
      <c r="D794" s="81">
        <v>10234</v>
      </c>
      <c r="E794" s="230">
        <v>44841</v>
      </c>
      <c r="F794" s="81">
        <v>10234</v>
      </c>
      <c r="G794" s="197">
        <f>Tabla111[[#This Row],[Importe]]-Tabla111[[#This Row],[Pagado]]</f>
        <v>0</v>
      </c>
      <c r="H794" s="75" t="s">
        <v>10</v>
      </c>
    </row>
    <row r="795" spans="1:8" x14ac:dyDescent="0.25">
      <c r="A795" s="148">
        <v>44841</v>
      </c>
      <c r="B795" s="149" t="s">
        <v>32368</v>
      </c>
      <c r="C795" s="153" t="s">
        <v>857</v>
      </c>
      <c r="D795" s="154">
        <v>1221.4000000000001</v>
      </c>
      <c r="E795" s="231">
        <v>44841</v>
      </c>
      <c r="F795" s="154">
        <v>1221.4000000000001</v>
      </c>
      <c r="G795" s="197">
        <f>Tabla111[[#This Row],[Importe]]-Tabla111[[#This Row],[Pagado]]</f>
        <v>0</v>
      </c>
      <c r="H795" s="153" t="s">
        <v>10</v>
      </c>
    </row>
    <row r="796" spans="1:8" x14ac:dyDescent="0.25">
      <c r="A796" s="73">
        <v>44841</v>
      </c>
      <c r="B796" s="74" t="s">
        <v>32369</v>
      </c>
      <c r="C796" s="75" t="s">
        <v>31</v>
      </c>
      <c r="D796" s="81">
        <v>660</v>
      </c>
      <c r="E796" s="230">
        <v>44841</v>
      </c>
      <c r="F796" s="81">
        <v>660</v>
      </c>
      <c r="G796" s="197">
        <f>Tabla111[[#This Row],[Importe]]-Tabla111[[#This Row],[Pagado]]</f>
        <v>0</v>
      </c>
      <c r="H796" s="75" t="s">
        <v>10</v>
      </c>
    </row>
    <row r="797" spans="1:8" x14ac:dyDescent="0.25">
      <c r="A797" s="148">
        <v>44841</v>
      </c>
      <c r="B797" s="149" t="s">
        <v>32370</v>
      </c>
      <c r="C797" s="153" t="s">
        <v>224</v>
      </c>
      <c r="D797" s="154">
        <v>1645.6</v>
      </c>
      <c r="E797" s="231">
        <v>44841</v>
      </c>
      <c r="F797" s="154">
        <v>1645.6</v>
      </c>
      <c r="G797" s="197">
        <f>Tabla111[[#This Row],[Importe]]-Tabla111[[#This Row],[Pagado]]</f>
        <v>0</v>
      </c>
      <c r="H797" s="153" t="s">
        <v>10</v>
      </c>
    </row>
    <row r="798" spans="1:8" x14ac:dyDescent="0.25">
      <c r="A798" s="73">
        <v>44841</v>
      </c>
      <c r="B798" s="74" t="s">
        <v>32371</v>
      </c>
      <c r="C798" s="75" t="s">
        <v>58</v>
      </c>
      <c r="D798" s="81">
        <v>2024.2</v>
      </c>
      <c r="E798" s="230">
        <v>44841</v>
      </c>
      <c r="F798" s="81">
        <v>2024.2</v>
      </c>
      <c r="G798" s="197">
        <f>Tabla111[[#This Row],[Importe]]-Tabla111[[#This Row],[Pagado]]</f>
        <v>0</v>
      </c>
      <c r="H798" s="75" t="s">
        <v>10</v>
      </c>
    </row>
    <row r="799" spans="1:8" x14ac:dyDescent="0.25">
      <c r="A799" s="148">
        <v>44841</v>
      </c>
      <c r="B799" s="149" t="s">
        <v>32372</v>
      </c>
      <c r="C799" s="153" t="s">
        <v>31</v>
      </c>
      <c r="D799" s="154">
        <v>126</v>
      </c>
      <c r="E799" s="231">
        <v>44843</v>
      </c>
      <c r="F799" s="154">
        <v>126</v>
      </c>
      <c r="G799" s="197">
        <f>Tabla111[[#This Row],[Importe]]-Tabla111[[#This Row],[Pagado]]</f>
        <v>0</v>
      </c>
      <c r="H799" s="153" t="s">
        <v>10</v>
      </c>
    </row>
    <row r="800" spans="1:8" x14ac:dyDescent="0.25">
      <c r="A800" s="73">
        <v>44841</v>
      </c>
      <c r="B800" s="74" t="s">
        <v>32373</v>
      </c>
      <c r="C800" s="75" t="s">
        <v>10273</v>
      </c>
      <c r="D800" s="81">
        <v>171</v>
      </c>
      <c r="E800" s="230">
        <v>44864</v>
      </c>
      <c r="F800" s="81">
        <v>171</v>
      </c>
      <c r="G800" s="197">
        <f>Tabla111[[#This Row],[Importe]]-Tabla111[[#This Row],[Pagado]]</f>
        <v>0</v>
      </c>
      <c r="H800" s="75" t="s">
        <v>10</v>
      </c>
    </row>
    <row r="801" spans="1:8" x14ac:dyDescent="0.25">
      <c r="A801" s="148">
        <v>44841</v>
      </c>
      <c r="B801" s="149" t="s">
        <v>32374</v>
      </c>
      <c r="C801" s="153" t="s">
        <v>31</v>
      </c>
      <c r="D801" s="154">
        <v>5980</v>
      </c>
      <c r="E801" s="231">
        <v>44842</v>
      </c>
      <c r="F801" s="154">
        <v>5980</v>
      </c>
      <c r="G801" s="197">
        <f>Tabla111[[#This Row],[Importe]]-Tabla111[[#This Row],[Pagado]]</f>
        <v>0</v>
      </c>
      <c r="H801" s="153" t="s">
        <v>10</v>
      </c>
    </row>
    <row r="802" spans="1:8" x14ac:dyDescent="0.25">
      <c r="A802" s="73">
        <v>44842</v>
      </c>
      <c r="B802" s="74" t="s">
        <v>32375</v>
      </c>
      <c r="C802" s="75" t="s">
        <v>887</v>
      </c>
      <c r="D802" s="81">
        <v>33620.6</v>
      </c>
      <c r="E802" s="230" t="s">
        <v>32039</v>
      </c>
      <c r="F802" s="81">
        <f>22800+10820.6</f>
        <v>33620.6</v>
      </c>
      <c r="G802" s="197">
        <f>Tabla111[[#This Row],[Importe]]-Tabla111[[#This Row],[Pagado]]</f>
        <v>0</v>
      </c>
      <c r="H802" s="75" t="s">
        <v>10</v>
      </c>
    </row>
    <row r="803" spans="1:8" x14ac:dyDescent="0.25">
      <c r="A803" s="148">
        <v>44842</v>
      </c>
      <c r="B803" s="149" t="s">
        <v>32376</v>
      </c>
      <c r="C803" s="153" t="s">
        <v>887</v>
      </c>
      <c r="D803" s="154">
        <v>252</v>
      </c>
      <c r="E803" s="231">
        <v>44842</v>
      </c>
      <c r="F803" s="154">
        <v>252</v>
      </c>
      <c r="G803" s="197">
        <f>Tabla111[[#This Row],[Importe]]-Tabla111[[#This Row],[Pagado]]</f>
        <v>0</v>
      </c>
      <c r="H803" s="153" t="s">
        <v>10</v>
      </c>
    </row>
    <row r="804" spans="1:8" x14ac:dyDescent="0.25">
      <c r="A804" s="73">
        <v>44842</v>
      </c>
      <c r="B804" s="74" t="s">
        <v>32377</v>
      </c>
      <c r="C804" s="75" t="s">
        <v>12</v>
      </c>
      <c r="D804" s="81">
        <v>25644.65</v>
      </c>
      <c r="E804" s="230">
        <v>44842</v>
      </c>
      <c r="F804" s="81">
        <v>25644.65</v>
      </c>
      <c r="G804" s="197">
        <f>Tabla111[[#This Row],[Importe]]-Tabla111[[#This Row],[Pagado]]</f>
        <v>0</v>
      </c>
      <c r="H804" s="75" t="s">
        <v>10</v>
      </c>
    </row>
    <row r="805" spans="1:8" x14ac:dyDescent="0.25">
      <c r="A805" s="148">
        <v>44842</v>
      </c>
      <c r="B805" s="149" t="s">
        <v>32378</v>
      </c>
      <c r="C805" s="153" t="s">
        <v>32379</v>
      </c>
      <c r="D805" s="154">
        <v>0</v>
      </c>
      <c r="E805" s="233" t="s">
        <v>189</v>
      </c>
      <c r="F805" s="154">
        <v>0</v>
      </c>
      <c r="G805" s="197">
        <f>Tabla111[[#This Row],[Importe]]-Tabla111[[#This Row],[Pagado]]</f>
        <v>0</v>
      </c>
      <c r="H805" s="153" t="s">
        <v>189</v>
      </c>
    </row>
    <row r="806" spans="1:8" x14ac:dyDescent="0.25">
      <c r="A806" s="73">
        <v>44842</v>
      </c>
      <c r="B806" s="74" t="s">
        <v>32380</v>
      </c>
      <c r="C806" s="75" t="s">
        <v>475</v>
      </c>
      <c r="D806" s="81">
        <v>70996.899999999994</v>
      </c>
      <c r="E806" s="230" t="s">
        <v>32381</v>
      </c>
      <c r="F806" s="81">
        <f>37000+33996.9</f>
        <v>70996.899999999994</v>
      </c>
      <c r="G806" s="197">
        <f>Tabla111[[#This Row],[Importe]]-Tabla111[[#This Row],[Pagado]]</f>
        <v>0</v>
      </c>
      <c r="H806" s="75" t="s">
        <v>10</v>
      </c>
    </row>
    <row r="807" spans="1:8" x14ac:dyDescent="0.25">
      <c r="A807" s="148">
        <v>44842</v>
      </c>
      <c r="B807" s="149" t="s">
        <v>32382</v>
      </c>
      <c r="C807" s="153" t="s">
        <v>12</v>
      </c>
      <c r="D807" s="154">
        <v>2958</v>
      </c>
      <c r="E807" s="231">
        <v>44842</v>
      </c>
      <c r="F807" s="154">
        <v>2958</v>
      </c>
      <c r="G807" s="197">
        <f>Tabla111[[#This Row],[Importe]]-Tabla111[[#This Row],[Pagado]]</f>
        <v>0</v>
      </c>
      <c r="H807" s="153" t="s">
        <v>10</v>
      </c>
    </row>
    <row r="808" spans="1:8" x14ac:dyDescent="0.25">
      <c r="A808" s="73">
        <v>44842</v>
      </c>
      <c r="B808" s="74" t="s">
        <v>32383</v>
      </c>
      <c r="C808" s="75" t="s">
        <v>450</v>
      </c>
      <c r="D808" s="81">
        <v>7107</v>
      </c>
      <c r="E808" s="230">
        <v>44842</v>
      </c>
      <c r="F808" s="81">
        <v>7107</v>
      </c>
      <c r="G808" s="197">
        <f>Tabla111[[#This Row],[Importe]]-Tabla111[[#This Row],[Pagado]]</f>
        <v>0</v>
      </c>
      <c r="H808" s="75" t="s">
        <v>10</v>
      </c>
    </row>
    <row r="809" spans="1:8" x14ac:dyDescent="0.25">
      <c r="A809" s="148">
        <v>44842</v>
      </c>
      <c r="B809" s="149" t="s">
        <v>32384</v>
      </c>
      <c r="C809" s="153" t="s">
        <v>75</v>
      </c>
      <c r="D809" s="154">
        <v>11235</v>
      </c>
      <c r="E809" s="231">
        <v>44842</v>
      </c>
      <c r="F809" s="154">
        <v>11235</v>
      </c>
      <c r="G809" s="197">
        <f>Tabla111[[#This Row],[Importe]]-Tabla111[[#This Row],[Pagado]]</f>
        <v>0</v>
      </c>
      <c r="H809" s="153" t="s">
        <v>10</v>
      </c>
    </row>
    <row r="810" spans="1:8" x14ac:dyDescent="0.25">
      <c r="A810" s="73">
        <v>44842</v>
      </c>
      <c r="B810" s="74" t="s">
        <v>32385</v>
      </c>
      <c r="C810" s="75" t="s">
        <v>79</v>
      </c>
      <c r="D810" s="81">
        <v>18690</v>
      </c>
      <c r="E810" s="230">
        <v>44842</v>
      </c>
      <c r="F810" s="81">
        <v>18690</v>
      </c>
      <c r="G810" s="197">
        <f>Tabla111[[#This Row],[Importe]]-Tabla111[[#This Row],[Pagado]]</f>
        <v>0</v>
      </c>
      <c r="H810" s="75" t="s">
        <v>10</v>
      </c>
    </row>
    <row r="811" spans="1:8" x14ac:dyDescent="0.25">
      <c r="A811" s="148">
        <v>44842</v>
      </c>
      <c r="B811" s="149" t="s">
        <v>32386</v>
      </c>
      <c r="C811" s="153" t="s">
        <v>12</v>
      </c>
      <c r="D811" s="154">
        <v>2627</v>
      </c>
      <c r="E811" s="231">
        <v>44842</v>
      </c>
      <c r="F811" s="154">
        <v>2627</v>
      </c>
      <c r="G811" s="197">
        <f>Tabla111[[#This Row],[Importe]]-Tabla111[[#This Row],[Pagado]]</f>
        <v>0</v>
      </c>
      <c r="H811" s="153" t="s">
        <v>10</v>
      </c>
    </row>
    <row r="812" spans="1:8" x14ac:dyDescent="0.25">
      <c r="A812" s="73">
        <v>44842</v>
      </c>
      <c r="B812" s="74" t="s">
        <v>32387</v>
      </c>
      <c r="C812" s="75" t="s">
        <v>151</v>
      </c>
      <c r="D812" s="81">
        <v>20392.8</v>
      </c>
      <c r="E812" s="230">
        <v>44842</v>
      </c>
      <c r="F812" s="81">
        <v>20392.8</v>
      </c>
      <c r="G812" s="197">
        <f>Tabla111[[#This Row],[Importe]]-Tabla111[[#This Row],[Pagado]]</f>
        <v>0</v>
      </c>
      <c r="H812" s="75" t="s">
        <v>10</v>
      </c>
    </row>
    <row r="813" spans="1:8" x14ac:dyDescent="0.25">
      <c r="A813" s="148">
        <v>44842</v>
      </c>
      <c r="B813" s="149" t="s">
        <v>32388</v>
      </c>
      <c r="C813" s="153" t="s">
        <v>1187</v>
      </c>
      <c r="D813" s="154">
        <v>1074</v>
      </c>
      <c r="E813" s="231">
        <v>44842</v>
      </c>
      <c r="F813" s="154">
        <v>1074</v>
      </c>
      <c r="G813" s="197">
        <f>Tabla111[[#This Row],[Importe]]-Tabla111[[#This Row],[Pagado]]</f>
        <v>0</v>
      </c>
      <c r="H813" s="153" t="s">
        <v>10</v>
      </c>
    </row>
    <row r="814" spans="1:8" x14ac:dyDescent="0.25">
      <c r="A814" s="73">
        <v>44842</v>
      </c>
      <c r="B814" s="74" t="s">
        <v>32389</v>
      </c>
      <c r="C814" s="75" t="s">
        <v>2151</v>
      </c>
      <c r="D814" s="81">
        <v>15503.8</v>
      </c>
      <c r="E814" s="230">
        <v>44842</v>
      </c>
      <c r="F814" s="81">
        <v>15503.8</v>
      </c>
      <c r="G814" s="197">
        <f>Tabla111[[#This Row],[Importe]]-Tabla111[[#This Row],[Pagado]]</f>
        <v>0</v>
      </c>
      <c r="H814" s="75" t="s">
        <v>10</v>
      </c>
    </row>
    <row r="815" spans="1:8" x14ac:dyDescent="0.25">
      <c r="A815" s="148">
        <v>44842</v>
      </c>
      <c r="B815" s="149" t="s">
        <v>32390</v>
      </c>
      <c r="C815" s="153" t="s">
        <v>114</v>
      </c>
      <c r="D815" s="154">
        <v>18438.2</v>
      </c>
      <c r="E815" s="231">
        <v>44844</v>
      </c>
      <c r="F815" s="154">
        <v>18438.2</v>
      </c>
      <c r="G815" s="197">
        <f>Tabla111[[#This Row],[Importe]]-Tabla111[[#This Row],[Pagado]]</f>
        <v>0</v>
      </c>
      <c r="H815" s="153" t="s">
        <v>10</v>
      </c>
    </row>
    <row r="816" spans="1:8" x14ac:dyDescent="0.25">
      <c r="A816" s="73">
        <v>44842</v>
      </c>
      <c r="B816" s="74" t="s">
        <v>32391</v>
      </c>
      <c r="C816" s="75" t="s">
        <v>109</v>
      </c>
      <c r="D816" s="81">
        <v>5018</v>
      </c>
      <c r="E816" s="230">
        <v>44844</v>
      </c>
      <c r="F816" s="81">
        <v>5018</v>
      </c>
      <c r="G816" s="197">
        <f>Tabla111[[#This Row],[Importe]]-Tabla111[[#This Row],[Pagado]]</f>
        <v>0</v>
      </c>
      <c r="H816" s="75" t="s">
        <v>10</v>
      </c>
    </row>
    <row r="817" spans="1:8" x14ac:dyDescent="0.25">
      <c r="A817" s="148">
        <v>44842</v>
      </c>
      <c r="B817" s="149" t="s">
        <v>32392</v>
      </c>
      <c r="C817" s="153" t="s">
        <v>60</v>
      </c>
      <c r="D817" s="154">
        <v>5193.5</v>
      </c>
      <c r="E817" s="231">
        <v>44844</v>
      </c>
      <c r="F817" s="154">
        <v>5193.5</v>
      </c>
      <c r="G817" s="197">
        <f>Tabla111[[#This Row],[Importe]]-Tabla111[[#This Row],[Pagado]]</f>
        <v>0</v>
      </c>
      <c r="H817" s="153" t="s">
        <v>10</v>
      </c>
    </row>
    <row r="818" spans="1:8" x14ac:dyDescent="0.25">
      <c r="A818" s="73">
        <v>44842</v>
      </c>
      <c r="B818" s="74" t="s">
        <v>32393</v>
      </c>
      <c r="C818" s="75" t="s">
        <v>97</v>
      </c>
      <c r="D818" s="81">
        <v>4931.2</v>
      </c>
      <c r="E818" s="230">
        <v>44844</v>
      </c>
      <c r="F818" s="81">
        <v>4931.2</v>
      </c>
      <c r="G818" s="197">
        <f>Tabla111[[#This Row],[Importe]]-Tabla111[[#This Row],[Pagado]]</f>
        <v>0</v>
      </c>
      <c r="H818" s="75" t="s">
        <v>10</v>
      </c>
    </row>
    <row r="819" spans="1:8" x14ac:dyDescent="0.25">
      <c r="A819" s="148">
        <v>44842</v>
      </c>
      <c r="B819" s="149" t="s">
        <v>32394</v>
      </c>
      <c r="C819" s="153" t="s">
        <v>32395</v>
      </c>
      <c r="D819" s="154">
        <v>0</v>
      </c>
      <c r="E819" s="233" t="s">
        <v>189</v>
      </c>
      <c r="F819" s="154">
        <v>0</v>
      </c>
      <c r="G819" s="197">
        <f>Tabla111[[#This Row],[Importe]]-Tabla111[[#This Row],[Pagado]]</f>
        <v>0</v>
      </c>
      <c r="H819" s="153" t="s">
        <v>189</v>
      </c>
    </row>
    <row r="820" spans="1:8" x14ac:dyDescent="0.25">
      <c r="A820" s="73">
        <v>44842</v>
      </c>
      <c r="B820" s="74" t="s">
        <v>32396</v>
      </c>
      <c r="C820" s="75" t="s">
        <v>10586</v>
      </c>
      <c r="D820" s="81">
        <v>5323.5</v>
      </c>
      <c r="E820" s="230">
        <v>44844</v>
      </c>
      <c r="F820" s="81">
        <v>5323.5</v>
      </c>
      <c r="G820" s="197">
        <f>Tabla111[[#This Row],[Importe]]-Tabla111[[#This Row],[Pagado]]</f>
        <v>0</v>
      </c>
      <c r="H820" s="75" t="s">
        <v>10</v>
      </c>
    </row>
    <row r="821" spans="1:8" x14ac:dyDescent="0.25">
      <c r="A821" s="148">
        <v>44842</v>
      </c>
      <c r="B821" s="149" t="s">
        <v>32397</v>
      </c>
      <c r="C821" s="153" t="s">
        <v>481</v>
      </c>
      <c r="D821" s="154">
        <v>1742.3</v>
      </c>
      <c r="E821" s="231">
        <v>44842</v>
      </c>
      <c r="F821" s="154">
        <v>1742.3</v>
      </c>
      <c r="G821" s="197">
        <f>Tabla111[[#This Row],[Importe]]-Tabla111[[#This Row],[Pagado]]</f>
        <v>0</v>
      </c>
      <c r="H821" s="153" t="s">
        <v>10</v>
      </c>
    </row>
    <row r="822" spans="1:8" x14ac:dyDescent="0.25">
      <c r="A822" s="73">
        <v>44842</v>
      </c>
      <c r="B822" s="74" t="s">
        <v>32398</v>
      </c>
      <c r="C822" s="75" t="s">
        <v>5043</v>
      </c>
      <c r="D822" s="81">
        <v>10867.4</v>
      </c>
      <c r="E822" s="230">
        <v>44845</v>
      </c>
      <c r="F822" s="81">
        <v>10867.4</v>
      </c>
      <c r="G822" s="197">
        <f>Tabla111[[#This Row],[Importe]]-Tabla111[[#This Row],[Pagado]]</f>
        <v>0</v>
      </c>
      <c r="H822" s="75" t="s">
        <v>10</v>
      </c>
    </row>
    <row r="823" spans="1:8" x14ac:dyDescent="0.25">
      <c r="A823" s="148">
        <v>44842</v>
      </c>
      <c r="B823" s="149" t="s">
        <v>32399</v>
      </c>
      <c r="C823" s="153" t="s">
        <v>64</v>
      </c>
      <c r="D823" s="154">
        <v>12070.5</v>
      </c>
      <c r="E823" s="231">
        <v>44844</v>
      </c>
      <c r="F823" s="154">
        <v>12070.5</v>
      </c>
      <c r="G823" s="197">
        <f>Tabla111[[#This Row],[Importe]]-Tabla111[[#This Row],[Pagado]]</f>
        <v>0</v>
      </c>
      <c r="H823" s="153" t="s">
        <v>10</v>
      </c>
    </row>
    <row r="824" spans="1:8" x14ac:dyDescent="0.25">
      <c r="A824" s="73">
        <v>44842</v>
      </c>
      <c r="B824" s="74" t="s">
        <v>32400</v>
      </c>
      <c r="C824" s="75" t="s">
        <v>345</v>
      </c>
      <c r="D824" s="81">
        <v>1056.9000000000001</v>
      </c>
      <c r="E824" s="230">
        <v>44842</v>
      </c>
      <c r="F824" s="81">
        <v>1056.9000000000001</v>
      </c>
      <c r="G824" s="197">
        <f>Tabla111[[#This Row],[Importe]]-Tabla111[[#This Row],[Pagado]]</f>
        <v>0</v>
      </c>
      <c r="H824" s="75" t="s">
        <v>10</v>
      </c>
    </row>
    <row r="825" spans="1:8" x14ac:dyDescent="0.25">
      <c r="A825" s="148">
        <v>44842</v>
      </c>
      <c r="B825" s="149" t="s">
        <v>32401</v>
      </c>
      <c r="C825" s="153" t="s">
        <v>9</v>
      </c>
      <c r="D825" s="154">
        <v>8696.1</v>
      </c>
      <c r="E825" s="231">
        <v>44842</v>
      </c>
      <c r="F825" s="154">
        <v>8696.1</v>
      </c>
      <c r="G825" s="197">
        <f>Tabla111[[#This Row],[Importe]]-Tabla111[[#This Row],[Pagado]]</f>
        <v>0</v>
      </c>
      <c r="H825" s="153" t="s">
        <v>10</v>
      </c>
    </row>
    <row r="826" spans="1:8" x14ac:dyDescent="0.25">
      <c r="A826" s="73">
        <v>44842</v>
      </c>
      <c r="B826" s="74" t="s">
        <v>32402</v>
      </c>
      <c r="C826" s="75" t="s">
        <v>348</v>
      </c>
      <c r="D826" s="81">
        <v>5898.6</v>
      </c>
      <c r="E826" s="230">
        <v>44842</v>
      </c>
      <c r="F826" s="81">
        <v>5898.6</v>
      </c>
      <c r="G826" s="197">
        <f>Tabla111[[#This Row],[Importe]]-Tabla111[[#This Row],[Pagado]]</f>
        <v>0</v>
      </c>
      <c r="H826" s="75" t="s">
        <v>10</v>
      </c>
    </row>
    <row r="827" spans="1:8" x14ac:dyDescent="0.25">
      <c r="A827" s="148">
        <v>44842</v>
      </c>
      <c r="B827" s="149" t="s">
        <v>32403</v>
      </c>
      <c r="C827" s="153" t="s">
        <v>314</v>
      </c>
      <c r="D827" s="154">
        <v>3960</v>
      </c>
      <c r="E827" s="231">
        <v>44842</v>
      </c>
      <c r="F827" s="154">
        <v>3960</v>
      </c>
      <c r="G827" s="197">
        <f>Tabla111[[#This Row],[Importe]]-Tabla111[[#This Row],[Pagado]]</f>
        <v>0</v>
      </c>
      <c r="H827" s="153" t="s">
        <v>10</v>
      </c>
    </row>
    <row r="828" spans="1:8" x14ac:dyDescent="0.25">
      <c r="A828" s="73">
        <v>44842</v>
      </c>
      <c r="B828" s="74" t="s">
        <v>32404</v>
      </c>
      <c r="C828" s="75" t="s">
        <v>93</v>
      </c>
      <c r="D828" s="81">
        <v>19021</v>
      </c>
      <c r="E828" s="230" t="s">
        <v>32405</v>
      </c>
      <c r="F828" s="81">
        <f>8000+8000+3021</f>
        <v>19021</v>
      </c>
      <c r="G828" s="197">
        <f>Tabla111[[#This Row],[Importe]]-Tabla111[[#This Row],[Pagado]]</f>
        <v>0</v>
      </c>
      <c r="H828" s="75" t="s">
        <v>10</v>
      </c>
    </row>
    <row r="829" spans="1:8" x14ac:dyDescent="0.25">
      <c r="A829" s="148">
        <v>44842</v>
      </c>
      <c r="B829" s="149" t="s">
        <v>32406</v>
      </c>
      <c r="C829" s="153" t="s">
        <v>87</v>
      </c>
      <c r="D829" s="154">
        <v>4898.7</v>
      </c>
      <c r="E829" s="231">
        <v>44842</v>
      </c>
      <c r="F829" s="154">
        <v>4898.7</v>
      </c>
      <c r="G829" s="197">
        <f>Tabla111[[#This Row],[Importe]]-Tabla111[[#This Row],[Pagado]]</f>
        <v>0</v>
      </c>
      <c r="H829" s="153" t="s">
        <v>10</v>
      </c>
    </row>
    <row r="830" spans="1:8" x14ac:dyDescent="0.25">
      <c r="A830" s="73">
        <v>44842</v>
      </c>
      <c r="B830" s="74" t="s">
        <v>32407</v>
      </c>
      <c r="C830" s="75" t="s">
        <v>111</v>
      </c>
      <c r="D830" s="81">
        <v>12320.3</v>
      </c>
      <c r="E830" s="230">
        <v>44844</v>
      </c>
      <c r="F830" s="81">
        <v>12320.3</v>
      </c>
      <c r="G830" s="197">
        <f>Tabla111[[#This Row],[Importe]]-Tabla111[[#This Row],[Pagado]]</f>
        <v>0</v>
      </c>
      <c r="H830" s="75" t="s">
        <v>10</v>
      </c>
    </row>
    <row r="831" spans="1:8" x14ac:dyDescent="0.25">
      <c r="A831" s="148">
        <v>44842</v>
      </c>
      <c r="B831" s="149" t="s">
        <v>32408</v>
      </c>
      <c r="C831" s="153" t="s">
        <v>30029</v>
      </c>
      <c r="D831" s="154">
        <v>15955.6</v>
      </c>
      <c r="E831" s="231">
        <v>44844</v>
      </c>
      <c r="F831" s="154">
        <v>15955.6</v>
      </c>
      <c r="G831" s="197">
        <f>Tabla111[[#This Row],[Importe]]-Tabla111[[#This Row],[Pagado]]</f>
        <v>0</v>
      </c>
      <c r="H831" s="153" t="s">
        <v>10</v>
      </c>
    </row>
    <row r="832" spans="1:8" x14ac:dyDescent="0.25">
      <c r="A832" s="73">
        <v>44842</v>
      </c>
      <c r="B832" s="74" t="s">
        <v>32409</v>
      </c>
      <c r="C832" s="75" t="s">
        <v>31</v>
      </c>
      <c r="D832" s="81">
        <v>3420.2</v>
      </c>
      <c r="E832" s="230">
        <v>44842</v>
      </c>
      <c r="F832" s="81">
        <v>3420.2</v>
      </c>
      <c r="G832" s="197">
        <f>Tabla111[[#This Row],[Importe]]-Tabla111[[#This Row],[Pagado]]</f>
        <v>0</v>
      </c>
      <c r="H832" s="75" t="s">
        <v>10</v>
      </c>
    </row>
    <row r="833" spans="1:8" x14ac:dyDescent="0.25">
      <c r="A833" s="148">
        <v>44842</v>
      </c>
      <c r="B833" s="149" t="s">
        <v>32410</v>
      </c>
      <c r="C833" s="153" t="s">
        <v>16</v>
      </c>
      <c r="D833" s="154">
        <v>2205</v>
      </c>
      <c r="E833" s="231">
        <v>44842</v>
      </c>
      <c r="F833" s="154">
        <v>2205</v>
      </c>
      <c r="G833" s="197">
        <f>Tabla111[[#This Row],[Importe]]-Tabla111[[#This Row],[Pagado]]</f>
        <v>0</v>
      </c>
      <c r="H833" s="153" t="s">
        <v>10</v>
      </c>
    </row>
    <row r="834" spans="1:8" x14ac:dyDescent="0.25">
      <c r="A834" s="73">
        <v>44842</v>
      </c>
      <c r="B834" s="74" t="s">
        <v>32411</v>
      </c>
      <c r="C834" s="75" t="s">
        <v>16</v>
      </c>
      <c r="D834" s="81">
        <v>1322.4</v>
      </c>
      <c r="E834" s="230">
        <v>44842</v>
      </c>
      <c r="F834" s="81">
        <v>1322.4</v>
      </c>
      <c r="G834" s="197">
        <f>Tabla111[[#This Row],[Importe]]-Tabla111[[#This Row],[Pagado]]</f>
        <v>0</v>
      </c>
      <c r="H834" s="75" t="s">
        <v>10</v>
      </c>
    </row>
    <row r="835" spans="1:8" x14ac:dyDescent="0.25">
      <c r="A835" s="148">
        <v>44842</v>
      </c>
      <c r="B835" s="149" t="s">
        <v>32412</v>
      </c>
      <c r="C835" s="153" t="s">
        <v>326</v>
      </c>
      <c r="D835" s="154">
        <v>16199.1</v>
      </c>
      <c r="E835" s="231">
        <v>44844</v>
      </c>
      <c r="F835" s="154">
        <v>16199.1</v>
      </c>
      <c r="G835" s="197">
        <f>Tabla111[[#This Row],[Importe]]-Tabla111[[#This Row],[Pagado]]</f>
        <v>0</v>
      </c>
      <c r="H835" s="153" t="s">
        <v>10</v>
      </c>
    </row>
    <row r="836" spans="1:8" x14ac:dyDescent="0.25">
      <c r="A836" s="73">
        <v>44842</v>
      </c>
      <c r="B836" s="74" t="s">
        <v>32413</v>
      </c>
      <c r="C836" s="75" t="s">
        <v>16</v>
      </c>
      <c r="D836" s="81">
        <v>3411.1</v>
      </c>
      <c r="E836" s="230">
        <v>44842</v>
      </c>
      <c r="F836" s="81">
        <v>3411.1</v>
      </c>
      <c r="G836" s="197">
        <f>Tabla111[[#This Row],[Importe]]-Tabla111[[#This Row],[Pagado]]</f>
        <v>0</v>
      </c>
      <c r="H836" s="75" t="s">
        <v>10</v>
      </c>
    </row>
    <row r="837" spans="1:8" x14ac:dyDescent="0.25">
      <c r="A837" s="148">
        <v>44842</v>
      </c>
      <c r="B837" s="149" t="s">
        <v>32414</v>
      </c>
      <c r="C837" s="153" t="s">
        <v>463</v>
      </c>
      <c r="D837" s="154">
        <v>550</v>
      </c>
      <c r="E837" s="231">
        <v>44844</v>
      </c>
      <c r="F837" s="154">
        <v>550</v>
      </c>
      <c r="G837" s="197">
        <f>Tabla111[[#This Row],[Importe]]-Tabla111[[#This Row],[Pagado]]</f>
        <v>0</v>
      </c>
      <c r="H837" s="153" t="s">
        <v>10</v>
      </c>
    </row>
    <row r="838" spans="1:8" x14ac:dyDescent="0.25">
      <c r="A838" s="73">
        <v>44842</v>
      </c>
      <c r="B838" s="74" t="s">
        <v>32415</v>
      </c>
      <c r="C838" s="75" t="s">
        <v>461</v>
      </c>
      <c r="D838" s="81">
        <v>394</v>
      </c>
      <c r="E838" s="230">
        <v>44842</v>
      </c>
      <c r="F838" s="81">
        <v>394</v>
      </c>
      <c r="G838" s="197">
        <f>Tabla111[[#This Row],[Importe]]-Tabla111[[#This Row],[Pagado]]</f>
        <v>0</v>
      </c>
      <c r="H838" s="75" t="s">
        <v>10</v>
      </c>
    </row>
    <row r="839" spans="1:8" x14ac:dyDescent="0.25">
      <c r="A839" s="148">
        <v>44842</v>
      </c>
      <c r="B839" s="149" t="s">
        <v>32416</v>
      </c>
      <c r="C839" s="153" t="s">
        <v>459</v>
      </c>
      <c r="D839" s="154">
        <v>213</v>
      </c>
      <c r="E839" s="231">
        <v>44842</v>
      </c>
      <c r="F839" s="154">
        <v>213</v>
      </c>
      <c r="G839" s="197">
        <f>Tabla111[[#This Row],[Importe]]-Tabla111[[#This Row],[Pagado]]</f>
        <v>0</v>
      </c>
      <c r="H839" s="153" t="s">
        <v>10</v>
      </c>
    </row>
    <row r="840" spans="1:8" x14ac:dyDescent="0.25">
      <c r="A840" s="73">
        <v>44842</v>
      </c>
      <c r="B840" s="74" t="s">
        <v>32417</v>
      </c>
      <c r="C840" s="75" t="s">
        <v>457</v>
      </c>
      <c r="D840" s="81">
        <v>248</v>
      </c>
      <c r="E840" s="230">
        <v>44842</v>
      </c>
      <c r="F840" s="81">
        <v>248</v>
      </c>
      <c r="G840" s="197">
        <f>Tabla111[[#This Row],[Importe]]-Tabla111[[#This Row],[Pagado]]</f>
        <v>0</v>
      </c>
      <c r="H840" s="75" t="s">
        <v>10</v>
      </c>
    </row>
    <row r="841" spans="1:8" x14ac:dyDescent="0.25">
      <c r="A841" s="148">
        <v>44842</v>
      </c>
      <c r="B841" s="149" t="s">
        <v>32418</v>
      </c>
      <c r="C841" s="153" t="s">
        <v>39</v>
      </c>
      <c r="D841" s="154">
        <v>21315.8</v>
      </c>
      <c r="E841" s="231" t="s">
        <v>32419</v>
      </c>
      <c r="F841" s="154">
        <f>13000+4000+4315.8</f>
        <v>21315.8</v>
      </c>
      <c r="G841" s="197">
        <f>Tabla111[[#This Row],[Importe]]-Tabla111[[#This Row],[Pagado]]</f>
        <v>0</v>
      </c>
      <c r="H841" s="153" t="s">
        <v>10</v>
      </c>
    </row>
    <row r="842" spans="1:8" x14ac:dyDescent="0.25">
      <c r="A842" s="73">
        <v>44842</v>
      </c>
      <c r="B842" s="74" t="s">
        <v>32420</v>
      </c>
      <c r="C842" s="75" t="s">
        <v>120</v>
      </c>
      <c r="D842" s="81">
        <v>736.6</v>
      </c>
      <c r="E842" s="230">
        <v>44842</v>
      </c>
      <c r="F842" s="81">
        <v>736.6</v>
      </c>
      <c r="G842" s="197">
        <f>Tabla111[[#This Row],[Importe]]-Tabla111[[#This Row],[Pagado]]</f>
        <v>0</v>
      </c>
      <c r="H842" s="75" t="s">
        <v>10</v>
      </c>
    </row>
    <row r="843" spans="1:8" x14ac:dyDescent="0.25">
      <c r="A843" s="148">
        <v>44842</v>
      </c>
      <c r="B843" s="149" t="s">
        <v>32421</v>
      </c>
      <c r="C843" s="153" t="s">
        <v>348</v>
      </c>
      <c r="D843" s="154">
        <v>651.6</v>
      </c>
      <c r="E843" s="231">
        <v>44842</v>
      </c>
      <c r="F843" s="154">
        <v>651.6</v>
      </c>
      <c r="G843" s="197">
        <f>Tabla111[[#This Row],[Importe]]-Tabla111[[#This Row],[Pagado]]</f>
        <v>0</v>
      </c>
      <c r="H843" s="153" t="s">
        <v>10</v>
      </c>
    </row>
    <row r="844" spans="1:8" x14ac:dyDescent="0.25">
      <c r="A844" s="73">
        <v>44842</v>
      </c>
      <c r="B844" s="74" t="s">
        <v>32422</v>
      </c>
      <c r="C844" s="75" t="s">
        <v>105</v>
      </c>
      <c r="D844" s="81">
        <v>20195.5</v>
      </c>
      <c r="E844" s="230">
        <v>44844</v>
      </c>
      <c r="F844" s="81">
        <v>20195.5</v>
      </c>
      <c r="G844" s="197">
        <f>Tabla111[[#This Row],[Importe]]-Tabla111[[#This Row],[Pagado]]</f>
        <v>0</v>
      </c>
      <c r="H844" s="75" t="s">
        <v>10</v>
      </c>
    </row>
    <row r="845" spans="1:8" x14ac:dyDescent="0.25">
      <c r="A845" s="148">
        <v>44842</v>
      </c>
      <c r="B845" s="149" t="s">
        <v>32423</v>
      </c>
      <c r="C845" s="153" t="s">
        <v>89</v>
      </c>
      <c r="D845" s="154">
        <v>13479.2</v>
      </c>
      <c r="E845" s="231">
        <v>44844</v>
      </c>
      <c r="F845" s="154">
        <v>13479.2</v>
      </c>
      <c r="G845" s="197">
        <f>Tabla111[[#This Row],[Importe]]-Tabla111[[#This Row],[Pagado]]</f>
        <v>0</v>
      </c>
      <c r="H845" s="153" t="s">
        <v>10</v>
      </c>
    </row>
    <row r="846" spans="1:8" x14ac:dyDescent="0.25">
      <c r="A846" s="73">
        <v>44842</v>
      </c>
      <c r="B846" s="74" t="s">
        <v>32424</v>
      </c>
      <c r="C846" s="75" t="s">
        <v>22</v>
      </c>
      <c r="D846" s="81">
        <v>44427.3</v>
      </c>
      <c r="E846" s="230">
        <v>44843</v>
      </c>
      <c r="F846" s="81">
        <v>44427.3</v>
      </c>
      <c r="G846" s="197">
        <f>Tabla111[[#This Row],[Importe]]-Tabla111[[#This Row],[Pagado]]</f>
        <v>0</v>
      </c>
      <c r="H846" s="75" t="s">
        <v>10</v>
      </c>
    </row>
    <row r="847" spans="1:8" x14ac:dyDescent="0.25">
      <c r="A847" s="148">
        <v>44842</v>
      </c>
      <c r="B847" s="149" t="s">
        <v>32425</v>
      </c>
      <c r="C847" s="153" t="s">
        <v>804</v>
      </c>
      <c r="D847" s="154">
        <v>22667.8</v>
      </c>
      <c r="E847" s="231">
        <v>44842</v>
      </c>
      <c r="F847" s="154">
        <v>22667.8</v>
      </c>
      <c r="G847" s="197">
        <f>Tabla111[[#This Row],[Importe]]-Tabla111[[#This Row],[Pagado]]</f>
        <v>0</v>
      </c>
      <c r="H847" s="153" t="s">
        <v>10</v>
      </c>
    </row>
    <row r="848" spans="1:8" x14ac:dyDescent="0.25">
      <c r="A848" s="73">
        <v>44842</v>
      </c>
      <c r="B848" s="74" t="s">
        <v>32426</v>
      </c>
      <c r="C848" s="75" t="s">
        <v>16</v>
      </c>
      <c r="D848" s="81">
        <v>667</v>
      </c>
      <c r="E848" s="230">
        <v>44842</v>
      </c>
      <c r="F848" s="81">
        <v>667</v>
      </c>
      <c r="G848" s="197">
        <f>Tabla111[[#This Row],[Importe]]-Tabla111[[#This Row],[Pagado]]</f>
        <v>0</v>
      </c>
      <c r="H848" s="75" t="s">
        <v>10</v>
      </c>
    </row>
    <row r="849" spans="1:8" x14ac:dyDescent="0.25">
      <c r="A849" s="148">
        <v>44842</v>
      </c>
      <c r="B849" s="149" t="s">
        <v>32427</v>
      </c>
      <c r="C849" s="153" t="s">
        <v>22</v>
      </c>
      <c r="D849" s="154">
        <v>986.4</v>
      </c>
      <c r="E849" s="231">
        <v>44843</v>
      </c>
      <c r="F849" s="154">
        <v>986.4</v>
      </c>
      <c r="G849" s="197">
        <f>Tabla111[[#This Row],[Importe]]-Tabla111[[#This Row],[Pagado]]</f>
        <v>0</v>
      </c>
      <c r="H849" s="153" t="s">
        <v>10</v>
      </c>
    </row>
    <row r="850" spans="1:8" x14ac:dyDescent="0.25">
      <c r="A850" s="73">
        <v>44842</v>
      </c>
      <c r="B850" s="74" t="s">
        <v>32428</v>
      </c>
      <c r="C850" s="75" t="s">
        <v>348</v>
      </c>
      <c r="D850" s="81">
        <v>7905</v>
      </c>
      <c r="E850" s="230">
        <v>44842</v>
      </c>
      <c r="F850" s="81">
        <v>7905</v>
      </c>
      <c r="G850" s="197">
        <f>Tabla111[[#This Row],[Importe]]-Tabla111[[#This Row],[Pagado]]</f>
        <v>0</v>
      </c>
      <c r="H850" s="75" t="s">
        <v>10</v>
      </c>
    </row>
    <row r="851" spans="1:8" x14ac:dyDescent="0.25">
      <c r="A851" s="148">
        <v>44842</v>
      </c>
      <c r="B851" s="149" t="s">
        <v>32429</v>
      </c>
      <c r="C851" s="153" t="s">
        <v>9415</v>
      </c>
      <c r="D851" s="154">
        <v>24168</v>
      </c>
      <c r="E851" s="231">
        <v>44845</v>
      </c>
      <c r="F851" s="154">
        <v>24168</v>
      </c>
      <c r="G851" s="197">
        <f>Tabla111[[#This Row],[Importe]]-Tabla111[[#This Row],[Pagado]]</f>
        <v>0</v>
      </c>
      <c r="H851" s="153" t="s">
        <v>10</v>
      </c>
    </row>
    <row r="852" spans="1:8" x14ac:dyDescent="0.25">
      <c r="A852" s="73">
        <v>44842</v>
      </c>
      <c r="B852" s="74" t="s">
        <v>32430</v>
      </c>
      <c r="C852" s="75" t="s">
        <v>17556</v>
      </c>
      <c r="D852" s="81">
        <v>3919.3</v>
      </c>
      <c r="E852" s="230">
        <v>44842</v>
      </c>
      <c r="F852" s="81">
        <v>3919.3</v>
      </c>
      <c r="G852" s="197">
        <f>Tabla111[[#This Row],[Importe]]-Tabla111[[#This Row],[Pagado]]</f>
        <v>0</v>
      </c>
      <c r="H852" s="75" t="s">
        <v>10</v>
      </c>
    </row>
    <row r="853" spans="1:8" ht="31.5" x14ac:dyDescent="0.25">
      <c r="A853" s="148">
        <v>44842</v>
      </c>
      <c r="B853" s="149" t="s">
        <v>32431</v>
      </c>
      <c r="C853" s="160" t="s">
        <v>4341</v>
      </c>
      <c r="D853" s="154">
        <v>0</v>
      </c>
      <c r="E853" s="233" t="s">
        <v>189</v>
      </c>
      <c r="F853" s="154">
        <v>0</v>
      </c>
      <c r="G853" s="197">
        <f>Tabla111[[#This Row],[Importe]]-Tabla111[[#This Row],[Pagado]]</f>
        <v>0</v>
      </c>
      <c r="H853" s="159" t="s">
        <v>32432</v>
      </c>
    </row>
    <row r="854" spans="1:8" x14ac:dyDescent="0.25">
      <c r="A854" s="73">
        <v>44842</v>
      </c>
      <c r="B854" s="74" t="s">
        <v>32433</v>
      </c>
      <c r="C854" s="75" t="s">
        <v>142</v>
      </c>
      <c r="D854" s="81">
        <v>119152.93</v>
      </c>
      <c r="E854" s="230" t="s">
        <v>35001</v>
      </c>
      <c r="F854" s="81">
        <f>72563.05+46589.88</f>
        <v>119152.93</v>
      </c>
      <c r="G854" s="197">
        <f>Tabla111[[#This Row],[Importe]]-Tabla111[[#This Row],[Pagado]]</f>
        <v>0</v>
      </c>
      <c r="H854" s="75" t="s">
        <v>10</v>
      </c>
    </row>
    <row r="855" spans="1:8" x14ac:dyDescent="0.25">
      <c r="A855" s="148">
        <v>44842</v>
      </c>
      <c r="B855" s="149" t="s">
        <v>32434</v>
      </c>
      <c r="C855" s="153" t="s">
        <v>196</v>
      </c>
      <c r="D855" s="154">
        <v>132125.56</v>
      </c>
      <c r="E855" s="231">
        <v>44848</v>
      </c>
      <c r="F855" s="154">
        <v>132125.56</v>
      </c>
      <c r="G855" s="197">
        <f>Tabla111[[#This Row],[Importe]]-Tabla111[[#This Row],[Pagado]]</f>
        <v>0</v>
      </c>
      <c r="H855" s="153" t="s">
        <v>10</v>
      </c>
    </row>
    <row r="856" spans="1:8" x14ac:dyDescent="0.25">
      <c r="A856" s="73">
        <v>44842</v>
      </c>
      <c r="B856" s="74" t="s">
        <v>32435</v>
      </c>
      <c r="C856" s="75" t="s">
        <v>31</v>
      </c>
      <c r="D856" s="81">
        <v>4187.6000000000004</v>
      </c>
      <c r="E856" s="230">
        <v>44842</v>
      </c>
      <c r="F856" s="81">
        <v>4187.6000000000004</v>
      </c>
      <c r="G856" s="197">
        <f>Tabla111[[#This Row],[Importe]]-Tabla111[[#This Row],[Pagado]]</f>
        <v>0</v>
      </c>
      <c r="H856" s="75" t="s">
        <v>10</v>
      </c>
    </row>
    <row r="857" spans="1:8" x14ac:dyDescent="0.25">
      <c r="A857" s="148">
        <v>44842</v>
      </c>
      <c r="B857" s="149" t="s">
        <v>32436</v>
      </c>
      <c r="C857" s="153" t="s">
        <v>49</v>
      </c>
      <c r="D857" s="154">
        <v>4487</v>
      </c>
      <c r="E857" s="231">
        <v>44842</v>
      </c>
      <c r="F857" s="154">
        <v>4487</v>
      </c>
      <c r="G857" s="197">
        <f>Tabla111[[#This Row],[Importe]]-Tabla111[[#This Row],[Pagado]]</f>
        <v>0</v>
      </c>
      <c r="H857" s="153" t="s">
        <v>10</v>
      </c>
    </row>
    <row r="858" spans="1:8" x14ac:dyDescent="0.25">
      <c r="A858" s="73">
        <v>44842</v>
      </c>
      <c r="B858" s="74" t="s">
        <v>32437</v>
      </c>
      <c r="C858" s="75" t="s">
        <v>33</v>
      </c>
      <c r="D858" s="81">
        <v>18142.8</v>
      </c>
      <c r="E858" s="230">
        <v>44842</v>
      </c>
      <c r="F858" s="81">
        <v>18142.8</v>
      </c>
      <c r="G858" s="197">
        <f>Tabla111[[#This Row],[Importe]]-Tabla111[[#This Row],[Pagado]]</f>
        <v>0</v>
      </c>
      <c r="H858" s="75" t="s">
        <v>10</v>
      </c>
    </row>
    <row r="859" spans="1:8" x14ac:dyDescent="0.25">
      <c r="A859" s="148">
        <v>44842</v>
      </c>
      <c r="B859" s="149" t="s">
        <v>32438</v>
      </c>
      <c r="C859" s="153" t="s">
        <v>230</v>
      </c>
      <c r="D859" s="154">
        <v>5803.6</v>
      </c>
      <c r="E859" s="231">
        <v>44842</v>
      </c>
      <c r="F859" s="154">
        <v>5803.6</v>
      </c>
      <c r="G859" s="197">
        <f>Tabla111[[#This Row],[Importe]]-Tabla111[[#This Row],[Pagado]]</f>
        <v>0</v>
      </c>
      <c r="H859" s="153" t="s">
        <v>10</v>
      </c>
    </row>
    <row r="860" spans="1:8" x14ac:dyDescent="0.25">
      <c r="A860" s="73">
        <v>44842</v>
      </c>
      <c r="B860" s="74" t="s">
        <v>32439</v>
      </c>
      <c r="C860" s="75" t="s">
        <v>146</v>
      </c>
      <c r="D860" s="81">
        <v>11775</v>
      </c>
      <c r="E860" s="230">
        <v>44842</v>
      </c>
      <c r="F860" s="81">
        <v>11775</v>
      </c>
      <c r="G860" s="197">
        <f>Tabla111[[#This Row],[Importe]]-Tabla111[[#This Row],[Pagado]]</f>
        <v>0</v>
      </c>
      <c r="H860" s="75" t="s">
        <v>10</v>
      </c>
    </row>
    <row r="861" spans="1:8" x14ac:dyDescent="0.25">
      <c r="A861" s="148">
        <v>44842</v>
      </c>
      <c r="B861" s="149" t="s">
        <v>32440</v>
      </c>
      <c r="C861" s="153" t="s">
        <v>31</v>
      </c>
      <c r="D861" s="154">
        <v>1624</v>
      </c>
      <c r="E861" s="231">
        <v>44842</v>
      </c>
      <c r="F861" s="154">
        <v>1624</v>
      </c>
      <c r="G861" s="197">
        <f>Tabla111[[#This Row],[Importe]]-Tabla111[[#This Row],[Pagado]]</f>
        <v>0</v>
      </c>
      <c r="H861" s="153" t="s">
        <v>10</v>
      </c>
    </row>
    <row r="862" spans="1:8" x14ac:dyDescent="0.25">
      <c r="A862" s="73">
        <v>44842</v>
      </c>
      <c r="B862" s="74" t="s">
        <v>32441</v>
      </c>
      <c r="C862" s="75" t="s">
        <v>333</v>
      </c>
      <c r="D862" s="81">
        <v>1410.4</v>
      </c>
      <c r="E862" s="230">
        <v>44842</v>
      </c>
      <c r="F862" s="81">
        <v>1410.4</v>
      </c>
      <c r="G862" s="197">
        <f>Tabla111[[#This Row],[Importe]]-Tabla111[[#This Row],[Pagado]]</f>
        <v>0</v>
      </c>
      <c r="H862" s="75" t="s">
        <v>10</v>
      </c>
    </row>
    <row r="863" spans="1:8" x14ac:dyDescent="0.25">
      <c r="A863" s="148">
        <v>44842</v>
      </c>
      <c r="B863" s="149" t="s">
        <v>32442</v>
      </c>
      <c r="C863" s="153" t="s">
        <v>45</v>
      </c>
      <c r="D863" s="154">
        <v>10546.4</v>
      </c>
      <c r="E863" s="231">
        <v>44842</v>
      </c>
      <c r="F863" s="154">
        <v>10546.4</v>
      </c>
      <c r="G863" s="197">
        <f>Tabla111[[#This Row],[Importe]]-Tabla111[[#This Row],[Pagado]]</f>
        <v>0</v>
      </c>
      <c r="H863" s="153" t="s">
        <v>10</v>
      </c>
    </row>
    <row r="864" spans="1:8" x14ac:dyDescent="0.25">
      <c r="A864" s="73">
        <v>44842</v>
      </c>
      <c r="B864" s="74" t="s">
        <v>32443</v>
      </c>
      <c r="C864" s="75" t="s">
        <v>2166</v>
      </c>
      <c r="D864" s="81">
        <v>5120.8</v>
      </c>
      <c r="E864" s="230">
        <v>44842</v>
      </c>
      <c r="F864" s="81">
        <v>5120.8</v>
      </c>
      <c r="G864" s="197">
        <f>Tabla111[[#This Row],[Importe]]-Tabla111[[#This Row],[Pagado]]</f>
        <v>0</v>
      </c>
      <c r="H864" s="75" t="s">
        <v>10</v>
      </c>
    </row>
    <row r="865" spans="1:8" x14ac:dyDescent="0.25">
      <c r="A865" s="148">
        <v>44842</v>
      </c>
      <c r="B865" s="149" t="s">
        <v>32444</v>
      </c>
      <c r="C865" s="153" t="s">
        <v>107</v>
      </c>
      <c r="D865" s="154">
        <v>31457.7</v>
      </c>
      <c r="E865" s="231">
        <v>44842</v>
      </c>
      <c r="F865" s="154">
        <v>31457.7</v>
      </c>
      <c r="G865" s="197">
        <f>Tabla111[[#This Row],[Importe]]-Tabla111[[#This Row],[Pagado]]</f>
        <v>0</v>
      </c>
      <c r="H865" s="153" t="s">
        <v>10</v>
      </c>
    </row>
    <row r="866" spans="1:8" x14ac:dyDescent="0.25">
      <c r="A866" s="73">
        <v>44842</v>
      </c>
      <c r="B866" s="74" t="s">
        <v>32445</v>
      </c>
      <c r="C866" s="75" t="s">
        <v>135</v>
      </c>
      <c r="D866" s="81">
        <v>1086.8</v>
      </c>
      <c r="E866" s="230">
        <v>44842</v>
      </c>
      <c r="F866" s="81">
        <v>1086.8</v>
      </c>
      <c r="G866" s="197">
        <f>Tabla111[[#This Row],[Importe]]-Tabla111[[#This Row],[Pagado]]</f>
        <v>0</v>
      </c>
      <c r="H866" s="75" t="s">
        <v>10</v>
      </c>
    </row>
    <row r="867" spans="1:8" x14ac:dyDescent="0.25">
      <c r="A867" s="148">
        <v>44842</v>
      </c>
      <c r="B867" s="149" t="s">
        <v>32446</v>
      </c>
      <c r="C867" s="153" t="s">
        <v>1362</v>
      </c>
      <c r="D867" s="154">
        <v>5373.2</v>
      </c>
      <c r="E867" s="231">
        <v>44842</v>
      </c>
      <c r="F867" s="154">
        <v>5373.2</v>
      </c>
      <c r="G867" s="197">
        <f>Tabla111[[#This Row],[Importe]]-Tabla111[[#This Row],[Pagado]]</f>
        <v>0</v>
      </c>
      <c r="H867" s="153" t="s">
        <v>10</v>
      </c>
    </row>
    <row r="868" spans="1:8" x14ac:dyDescent="0.25">
      <c r="A868" s="73">
        <v>44842</v>
      </c>
      <c r="B868" s="74" t="s">
        <v>32447</v>
      </c>
      <c r="C868" s="75" t="s">
        <v>140</v>
      </c>
      <c r="D868" s="81">
        <v>1322.4</v>
      </c>
      <c r="E868" s="230">
        <v>44842</v>
      </c>
      <c r="F868" s="81">
        <v>1322.4</v>
      </c>
      <c r="G868" s="197">
        <f>Tabla111[[#This Row],[Importe]]-Tabla111[[#This Row],[Pagado]]</f>
        <v>0</v>
      </c>
      <c r="H868" s="75" t="s">
        <v>10</v>
      </c>
    </row>
    <row r="869" spans="1:8" x14ac:dyDescent="0.25">
      <c r="A869" s="148">
        <v>44842</v>
      </c>
      <c r="B869" s="149" t="s">
        <v>32448</v>
      </c>
      <c r="C869" s="153" t="s">
        <v>339</v>
      </c>
      <c r="D869" s="154">
        <v>684</v>
      </c>
      <c r="E869" s="231">
        <v>44842</v>
      </c>
      <c r="F869" s="154">
        <v>684</v>
      </c>
      <c r="G869" s="197">
        <f>Tabla111[[#This Row],[Importe]]-Tabla111[[#This Row],[Pagado]]</f>
        <v>0</v>
      </c>
      <c r="H869" s="153" t="s">
        <v>10</v>
      </c>
    </row>
    <row r="870" spans="1:8" x14ac:dyDescent="0.25">
      <c r="A870" s="73">
        <v>44842</v>
      </c>
      <c r="B870" s="74" t="s">
        <v>32449</v>
      </c>
      <c r="C870" s="75" t="s">
        <v>31</v>
      </c>
      <c r="D870" s="81">
        <v>6211.2</v>
      </c>
      <c r="E870" s="230">
        <v>44842</v>
      </c>
      <c r="F870" s="81">
        <v>6211.2</v>
      </c>
      <c r="G870" s="197">
        <f>Tabla111[[#This Row],[Importe]]-Tabla111[[#This Row],[Pagado]]</f>
        <v>0</v>
      </c>
      <c r="H870" s="75" t="s">
        <v>10</v>
      </c>
    </row>
    <row r="871" spans="1:8" x14ac:dyDescent="0.25">
      <c r="A871" s="148">
        <v>44842</v>
      </c>
      <c r="B871" s="149" t="s">
        <v>32450</v>
      </c>
      <c r="C871" s="153" t="s">
        <v>214</v>
      </c>
      <c r="D871" s="154">
        <v>1845</v>
      </c>
      <c r="E871" s="231">
        <v>44842</v>
      </c>
      <c r="F871" s="154">
        <v>1845</v>
      </c>
      <c r="G871" s="197">
        <f>Tabla111[[#This Row],[Importe]]-Tabla111[[#This Row],[Pagado]]</f>
        <v>0</v>
      </c>
      <c r="H871" s="153" t="s">
        <v>10</v>
      </c>
    </row>
    <row r="872" spans="1:8" x14ac:dyDescent="0.25">
      <c r="A872" s="73">
        <v>44842</v>
      </c>
      <c r="B872" s="74" t="s">
        <v>32451</v>
      </c>
      <c r="C872" s="75" t="s">
        <v>127</v>
      </c>
      <c r="D872" s="81">
        <v>5294.8</v>
      </c>
      <c r="E872" s="230">
        <v>44842</v>
      </c>
      <c r="F872" s="81">
        <v>5294.8</v>
      </c>
      <c r="G872" s="197">
        <f>Tabla111[[#This Row],[Importe]]-Tabla111[[#This Row],[Pagado]]</f>
        <v>0</v>
      </c>
      <c r="H872" s="75" t="s">
        <v>10</v>
      </c>
    </row>
    <row r="873" spans="1:8" x14ac:dyDescent="0.25">
      <c r="A873" s="148">
        <v>44842</v>
      </c>
      <c r="B873" s="149" t="s">
        <v>32452</v>
      </c>
      <c r="C873" s="153" t="s">
        <v>815</v>
      </c>
      <c r="D873" s="154">
        <v>1512</v>
      </c>
      <c r="E873" s="231">
        <v>44842</v>
      </c>
      <c r="F873" s="154">
        <v>1512</v>
      </c>
      <c r="G873" s="197">
        <f>Tabla111[[#This Row],[Importe]]-Tabla111[[#This Row],[Pagado]]</f>
        <v>0</v>
      </c>
      <c r="H873" s="153" t="s">
        <v>10</v>
      </c>
    </row>
    <row r="874" spans="1:8" x14ac:dyDescent="0.25">
      <c r="A874" s="73">
        <v>44842</v>
      </c>
      <c r="B874" s="74" t="s">
        <v>32453</v>
      </c>
      <c r="C874" s="75" t="s">
        <v>698</v>
      </c>
      <c r="D874" s="81">
        <v>6415.7</v>
      </c>
      <c r="E874" s="230">
        <v>44842</v>
      </c>
      <c r="F874" s="81">
        <v>6415.7</v>
      </c>
      <c r="G874" s="197">
        <f>Tabla111[[#This Row],[Importe]]-Tabla111[[#This Row],[Pagado]]</f>
        <v>0</v>
      </c>
      <c r="H874" s="75" t="s">
        <v>10</v>
      </c>
    </row>
    <row r="875" spans="1:8" x14ac:dyDescent="0.25">
      <c r="A875" s="148">
        <v>44842</v>
      </c>
      <c r="B875" s="149" t="s">
        <v>32454</v>
      </c>
      <c r="C875" s="153" t="s">
        <v>31</v>
      </c>
      <c r="D875" s="154">
        <v>750</v>
      </c>
      <c r="E875" s="231">
        <v>44842</v>
      </c>
      <c r="F875" s="154">
        <v>750</v>
      </c>
      <c r="G875" s="197">
        <f>Tabla111[[#This Row],[Importe]]-Tabla111[[#This Row],[Pagado]]</f>
        <v>0</v>
      </c>
      <c r="H875" s="153" t="s">
        <v>10</v>
      </c>
    </row>
    <row r="876" spans="1:8" x14ac:dyDescent="0.25">
      <c r="A876" s="73">
        <v>44842</v>
      </c>
      <c r="B876" s="74" t="s">
        <v>32455</v>
      </c>
      <c r="C876" s="75" t="s">
        <v>31</v>
      </c>
      <c r="D876" s="81">
        <v>467.4</v>
      </c>
      <c r="E876" s="230">
        <v>44842</v>
      </c>
      <c r="F876" s="81">
        <v>467.4</v>
      </c>
      <c r="G876" s="197">
        <f>Tabla111[[#This Row],[Importe]]-Tabla111[[#This Row],[Pagado]]</f>
        <v>0</v>
      </c>
      <c r="H876" s="75" t="s">
        <v>10</v>
      </c>
    </row>
    <row r="877" spans="1:8" x14ac:dyDescent="0.25">
      <c r="A877" s="148">
        <v>44842</v>
      </c>
      <c r="B877" s="149" t="s">
        <v>32456</v>
      </c>
      <c r="C877" s="153" t="s">
        <v>698</v>
      </c>
      <c r="D877" s="154">
        <v>585</v>
      </c>
      <c r="E877" s="231">
        <v>44842</v>
      </c>
      <c r="F877" s="154">
        <v>585</v>
      </c>
      <c r="G877" s="197">
        <f>Tabla111[[#This Row],[Importe]]-Tabla111[[#This Row],[Pagado]]</f>
        <v>0</v>
      </c>
      <c r="H877" s="153" t="s">
        <v>10</v>
      </c>
    </row>
    <row r="878" spans="1:8" x14ac:dyDescent="0.25">
      <c r="A878" s="73">
        <v>44842</v>
      </c>
      <c r="B878" s="74" t="s">
        <v>32457</v>
      </c>
      <c r="C878" s="75" t="s">
        <v>10190</v>
      </c>
      <c r="D878" s="81">
        <v>27509.4</v>
      </c>
      <c r="E878" s="230">
        <v>44842</v>
      </c>
      <c r="F878" s="81">
        <v>27509.4</v>
      </c>
      <c r="G878" s="197">
        <f>Tabla111[[#This Row],[Importe]]-Tabla111[[#This Row],[Pagado]]</f>
        <v>0</v>
      </c>
      <c r="H878" s="75" t="s">
        <v>10</v>
      </c>
    </row>
    <row r="879" spans="1:8" x14ac:dyDescent="0.25">
      <c r="A879" s="148">
        <v>44842</v>
      </c>
      <c r="B879" s="149" t="s">
        <v>32458</v>
      </c>
      <c r="C879" s="153" t="s">
        <v>9827</v>
      </c>
      <c r="D879" s="154">
        <v>6278.3</v>
      </c>
      <c r="E879" s="231">
        <v>44842</v>
      </c>
      <c r="F879" s="154">
        <v>6278.3</v>
      </c>
      <c r="G879" s="197">
        <f>Tabla111[[#This Row],[Importe]]-Tabla111[[#This Row],[Pagado]]</f>
        <v>0</v>
      </c>
      <c r="H879" s="153" t="s">
        <v>10</v>
      </c>
    </row>
    <row r="880" spans="1:8" x14ac:dyDescent="0.25">
      <c r="A880" s="73">
        <v>44842</v>
      </c>
      <c r="B880" s="74" t="s">
        <v>32459</v>
      </c>
      <c r="C880" s="75" t="s">
        <v>296</v>
      </c>
      <c r="D880" s="81">
        <v>1735.8</v>
      </c>
      <c r="E880" s="230">
        <v>44842</v>
      </c>
      <c r="F880" s="81">
        <v>1735.8</v>
      </c>
      <c r="G880" s="197">
        <f>Tabla111[[#This Row],[Importe]]-Tabla111[[#This Row],[Pagado]]</f>
        <v>0</v>
      </c>
      <c r="H880" s="75" t="s">
        <v>10</v>
      </c>
    </row>
    <row r="881" spans="1:8" x14ac:dyDescent="0.25">
      <c r="A881" s="148">
        <v>44842</v>
      </c>
      <c r="B881" s="149" t="s">
        <v>32460</v>
      </c>
      <c r="C881" s="153" t="s">
        <v>31323</v>
      </c>
      <c r="D881" s="154">
        <v>6152</v>
      </c>
      <c r="E881" s="231">
        <v>44842</v>
      </c>
      <c r="F881" s="154">
        <v>6152</v>
      </c>
      <c r="G881" s="197">
        <f>Tabla111[[#This Row],[Importe]]-Tabla111[[#This Row],[Pagado]]</f>
        <v>0</v>
      </c>
      <c r="H881" s="153" t="s">
        <v>10</v>
      </c>
    </row>
    <row r="882" spans="1:8" x14ac:dyDescent="0.25">
      <c r="A882" s="73">
        <v>44842</v>
      </c>
      <c r="B882" s="74" t="s">
        <v>32461</v>
      </c>
      <c r="C882" s="75" t="s">
        <v>56</v>
      </c>
      <c r="D882" s="81">
        <v>5889.2</v>
      </c>
      <c r="E882" s="230">
        <v>44842</v>
      </c>
      <c r="F882" s="81">
        <v>5889.2</v>
      </c>
      <c r="G882" s="197">
        <f>Tabla111[[#This Row],[Importe]]-Tabla111[[#This Row],[Pagado]]</f>
        <v>0</v>
      </c>
      <c r="H882" s="75" t="s">
        <v>10</v>
      </c>
    </row>
    <row r="883" spans="1:8" x14ac:dyDescent="0.25">
      <c r="A883" s="148">
        <v>44842</v>
      </c>
      <c r="B883" s="149" t="s">
        <v>32462</v>
      </c>
      <c r="C883" s="153" t="s">
        <v>56</v>
      </c>
      <c r="D883" s="154">
        <v>574</v>
      </c>
      <c r="E883" s="231">
        <v>44842</v>
      </c>
      <c r="F883" s="154">
        <v>574</v>
      </c>
      <c r="G883" s="197">
        <f>Tabla111[[#This Row],[Importe]]-Tabla111[[#This Row],[Pagado]]</f>
        <v>0</v>
      </c>
      <c r="H883" s="153" t="s">
        <v>10</v>
      </c>
    </row>
    <row r="884" spans="1:8" x14ac:dyDescent="0.25">
      <c r="A884" s="73">
        <v>44842</v>
      </c>
      <c r="B884" s="74" t="s">
        <v>32463</v>
      </c>
      <c r="C884" s="75" t="s">
        <v>31</v>
      </c>
      <c r="D884" s="81">
        <v>1236.4000000000001</v>
      </c>
      <c r="E884" s="230">
        <v>44842</v>
      </c>
      <c r="F884" s="81">
        <v>1236.4000000000001</v>
      </c>
      <c r="G884" s="197">
        <f>Tabla111[[#This Row],[Importe]]-Tabla111[[#This Row],[Pagado]]</f>
        <v>0</v>
      </c>
      <c r="H884" s="75" t="s">
        <v>10</v>
      </c>
    </row>
    <row r="885" spans="1:8" x14ac:dyDescent="0.25">
      <c r="A885" s="148">
        <v>44842</v>
      </c>
      <c r="B885" s="149" t="s">
        <v>32464</v>
      </c>
      <c r="C885" s="153" t="s">
        <v>31</v>
      </c>
      <c r="D885" s="154">
        <v>3542.4</v>
      </c>
      <c r="E885" s="231">
        <v>44842</v>
      </c>
      <c r="F885" s="154">
        <v>3542.4</v>
      </c>
      <c r="G885" s="197">
        <f>Tabla111[[#This Row],[Importe]]-Tabla111[[#This Row],[Pagado]]</f>
        <v>0</v>
      </c>
      <c r="H885" s="153" t="s">
        <v>10</v>
      </c>
    </row>
    <row r="886" spans="1:8" x14ac:dyDescent="0.25">
      <c r="A886" s="73">
        <v>44842</v>
      </c>
      <c r="B886" s="74" t="s">
        <v>32465</v>
      </c>
      <c r="C886" s="75" t="s">
        <v>414</v>
      </c>
      <c r="D886" s="81">
        <v>24675</v>
      </c>
      <c r="E886" s="230">
        <v>44846</v>
      </c>
      <c r="F886" s="81">
        <v>24675</v>
      </c>
      <c r="G886" s="197">
        <f>Tabla111[[#This Row],[Importe]]-Tabla111[[#This Row],[Pagado]]</f>
        <v>0</v>
      </c>
      <c r="H886" s="75" t="s">
        <v>10</v>
      </c>
    </row>
    <row r="887" spans="1:8" x14ac:dyDescent="0.25">
      <c r="A887" s="148">
        <v>44842</v>
      </c>
      <c r="B887" s="149" t="s">
        <v>32466</v>
      </c>
      <c r="C887" s="153" t="s">
        <v>392</v>
      </c>
      <c r="D887" s="154">
        <v>25400.9</v>
      </c>
      <c r="E887" s="231">
        <v>44851</v>
      </c>
      <c r="F887" s="154">
        <v>25400.9</v>
      </c>
      <c r="G887" s="197">
        <f>Tabla111[[#This Row],[Importe]]-Tabla111[[#This Row],[Pagado]]</f>
        <v>0</v>
      </c>
      <c r="H887" s="153" t="s">
        <v>10</v>
      </c>
    </row>
    <row r="888" spans="1:8" x14ac:dyDescent="0.25">
      <c r="A888" s="73">
        <v>44842</v>
      </c>
      <c r="B888" s="74" t="s">
        <v>32467</v>
      </c>
      <c r="C888" s="75" t="s">
        <v>24</v>
      </c>
      <c r="D888" s="81">
        <v>5477.2</v>
      </c>
      <c r="E888" s="230">
        <v>44842</v>
      </c>
      <c r="F888" s="81">
        <v>5477.2</v>
      </c>
      <c r="G888" s="197">
        <f>Tabla111[[#This Row],[Importe]]-Tabla111[[#This Row],[Pagado]]</f>
        <v>0</v>
      </c>
      <c r="H888" s="75" t="s">
        <v>10</v>
      </c>
    </row>
    <row r="889" spans="1:8" x14ac:dyDescent="0.25">
      <c r="A889" s="148">
        <v>44842</v>
      </c>
      <c r="B889" s="149" t="s">
        <v>32468</v>
      </c>
      <c r="C889" s="153" t="s">
        <v>555</v>
      </c>
      <c r="D889" s="154">
        <v>7400</v>
      </c>
      <c r="E889" s="231">
        <v>44842</v>
      </c>
      <c r="F889" s="154">
        <v>7400</v>
      </c>
      <c r="G889" s="197">
        <f>Tabla111[[#This Row],[Importe]]-Tabla111[[#This Row],[Pagado]]</f>
        <v>0</v>
      </c>
      <c r="H889" s="153" t="s">
        <v>10</v>
      </c>
    </row>
    <row r="890" spans="1:8" x14ac:dyDescent="0.25">
      <c r="A890" s="73">
        <v>44842</v>
      </c>
      <c r="B890" s="74" t="s">
        <v>32469</v>
      </c>
      <c r="C890" s="75" t="s">
        <v>53</v>
      </c>
      <c r="D890" s="81">
        <v>2812</v>
      </c>
      <c r="E890" s="230">
        <v>44842</v>
      </c>
      <c r="F890" s="81">
        <v>2812</v>
      </c>
      <c r="G890" s="197">
        <f>Tabla111[[#This Row],[Importe]]-Tabla111[[#This Row],[Pagado]]</f>
        <v>0</v>
      </c>
      <c r="H890" s="75" t="s">
        <v>10</v>
      </c>
    </row>
    <row r="891" spans="1:8" x14ac:dyDescent="0.25">
      <c r="A891" s="148">
        <v>44842</v>
      </c>
      <c r="B891" s="149" t="s">
        <v>32470</v>
      </c>
      <c r="C891" s="153" t="s">
        <v>16</v>
      </c>
      <c r="D891" s="154">
        <v>633.6</v>
      </c>
      <c r="E891" s="231">
        <v>44842</v>
      </c>
      <c r="F891" s="154">
        <v>633.6</v>
      </c>
      <c r="G891" s="197">
        <f>Tabla111[[#This Row],[Importe]]-Tabla111[[#This Row],[Pagado]]</f>
        <v>0</v>
      </c>
      <c r="H891" s="153" t="s">
        <v>10</v>
      </c>
    </row>
    <row r="892" spans="1:8" x14ac:dyDescent="0.25">
      <c r="A892" s="73">
        <v>44842</v>
      </c>
      <c r="B892" s="74" t="s">
        <v>32471</v>
      </c>
      <c r="C892" s="75" t="s">
        <v>319</v>
      </c>
      <c r="D892" s="81">
        <v>12244.3</v>
      </c>
      <c r="E892" s="230">
        <v>44842</v>
      </c>
      <c r="F892" s="81">
        <v>12244.3</v>
      </c>
      <c r="G892" s="197">
        <f>Tabla111[[#This Row],[Importe]]-Tabla111[[#This Row],[Pagado]]</f>
        <v>0</v>
      </c>
      <c r="H892" s="75" t="s">
        <v>10</v>
      </c>
    </row>
    <row r="893" spans="1:8" x14ac:dyDescent="0.25">
      <c r="A893" s="148">
        <v>44842</v>
      </c>
      <c r="B893" s="149" t="s">
        <v>32472</v>
      </c>
      <c r="C893" s="153" t="s">
        <v>31</v>
      </c>
      <c r="D893" s="154">
        <v>1755</v>
      </c>
      <c r="E893" s="231">
        <v>44842</v>
      </c>
      <c r="F893" s="154">
        <v>1755</v>
      </c>
      <c r="G893" s="197">
        <f>Tabla111[[#This Row],[Importe]]-Tabla111[[#This Row],[Pagado]]</f>
        <v>0</v>
      </c>
      <c r="H893" s="153" t="s">
        <v>10</v>
      </c>
    </row>
    <row r="894" spans="1:8" x14ac:dyDescent="0.25">
      <c r="A894" s="73">
        <v>44842</v>
      </c>
      <c r="B894" s="74" t="s">
        <v>32473</v>
      </c>
      <c r="C894" s="75" t="s">
        <v>157</v>
      </c>
      <c r="D894" s="81">
        <v>6622.6</v>
      </c>
      <c r="E894" s="230">
        <v>44842</v>
      </c>
      <c r="F894" s="81">
        <v>6622.6</v>
      </c>
      <c r="G894" s="197">
        <f>Tabla111[[#This Row],[Importe]]-Tabla111[[#This Row],[Pagado]]</f>
        <v>0</v>
      </c>
      <c r="H894" s="75" t="s">
        <v>10</v>
      </c>
    </row>
    <row r="895" spans="1:8" x14ac:dyDescent="0.25">
      <c r="A895" s="148">
        <v>44842</v>
      </c>
      <c r="B895" s="149" t="s">
        <v>32474</v>
      </c>
      <c r="C895" s="153" t="s">
        <v>159</v>
      </c>
      <c r="D895" s="154">
        <v>2035.8</v>
      </c>
      <c r="E895" s="231">
        <v>44842</v>
      </c>
      <c r="F895" s="154">
        <v>2035.8</v>
      </c>
      <c r="G895" s="197">
        <f>Tabla111[[#This Row],[Importe]]-Tabla111[[#This Row],[Pagado]]</f>
        <v>0</v>
      </c>
      <c r="H895" s="153" t="s">
        <v>10</v>
      </c>
    </row>
    <row r="896" spans="1:8" x14ac:dyDescent="0.25">
      <c r="A896" s="73">
        <v>44842</v>
      </c>
      <c r="B896" s="74" t="s">
        <v>32475</v>
      </c>
      <c r="C896" s="75" t="s">
        <v>452</v>
      </c>
      <c r="D896" s="81">
        <v>4903.6000000000004</v>
      </c>
      <c r="E896" s="230">
        <v>44842</v>
      </c>
      <c r="F896" s="81">
        <v>4903.6000000000004</v>
      </c>
      <c r="G896" s="197">
        <f>Tabla111[[#This Row],[Importe]]-Tabla111[[#This Row],[Pagado]]</f>
        <v>0</v>
      </c>
      <c r="H896" s="75" t="s">
        <v>10</v>
      </c>
    </row>
    <row r="897" spans="1:8" x14ac:dyDescent="0.25">
      <c r="A897" s="148">
        <v>44842</v>
      </c>
      <c r="B897" s="149" t="s">
        <v>32476</v>
      </c>
      <c r="C897" s="153" t="s">
        <v>244</v>
      </c>
      <c r="D897" s="154">
        <v>623.20000000000005</v>
      </c>
      <c r="E897" s="231">
        <v>44842</v>
      </c>
      <c r="F897" s="154">
        <v>623.20000000000005</v>
      </c>
      <c r="G897" s="197">
        <f>Tabla111[[#This Row],[Importe]]-Tabla111[[#This Row],[Pagado]]</f>
        <v>0</v>
      </c>
      <c r="H897" s="153" t="s">
        <v>10</v>
      </c>
    </row>
    <row r="898" spans="1:8" x14ac:dyDescent="0.25">
      <c r="A898" s="73">
        <v>44842</v>
      </c>
      <c r="B898" s="74" t="s">
        <v>32477</v>
      </c>
      <c r="C898" s="75" t="s">
        <v>520</v>
      </c>
      <c r="D898" s="81">
        <v>20624</v>
      </c>
      <c r="E898" s="230">
        <v>44842</v>
      </c>
      <c r="F898" s="81">
        <v>20624</v>
      </c>
      <c r="G898" s="197">
        <f>Tabla111[[#This Row],[Importe]]-Tabla111[[#This Row],[Pagado]]</f>
        <v>0</v>
      </c>
      <c r="H898" s="75" t="s">
        <v>10</v>
      </c>
    </row>
    <row r="899" spans="1:8" x14ac:dyDescent="0.25">
      <c r="A899" s="148">
        <v>44842</v>
      </c>
      <c r="B899" s="149" t="s">
        <v>32478</v>
      </c>
      <c r="C899" s="153" t="s">
        <v>35</v>
      </c>
      <c r="D899" s="154">
        <v>1071.5999999999999</v>
      </c>
      <c r="E899" s="231">
        <v>44842</v>
      </c>
      <c r="F899" s="154">
        <v>1071.5999999999999</v>
      </c>
      <c r="G899" s="197">
        <f>Tabla111[[#This Row],[Importe]]-Tabla111[[#This Row],[Pagado]]</f>
        <v>0</v>
      </c>
      <c r="H899" s="153" t="s">
        <v>10</v>
      </c>
    </row>
    <row r="900" spans="1:8" x14ac:dyDescent="0.25">
      <c r="A900" s="73">
        <v>44842</v>
      </c>
      <c r="B900" s="74" t="s">
        <v>32479</v>
      </c>
      <c r="C900" s="75" t="s">
        <v>67</v>
      </c>
      <c r="D900" s="81">
        <v>3202.5</v>
      </c>
      <c r="E900" s="230">
        <v>44842</v>
      </c>
      <c r="F900" s="81">
        <v>3202.5</v>
      </c>
      <c r="G900" s="197">
        <f>Tabla111[[#This Row],[Importe]]-Tabla111[[#This Row],[Pagado]]</f>
        <v>0</v>
      </c>
      <c r="H900" s="75" t="s">
        <v>10</v>
      </c>
    </row>
    <row r="901" spans="1:8" x14ac:dyDescent="0.25">
      <c r="A901" s="148">
        <v>44842</v>
      </c>
      <c r="B901" s="149" t="s">
        <v>32480</v>
      </c>
      <c r="C901" s="153" t="s">
        <v>67</v>
      </c>
      <c r="D901" s="154">
        <v>1025</v>
      </c>
      <c r="E901" s="231">
        <v>44842</v>
      </c>
      <c r="F901" s="154">
        <v>1025</v>
      </c>
      <c r="G901" s="197">
        <f>Tabla111[[#This Row],[Importe]]-Tabla111[[#This Row],[Pagado]]</f>
        <v>0</v>
      </c>
      <c r="H901" s="153" t="s">
        <v>10</v>
      </c>
    </row>
    <row r="902" spans="1:8" x14ac:dyDescent="0.25">
      <c r="A902" s="73">
        <v>44842</v>
      </c>
      <c r="B902" s="74" t="s">
        <v>32481</v>
      </c>
      <c r="C902" s="75" t="s">
        <v>31</v>
      </c>
      <c r="D902" s="81">
        <v>817.5</v>
      </c>
      <c r="E902" s="230">
        <v>44842</v>
      </c>
      <c r="F902" s="81">
        <v>817.5</v>
      </c>
      <c r="G902" s="197">
        <f>Tabla111[[#This Row],[Importe]]-Tabla111[[#This Row],[Pagado]]</f>
        <v>0</v>
      </c>
      <c r="H902" s="75" t="s">
        <v>10</v>
      </c>
    </row>
    <row r="903" spans="1:8" x14ac:dyDescent="0.25">
      <c r="A903" s="148">
        <v>44842</v>
      </c>
      <c r="B903" s="149" t="s">
        <v>32482</v>
      </c>
      <c r="C903" s="153" t="s">
        <v>28087</v>
      </c>
      <c r="D903" s="154">
        <v>197338.22</v>
      </c>
      <c r="E903" s="231">
        <v>44844</v>
      </c>
      <c r="F903" s="154">
        <v>197338.22</v>
      </c>
      <c r="G903" s="197">
        <f>Tabla111[[#This Row],[Importe]]-Tabla111[[#This Row],[Pagado]]</f>
        <v>0</v>
      </c>
      <c r="H903" s="153" t="s">
        <v>10</v>
      </c>
    </row>
    <row r="904" spans="1:8" x14ac:dyDescent="0.25">
      <c r="A904" s="73">
        <v>44842</v>
      </c>
      <c r="B904" s="74" t="s">
        <v>32483</v>
      </c>
      <c r="C904" s="75" t="s">
        <v>484</v>
      </c>
      <c r="D904" s="81">
        <v>6008</v>
      </c>
      <c r="E904" s="230">
        <v>44842</v>
      </c>
      <c r="F904" s="81">
        <v>6008</v>
      </c>
      <c r="G904" s="197">
        <f>Tabla111[[#This Row],[Importe]]-Tabla111[[#This Row],[Pagado]]</f>
        <v>0</v>
      </c>
      <c r="H904" s="75" t="s">
        <v>10</v>
      </c>
    </row>
    <row r="905" spans="1:8" x14ac:dyDescent="0.25">
      <c r="A905" s="148">
        <v>44842</v>
      </c>
      <c r="B905" s="149" t="s">
        <v>32484</v>
      </c>
      <c r="C905" s="153" t="s">
        <v>21085</v>
      </c>
      <c r="D905" s="154">
        <v>60168</v>
      </c>
      <c r="E905" s="231">
        <v>44842</v>
      </c>
      <c r="F905" s="154">
        <v>60168</v>
      </c>
      <c r="G905" s="197">
        <f>Tabla111[[#This Row],[Importe]]-Tabla111[[#This Row],[Pagado]]</f>
        <v>0</v>
      </c>
      <c r="H905" s="153" t="s">
        <v>10</v>
      </c>
    </row>
    <row r="906" spans="1:8" x14ac:dyDescent="0.25">
      <c r="A906" s="73">
        <v>44842</v>
      </c>
      <c r="B906" s="74" t="s">
        <v>32485</v>
      </c>
      <c r="C906" s="75" t="s">
        <v>58</v>
      </c>
      <c r="D906" s="81">
        <v>2180.8000000000002</v>
      </c>
      <c r="E906" s="230">
        <v>44842</v>
      </c>
      <c r="F906" s="81">
        <v>2180.8000000000002</v>
      </c>
      <c r="G906" s="197">
        <f>Tabla111[[#This Row],[Importe]]-Tabla111[[#This Row],[Pagado]]</f>
        <v>0</v>
      </c>
      <c r="H906" s="75" t="s">
        <v>10</v>
      </c>
    </row>
    <row r="907" spans="1:8" x14ac:dyDescent="0.25">
      <c r="A907" s="148">
        <v>44842</v>
      </c>
      <c r="B907" s="149" t="s">
        <v>32486</v>
      </c>
      <c r="C907" s="153" t="s">
        <v>266</v>
      </c>
      <c r="D907" s="154">
        <v>8613</v>
      </c>
      <c r="E907" s="231">
        <v>44842</v>
      </c>
      <c r="F907" s="154">
        <v>8613</v>
      </c>
      <c r="G907" s="197">
        <f>Tabla111[[#This Row],[Importe]]-Tabla111[[#This Row],[Pagado]]</f>
        <v>0</v>
      </c>
      <c r="H907" s="153" t="s">
        <v>10</v>
      </c>
    </row>
    <row r="908" spans="1:8" x14ac:dyDescent="0.25">
      <c r="A908" s="73">
        <v>44842</v>
      </c>
      <c r="B908" s="74" t="s">
        <v>32487</v>
      </c>
      <c r="C908" s="75" t="s">
        <v>69</v>
      </c>
      <c r="D908" s="81">
        <v>2160</v>
      </c>
      <c r="E908" s="230">
        <v>44842</v>
      </c>
      <c r="F908" s="81">
        <v>2160</v>
      </c>
      <c r="G908" s="197">
        <f>Tabla111[[#This Row],[Importe]]-Tabla111[[#This Row],[Pagado]]</f>
        <v>0</v>
      </c>
      <c r="H908" s="75" t="s">
        <v>10</v>
      </c>
    </row>
    <row r="909" spans="1:8" x14ac:dyDescent="0.25">
      <c r="A909" s="148">
        <v>44842</v>
      </c>
      <c r="B909" s="149" t="s">
        <v>32488</v>
      </c>
      <c r="C909" s="153" t="s">
        <v>32489</v>
      </c>
      <c r="D909" s="154">
        <v>0</v>
      </c>
      <c r="E909" s="233" t="s">
        <v>189</v>
      </c>
      <c r="F909" s="154">
        <v>0</v>
      </c>
      <c r="G909" s="197">
        <f>Tabla111[[#This Row],[Importe]]-Tabla111[[#This Row],[Pagado]]</f>
        <v>0</v>
      </c>
      <c r="H909" s="153" t="s">
        <v>189</v>
      </c>
    </row>
    <row r="910" spans="1:8" x14ac:dyDescent="0.25">
      <c r="A910" s="73">
        <v>44842</v>
      </c>
      <c r="B910" s="74" t="s">
        <v>32490</v>
      </c>
      <c r="C910" s="75" t="s">
        <v>51</v>
      </c>
      <c r="D910" s="81">
        <v>5461.2</v>
      </c>
      <c r="E910" s="230">
        <v>44842</v>
      </c>
      <c r="F910" s="81">
        <v>5461.2</v>
      </c>
      <c r="G910" s="197">
        <f>Tabla111[[#This Row],[Importe]]-Tabla111[[#This Row],[Pagado]]</f>
        <v>0</v>
      </c>
      <c r="H910" s="75" t="s">
        <v>10</v>
      </c>
    </row>
    <row r="911" spans="1:8" x14ac:dyDescent="0.25">
      <c r="A911" s="148">
        <v>44842</v>
      </c>
      <c r="B911" s="149" t="s">
        <v>32491</v>
      </c>
      <c r="C911" s="153" t="s">
        <v>31</v>
      </c>
      <c r="D911" s="154">
        <v>1748</v>
      </c>
      <c r="E911" s="231">
        <v>44842</v>
      </c>
      <c r="F911" s="154">
        <v>1748</v>
      </c>
      <c r="G911" s="197">
        <f>Tabla111[[#This Row],[Importe]]-Tabla111[[#This Row],[Pagado]]</f>
        <v>0</v>
      </c>
      <c r="H911" s="153" t="s">
        <v>10</v>
      </c>
    </row>
    <row r="912" spans="1:8" x14ac:dyDescent="0.25">
      <c r="A912" s="73">
        <v>44842</v>
      </c>
      <c r="B912" s="74" t="s">
        <v>32492</v>
      </c>
      <c r="C912" s="75" t="s">
        <v>934</v>
      </c>
      <c r="D912" s="81">
        <v>6320.5</v>
      </c>
      <c r="E912" s="230">
        <v>44842</v>
      </c>
      <c r="F912" s="81">
        <v>6320.5</v>
      </c>
      <c r="G912" s="197">
        <f>Tabla111[[#This Row],[Importe]]-Tabla111[[#This Row],[Pagado]]</f>
        <v>0</v>
      </c>
      <c r="H912" s="75" t="s">
        <v>10</v>
      </c>
    </row>
    <row r="913" spans="1:8" x14ac:dyDescent="0.25">
      <c r="A913" s="148">
        <v>44842</v>
      </c>
      <c r="B913" s="149" t="s">
        <v>32493</v>
      </c>
      <c r="C913" s="153" t="s">
        <v>167</v>
      </c>
      <c r="D913" s="154">
        <v>33000</v>
      </c>
      <c r="E913" s="231">
        <v>44842</v>
      </c>
      <c r="F913" s="154">
        <v>33000</v>
      </c>
      <c r="G913" s="197">
        <f>Tabla111[[#This Row],[Importe]]-Tabla111[[#This Row],[Pagado]]</f>
        <v>0</v>
      </c>
      <c r="H913" s="153" t="s">
        <v>10</v>
      </c>
    </row>
    <row r="914" spans="1:8" x14ac:dyDescent="0.25">
      <c r="A914" s="73">
        <v>44842</v>
      </c>
      <c r="B914" s="74" t="s">
        <v>32494</v>
      </c>
      <c r="C914" s="75" t="s">
        <v>31</v>
      </c>
      <c r="D914" s="81">
        <v>7432.8</v>
      </c>
      <c r="E914" s="230">
        <v>44842</v>
      </c>
      <c r="F914" s="81">
        <v>7432.8</v>
      </c>
      <c r="G914" s="197">
        <f>Tabla111[[#This Row],[Importe]]-Tabla111[[#This Row],[Pagado]]</f>
        <v>0</v>
      </c>
      <c r="H914" s="75" t="s">
        <v>10</v>
      </c>
    </row>
    <row r="915" spans="1:8" x14ac:dyDescent="0.25">
      <c r="A915" s="148">
        <v>44842</v>
      </c>
      <c r="B915" s="149" t="s">
        <v>32495</v>
      </c>
      <c r="C915" s="153" t="s">
        <v>31</v>
      </c>
      <c r="D915" s="154">
        <v>2211.6</v>
      </c>
      <c r="E915" s="231">
        <v>44842</v>
      </c>
      <c r="F915" s="154">
        <v>2211.6</v>
      </c>
      <c r="G915" s="197">
        <f>Tabla111[[#This Row],[Importe]]-Tabla111[[#This Row],[Pagado]]</f>
        <v>0</v>
      </c>
      <c r="H915" s="153" t="s">
        <v>10</v>
      </c>
    </row>
    <row r="916" spans="1:8" x14ac:dyDescent="0.25">
      <c r="A916" s="73">
        <v>44842</v>
      </c>
      <c r="B916" s="74" t="s">
        <v>32496</v>
      </c>
      <c r="C916" s="75" t="s">
        <v>1008</v>
      </c>
      <c r="D916" s="81">
        <v>880</v>
      </c>
      <c r="E916" s="230">
        <v>44842</v>
      </c>
      <c r="F916" s="81">
        <v>880</v>
      </c>
      <c r="G916" s="197">
        <f>Tabla111[[#This Row],[Importe]]-Tabla111[[#This Row],[Pagado]]</f>
        <v>0</v>
      </c>
      <c r="H916" s="75" t="s">
        <v>10</v>
      </c>
    </row>
    <row r="917" spans="1:8" x14ac:dyDescent="0.25">
      <c r="A917" s="148">
        <v>44842</v>
      </c>
      <c r="B917" s="149" t="s">
        <v>32497</v>
      </c>
      <c r="C917" s="153" t="s">
        <v>296</v>
      </c>
      <c r="D917" s="154">
        <v>1646.4</v>
      </c>
      <c r="E917" s="231">
        <v>44842</v>
      </c>
      <c r="F917" s="154">
        <v>1646.4</v>
      </c>
      <c r="G917" s="197">
        <f>Tabla111[[#This Row],[Importe]]-Tabla111[[#This Row],[Pagado]]</f>
        <v>0</v>
      </c>
      <c r="H917" s="153" t="s">
        <v>10</v>
      </c>
    </row>
    <row r="918" spans="1:8" x14ac:dyDescent="0.25">
      <c r="A918" s="73">
        <v>44842</v>
      </c>
      <c r="B918" s="74" t="s">
        <v>32498</v>
      </c>
      <c r="C918" s="75" t="s">
        <v>296</v>
      </c>
      <c r="D918" s="81">
        <v>1029</v>
      </c>
      <c r="E918" s="230">
        <v>44842</v>
      </c>
      <c r="F918" s="81">
        <v>1029</v>
      </c>
      <c r="G918" s="197">
        <f>Tabla111[[#This Row],[Importe]]-Tabla111[[#This Row],[Pagado]]</f>
        <v>0</v>
      </c>
      <c r="H918" s="75" t="s">
        <v>10</v>
      </c>
    </row>
    <row r="919" spans="1:8" x14ac:dyDescent="0.25">
      <c r="A919" s="148">
        <v>44842</v>
      </c>
      <c r="B919" s="149" t="s">
        <v>32499</v>
      </c>
      <c r="C919" s="153" t="s">
        <v>280</v>
      </c>
      <c r="D919" s="154">
        <v>3510</v>
      </c>
      <c r="E919" s="231">
        <v>44843</v>
      </c>
      <c r="F919" s="154">
        <v>3510</v>
      </c>
      <c r="G919" s="197">
        <f>Tabla111[[#This Row],[Importe]]-Tabla111[[#This Row],[Pagado]]</f>
        <v>0</v>
      </c>
      <c r="H919" s="153" t="s">
        <v>10</v>
      </c>
    </row>
    <row r="920" spans="1:8" x14ac:dyDescent="0.25">
      <c r="A920" s="73">
        <v>44842</v>
      </c>
      <c r="B920" s="74" t="s">
        <v>32500</v>
      </c>
      <c r="C920" s="75" t="s">
        <v>10819</v>
      </c>
      <c r="D920" s="81">
        <v>2100</v>
      </c>
      <c r="E920" s="230">
        <v>44843</v>
      </c>
      <c r="F920" s="81">
        <v>2100</v>
      </c>
      <c r="G920" s="197">
        <f>Tabla111[[#This Row],[Importe]]-Tabla111[[#This Row],[Pagado]]</f>
        <v>0</v>
      </c>
      <c r="H920" s="75" t="s">
        <v>10</v>
      </c>
    </row>
    <row r="921" spans="1:8" x14ac:dyDescent="0.25">
      <c r="A921" s="148">
        <v>44842</v>
      </c>
      <c r="B921" s="149" t="s">
        <v>32501</v>
      </c>
      <c r="C921" s="153" t="s">
        <v>5345</v>
      </c>
      <c r="D921" s="154">
        <v>5782.5</v>
      </c>
      <c r="E921" s="231">
        <v>44843</v>
      </c>
      <c r="F921" s="154">
        <v>5782.5</v>
      </c>
      <c r="G921" s="197">
        <f>Tabla111[[#This Row],[Importe]]-Tabla111[[#This Row],[Pagado]]</f>
        <v>0</v>
      </c>
      <c r="H921" s="153" t="s">
        <v>10</v>
      </c>
    </row>
    <row r="922" spans="1:8" x14ac:dyDescent="0.25">
      <c r="A922" s="73">
        <v>44842</v>
      </c>
      <c r="B922" s="74" t="s">
        <v>32502</v>
      </c>
      <c r="C922" s="75" t="s">
        <v>284</v>
      </c>
      <c r="D922" s="81">
        <v>14947.5</v>
      </c>
      <c r="E922" s="230">
        <v>44842</v>
      </c>
      <c r="F922" s="81">
        <v>14947.5</v>
      </c>
      <c r="G922" s="197">
        <f>Tabla111[[#This Row],[Importe]]-Tabla111[[#This Row],[Pagado]]</f>
        <v>0</v>
      </c>
      <c r="H922" s="75" t="s">
        <v>10</v>
      </c>
    </row>
    <row r="923" spans="1:8" x14ac:dyDescent="0.25">
      <c r="A923" s="148">
        <v>44842</v>
      </c>
      <c r="B923" s="149" t="s">
        <v>32503</v>
      </c>
      <c r="C923" s="153" t="s">
        <v>857</v>
      </c>
      <c r="D923" s="154">
        <v>1788.9</v>
      </c>
      <c r="E923" s="231">
        <v>44842</v>
      </c>
      <c r="F923" s="154">
        <v>1788.9</v>
      </c>
      <c r="G923" s="197">
        <f>Tabla111[[#This Row],[Importe]]-Tabla111[[#This Row],[Pagado]]</f>
        <v>0</v>
      </c>
      <c r="H923" s="153" t="s">
        <v>10</v>
      </c>
    </row>
    <row r="924" spans="1:8" x14ac:dyDescent="0.25">
      <c r="A924" s="73">
        <v>44842</v>
      </c>
      <c r="B924" s="74" t="s">
        <v>32504</v>
      </c>
      <c r="C924" s="75" t="s">
        <v>181</v>
      </c>
      <c r="D924" s="81">
        <v>15847.2</v>
      </c>
      <c r="E924" s="230">
        <v>44843</v>
      </c>
      <c r="F924" s="81">
        <v>15847.2</v>
      </c>
      <c r="G924" s="197">
        <f>Tabla111[[#This Row],[Importe]]-Tabla111[[#This Row],[Pagado]]</f>
        <v>0</v>
      </c>
      <c r="H924" s="75" t="s">
        <v>10</v>
      </c>
    </row>
    <row r="925" spans="1:8" x14ac:dyDescent="0.25">
      <c r="A925" s="148">
        <v>44842</v>
      </c>
      <c r="B925" s="149" t="s">
        <v>32505</v>
      </c>
      <c r="C925" s="153" t="s">
        <v>296</v>
      </c>
      <c r="D925" s="154">
        <v>1152.4000000000001</v>
      </c>
      <c r="E925" s="231">
        <v>44842</v>
      </c>
      <c r="F925" s="154">
        <v>1152.4000000000001</v>
      </c>
      <c r="G925" s="197">
        <f>Tabla111[[#This Row],[Importe]]-Tabla111[[#This Row],[Pagado]]</f>
        <v>0</v>
      </c>
      <c r="H925" s="153" t="s">
        <v>10</v>
      </c>
    </row>
    <row r="926" spans="1:8" x14ac:dyDescent="0.25">
      <c r="A926" s="73">
        <v>44842</v>
      </c>
      <c r="B926" s="74" t="s">
        <v>32506</v>
      </c>
      <c r="C926" s="75" t="s">
        <v>359</v>
      </c>
      <c r="D926" s="81">
        <v>1949.1</v>
      </c>
      <c r="E926" s="230">
        <v>44844</v>
      </c>
      <c r="F926" s="81">
        <v>1949.1</v>
      </c>
      <c r="G926" s="197">
        <f>Tabla111[[#This Row],[Importe]]-Tabla111[[#This Row],[Pagado]]</f>
        <v>0</v>
      </c>
      <c r="H926" s="75" t="s">
        <v>10</v>
      </c>
    </row>
    <row r="927" spans="1:8" x14ac:dyDescent="0.25">
      <c r="A927" s="148">
        <v>44842</v>
      </c>
      <c r="B927" s="149" t="s">
        <v>32507</v>
      </c>
      <c r="C927" s="153" t="s">
        <v>175</v>
      </c>
      <c r="D927" s="154">
        <v>4820.1000000000004</v>
      </c>
      <c r="E927" s="231">
        <v>44844</v>
      </c>
      <c r="F927" s="154">
        <v>4820.1000000000004</v>
      </c>
      <c r="G927" s="197">
        <f>Tabla111[[#This Row],[Importe]]-Tabla111[[#This Row],[Pagado]]</f>
        <v>0</v>
      </c>
      <c r="H927" s="153" t="s">
        <v>10</v>
      </c>
    </row>
    <row r="928" spans="1:8" x14ac:dyDescent="0.25">
      <c r="A928" s="73">
        <v>44842</v>
      </c>
      <c r="B928" s="74" t="s">
        <v>32508</v>
      </c>
      <c r="C928" s="75" t="s">
        <v>426</v>
      </c>
      <c r="D928" s="81">
        <v>3126.2</v>
      </c>
      <c r="E928" s="230">
        <v>44844</v>
      </c>
      <c r="F928" s="81">
        <v>3126.2</v>
      </c>
      <c r="G928" s="197">
        <f>Tabla111[[#This Row],[Importe]]-Tabla111[[#This Row],[Pagado]]</f>
        <v>0</v>
      </c>
      <c r="H928" s="75" t="s">
        <v>10</v>
      </c>
    </row>
    <row r="929" spans="1:8" x14ac:dyDescent="0.25">
      <c r="A929" s="148">
        <v>44842</v>
      </c>
      <c r="B929" s="149" t="s">
        <v>32509</v>
      </c>
      <c r="C929" s="153" t="s">
        <v>53</v>
      </c>
      <c r="D929" s="154">
        <v>2294.8000000000002</v>
      </c>
      <c r="E929" s="231">
        <v>44842</v>
      </c>
      <c r="F929" s="154">
        <v>2294.8000000000002</v>
      </c>
      <c r="G929" s="197">
        <f>Tabla111[[#This Row],[Importe]]-Tabla111[[#This Row],[Pagado]]</f>
        <v>0</v>
      </c>
      <c r="H929" s="153" t="s">
        <v>10</v>
      </c>
    </row>
    <row r="930" spans="1:8" x14ac:dyDescent="0.25">
      <c r="A930" s="73">
        <v>44842</v>
      </c>
      <c r="B930" s="74" t="s">
        <v>32510</v>
      </c>
      <c r="C930" s="75" t="s">
        <v>10678</v>
      </c>
      <c r="D930" s="81">
        <v>86.4</v>
      </c>
      <c r="E930" s="230">
        <v>44842</v>
      </c>
      <c r="F930" s="81">
        <v>86.4</v>
      </c>
      <c r="G930" s="197">
        <f>Tabla111[[#This Row],[Importe]]-Tabla111[[#This Row],[Pagado]]</f>
        <v>0</v>
      </c>
      <c r="H930" s="75" t="s">
        <v>10</v>
      </c>
    </row>
    <row r="931" spans="1:8" x14ac:dyDescent="0.25">
      <c r="A931" s="148">
        <v>44842</v>
      </c>
      <c r="B931" s="149" t="s">
        <v>32511</v>
      </c>
      <c r="C931" s="153" t="s">
        <v>8190</v>
      </c>
      <c r="D931" s="154">
        <v>4296.8</v>
      </c>
      <c r="E931" s="231">
        <v>44842</v>
      </c>
      <c r="F931" s="154">
        <v>4296.8</v>
      </c>
      <c r="G931" s="197">
        <f>Tabla111[[#This Row],[Importe]]-Tabla111[[#This Row],[Pagado]]</f>
        <v>0</v>
      </c>
      <c r="H931" s="153" t="s">
        <v>10</v>
      </c>
    </row>
    <row r="932" spans="1:8" x14ac:dyDescent="0.25">
      <c r="A932" s="73">
        <v>44842</v>
      </c>
      <c r="B932" s="74" t="s">
        <v>32512</v>
      </c>
      <c r="C932" s="75" t="s">
        <v>7313</v>
      </c>
      <c r="D932" s="81">
        <v>2220.4</v>
      </c>
      <c r="E932" s="230">
        <v>44842</v>
      </c>
      <c r="F932" s="81">
        <v>2220.4</v>
      </c>
      <c r="G932" s="197">
        <f>Tabla111[[#This Row],[Importe]]-Tabla111[[#This Row],[Pagado]]</f>
        <v>0</v>
      </c>
      <c r="H932" s="75" t="s">
        <v>10</v>
      </c>
    </row>
    <row r="933" spans="1:8" x14ac:dyDescent="0.25">
      <c r="A933" s="148">
        <v>44842</v>
      </c>
      <c r="B933" s="149" t="s">
        <v>32513</v>
      </c>
      <c r="C933" s="153" t="s">
        <v>35</v>
      </c>
      <c r="D933" s="154">
        <v>3540</v>
      </c>
      <c r="E933" s="231">
        <v>44842</v>
      </c>
      <c r="F933" s="154">
        <v>3540</v>
      </c>
      <c r="G933" s="197">
        <f>Tabla111[[#This Row],[Importe]]-Tabla111[[#This Row],[Pagado]]</f>
        <v>0</v>
      </c>
      <c r="H933" s="153" t="s">
        <v>10</v>
      </c>
    </row>
    <row r="934" spans="1:8" x14ac:dyDescent="0.25">
      <c r="A934" s="73">
        <v>44842</v>
      </c>
      <c r="B934" s="74" t="s">
        <v>32514</v>
      </c>
      <c r="C934" s="75" t="s">
        <v>31</v>
      </c>
      <c r="D934" s="81">
        <v>737.2</v>
      </c>
      <c r="E934" s="230">
        <v>44842</v>
      </c>
      <c r="F934" s="81">
        <v>737.2</v>
      </c>
      <c r="G934" s="197">
        <f>Tabla111[[#This Row],[Importe]]-Tabla111[[#This Row],[Pagado]]</f>
        <v>0</v>
      </c>
      <c r="H934" s="75" t="s">
        <v>10</v>
      </c>
    </row>
    <row r="935" spans="1:8" x14ac:dyDescent="0.25">
      <c r="A935" s="148">
        <v>44842</v>
      </c>
      <c r="B935" s="149" t="s">
        <v>32515</v>
      </c>
      <c r="C935" s="153" t="s">
        <v>31</v>
      </c>
      <c r="D935" s="154">
        <v>112.5</v>
      </c>
      <c r="E935" s="231">
        <v>44842</v>
      </c>
      <c r="F935" s="154">
        <v>112.5</v>
      </c>
      <c r="G935" s="197">
        <f>Tabla111[[#This Row],[Importe]]-Tabla111[[#This Row],[Pagado]]</f>
        <v>0</v>
      </c>
      <c r="H935" s="153" t="s">
        <v>10</v>
      </c>
    </row>
    <row r="936" spans="1:8" x14ac:dyDescent="0.25">
      <c r="A936" s="73">
        <v>44842</v>
      </c>
      <c r="B936" s="74" t="s">
        <v>32516</v>
      </c>
      <c r="C936" s="75" t="s">
        <v>224</v>
      </c>
      <c r="D936" s="81">
        <v>1666</v>
      </c>
      <c r="E936" s="230">
        <v>44842</v>
      </c>
      <c r="F936" s="81">
        <v>1666</v>
      </c>
      <c r="G936" s="197">
        <f>Tabla111[[#This Row],[Importe]]-Tabla111[[#This Row],[Pagado]]</f>
        <v>0</v>
      </c>
      <c r="H936" s="75" t="s">
        <v>10</v>
      </c>
    </row>
    <row r="937" spans="1:8" x14ac:dyDescent="0.25">
      <c r="A937" s="148">
        <v>44842</v>
      </c>
      <c r="B937" s="149" t="s">
        <v>32517</v>
      </c>
      <c r="C937" s="153" t="s">
        <v>31</v>
      </c>
      <c r="D937" s="154">
        <v>16500</v>
      </c>
      <c r="E937" s="231">
        <v>44843</v>
      </c>
      <c r="F937" s="154">
        <v>16500</v>
      </c>
      <c r="G937" s="197">
        <f>Tabla111[[#This Row],[Importe]]-Tabla111[[#This Row],[Pagado]]</f>
        <v>0</v>
      </c>
      <c r="H937" s="153" t="s">
        <v>10</v>
      </c>
    </row>
    <row r="938" spans="1:8" x14ac:dyDescent="0.25">
      <c r="A938" s="73">
        <v>44843</v>
      </c>
      <c r="B938" s="74" t="s">
        <v>32518</v>
      </c>
      <c r="C938" s="75" t="s">
        <v>12</v>
      </c>
      <c r="D938" s="81">
        <v>35026.5</v>
      </c>
      <c r="E938" s="230">
        <v>44843</v>
      </c>
      <c r="F938" s="81">
        <v>35026.5</v>
      </c>
      <c r="G938" s="197">
        <f>Tabla111[[#This Row],[Importe]]-Tabla111[[#This Row],[Pagado]]</f>
        <v>0</v>
      </c>
      <c r="H938" s="75" t="s">
        <v>10</v>
      </c>
    </row>
    <row r="939" spans="1:8" x14ac:dyDescent="0.25">
      <c r="A939" s="148">
        <v>44843</v>
      </c>
      <c r="B939" s="149" t="s">
        <v>32519</v>
      </c>
      <c r="C939" s="153" t="s">
        <v>9</v>
      </c>
      <c r="D939" s="154">
        <v>7391.6</v>
      </c>
      <c r="E939" s="231">
        <v>44843</v>
      </c>
      <c r="F939" s="154">
        <v>7391.6</v>
      </c>
      <c r="G939" s="197">
        <f>Tabla111[[#This Row],[Importe]]-Tabla111[[#This Row],[Pagado]]</f>
        <v>0</v>
      </c>
      <c r="H939" s="153" t="s">
        <v>10</v>
      </c>
    </row>
    <row r="940" spans="1:8" x14ac:dyDescent="0.25">
      <c r="A940" s="73">
        <v>44843</v>
      </c>
      <c r="B940" s="74" t="s">
        <v>32520</v>
      </c>
      <c r="C940" s="75" t="s">
        <v>20</v>
      </c>
      <c r="D940" s="81">
        <v>3511.5</v>
      </c>
      <c r="E940" s="230">
        <v>44843</v>
      </c>
      <c r="F940" s="81">
        <v>3511.5</v>
      </c>
      <c r="G940" s="197">
        <f>Tabla111[[#This Row],[Importe]]-Tabla111[[#This Row],[Pagado]]</f>
        <v>0</v>
      </c>
      <c r="H940" s="75" t="s">
        <v>10</v>
      </c>
    </row>
    <row r="941" spans="1:8" x14ac:dyDescent="0.25">
      <c r="A941" s="148">
        <v>44843</v>
      </c>
      <c r="B941" s="149" t="s">
        <v>32521</v>
      </c>
      <c r="C941" s="153" t="s">
        <v>16</v>
      </c>
      <c r="D941" s="154">
        <v>10533</v>
      </c>
      <c r="E941" s="231">
        <v>44843</v>
      </c>
      <c r="F941" s="154">
        <v>10533</v>
      </c>
      <c r="G941" s="197">
        <f>Tabla111[[#This Row],[Importe]]-Tabla111[[#This Row],[Pagado]]</f>
        <v>0</v>
      </c>
      <c r="H941" s="153" t="s">
        <v>10</v>
      </c>
    </row>
    <row r="942" spans="1:8" x14ac:dyDescent="0.25">
      <c r="A942" s="73">
        <v>44843</v>
      </c>
      <c r="B942" s="74" t="s">
        <v>32522</v>
      </c>
      <c r="C942" s="75" t="s">
        <v>29</v>
      </c>
      <c r="D942" s="81">
        <v>11940</v>
      </c>
      <c r="E942" s="230">
        <v>44843</v>
      </c>
      <c r="F942" s="81">
        <v>11940</v>
      </c>
      <c r="G942" s="197">
        <f>Tabla111[[#This Row],[Importe]]-Tabla111[[#This Row],[Pagado]]</f>
        <v>0</v>
      </c>
      <c r="H942" s="75" t="s">
        <v>10</v>
      </c>
    </row>
    <row r="943" spans="1:8" x14ac:dyDescent="0.25">
      <c r="A943" s="148">
        <v>44843</v>
      </c>
      <c r="B943" s="149" t="s">
        <v>32523</v>
      </c>
      <c r="C943" s="153" t="s">
        <v>475</v>
      </c>
      <c r="D943" s="154">
        <v>82478.2</v>
      </c>
      <c r="E943" s="231" t="s">
        <v>32524</v>
      </c>
      <c r="F943" s="154">
        <f>50000+32478.2</f>
        <v>82478.2</v>
      </c>
      <c r="G943" s="197">
        <f>Tabla111[[#This Row],[Importe]]-Tabla111[[#This Row],[Pagado]]</f>
        <v>0</v>
      </c>
      <c r="H943" s="153" t="s">
        <v>10</v>
      </c>
    </row>
    <row r="944" spans="1:8" x14ac:dyDescent="0.25">
      <c r="A944" s="73">
        <v>44843</v>
      </c>
      <c r="B944" s="74" t="s">
        <v>32525</v>
      </c>
      <c r="C944" s="75" t="s">
        <v>20</v>
      </c>
      <c r="D944" s="81">
        <v>12044</v>
      </c>
      <c r="E944" s="230">
        <v>44843</v>
      </c>
      <c r="F944" s="81">
        <v>12044</v>
      </c>
      <c r="G944" s="197">
        <f>Tabla111[[#This Row],[Importe]]-Tabla111[[#This Row],[Pagado]]</f>
        <v>0</v>
      </c>
      <c r="H944" s="75" t="s">
        <v>10</v>
      </c>
    </row>
    <row r="945" spans="1:8" x14ac:dyDescent="0.25">
      <c r="A945" s="148">
        <v>44843</v>
      </c>
      <c r="B945" s="149" t="s">
        <v>32526</v>
      </c>
      <c r="C945" s="153" t="s">
        <v>16</v>
      </c>
      <c r="D945" s="154">
        <v>690.2</v>
      </c>
      <c r="E945" s="231">
        <v>44843</v>
      </c>
      <c r="F945" s="154">
        <v>690.2</v>
      </c>
      <c r="G945" s="197">
        <f>Tabla111[[#This Row],[Importe]]-Tabla111[[#This Row],[Pagado]]</f>
        <v>0</v>
      </c>
      <c r="H945" s="153" t="s">
        <v>10</v>
      </c>
    </row>
    <row r="946" spans="1:8" x14ac:dyDescent="0.25">
      <c r="A946" s="73">
        <v>44843</v>
      </c>
      <c r="B946" s="74" t="s">
        <v>32527</v>
      </c>
      <c r="C946" s="75" t="s">
        <v>9415</v>
      </c>
      <c r="D946" s="81">
        <v>13309.4</v>
      </c>
      <c r="E946" s="230">
        <v>44845</v>
      </c>
      <c r="F946" s="81">
        <v>13309.4</v>
      </c>
      <c r="G946" s="197">
        <f>Tabla111[[#This Row],[Importe]]-Tabla111[[#This Row],[Pagado]]</f>
        <v>0</v>
      </c>
      <c r="H946" s="75" t="s">
        <v>10</v>
      </c>
    </row>
    <row r="947" spans="1:8" x14ac:dyDescent="0.25">
      <c r="A947" s="148">
        <v>44843</v>
      </c>
      <c r="B947" s="149" t="s">
        <v>32528</v>
      </c>
      <c r="C947" s="153" t="s">
        <v>1187</v>
      </c>
      <c r="D947" s="154">
        <v>2957.4</v>
      </c>
      <c r="E947" s="231">
        <v>44843</v>
      </c>
      <c r="F947" s="154">
        <v>2957.4</v>
      </c>
      <c r="G947" s="197">
        <f>Tabla111[[#This Row],[Importe]]-Tabla111[[#This Row],[Pagado]]</f>
        <v>0</v>
      </c>
      <c r="H947" s="153" t="s">
        <v>10</v>
      </c>
    </row>
    <row r="948" spans="1:8" x14ac:dyDescent="0.25">
      <c r="A948" s="73">
        <v>44843</v>
      </c>
      <c r="B948" s="74" t="s">
        <v>32529</v>
      </c>
      <c r="C948" s="75" t="s">
        <v>56</v>
      </c>
      <c r="D948" s="81">
        <v>9956.4</v>
      </c>
      <c r="E948" s="230">
        <v>44843</v>
      </c>
      <c r="F948" s="81">
        <v>9956.4</v>
      </c>
      <c r="G948" s="197">
        <f>Tabla111[[#This Row],[Importe]]-Tabla111[[#This Row],[Pagado]]</f>
        <v>0</v>
      </c>
      <c r="H948" s="75" t="s">
        <v>10</v>
      </c>
    </row>
    <row r="949" spans="1:8" x14ac:dyDescent="0.25">
      <c r="A949" s="148">
        <v>44843</v>
      </c>
      <c r="B949" s="149" t="s">
        <v>32530</v>
      </c>
      <c r="C949" s="153" t="s">
        <v>22</v>
      </c>
      <c r="D949" s="154">
        <v>37888.5</v>
      </c>
      <c r="E949" s="231">
        <v>44844</v>
      </c>
      <c r="F949" s="154">
        <v>37888.5</v>
      </c>
      <c r="G949" s="197">
        <f>Tabla111[[#This Row],[Importe]]-Tabla111[[#This Row],[Pagado]]</f>
        <v>0</v>
      </c>
      <c r="H949" s="153" t="s">
        <v>10</v>
      </c>
    </row>
    <row r="950" spans="1:8" x14ac:dyDescent="0.25">
      <c r="A950" s="73">
        <v>44843</v>
      </c>
      <c r="B950" s="74" t="s">
        <v>32531</v>
      </c>
      <c r="C950" s="75" t="s">
        <v>24</v>
      </c>
      <c r="D950" s="81">
        <v>3047</v>
      </c>
      <c r="E950" s="230">
        <v>44843</v>
      </c>
      <c r="F950" s="81">
        <v>3047</v>
      </c>
      <c r="G950" s="197">
        <f>Tabla111[[#This Row],[Importe]]-Tabla111[[#This Row],[Pagado]]</f>
        <v>0</v>
      </c>
      <c r="H950" s="75" t="s">
        <v>10</v>
      </c>
    </row>
    <row r="951" spans="1:8" x14ac:dyDescent="0.25">
      <c r="A951" s="148">
        <v>44843</v>
      </c>
      <c r="B951" s="149" t="s">
        <v>32532</v>
      </c>
      <c r="C951" s="153" t="s">
        <v>2780</v>
      </c>
      <c r="D951" s="154">
        <v>5244</v>
      </c>
      <c r="E951" s="231">
        <v>44843</v>
      </c>
      <c r="F951" s="154">
        <v>5244</v>
      </c>
      <c r="G951" s="197">
        <f>Tabla111[[#This Row],[Importe]]-Tabla111[[#This Row],[Pagado]]</f>
        <v>0</v>
      </c>
      <c r="H951" s="153" t="s">
        <v>10</v>
      </c>
    </row>
    <row r="952" spans="1:8" x14ac:dyDescent="0.25">
      <c r="A952" s="73">
        <v>44843</v>
      </c>
      <c r="B952" s="74" t="s">
        <v>32533</v>
      </c>
      <c r="C952" s="75" t="s">
        <v>31</v>
      </c>
      <c r="D952" s="81">
        <v>2876</v>
      </c>
      <c r="E952" s="230">
        <v>44843</v>
      </c>
      <c r="F952" s="81">
        <v>2876</v>
      </c>
      <c r="G952" s="197">
        <f>Tabla111[[#This Row],[Importe]]-Tabla111[[#This Row],[Pagado]]</f>
        <v>0</v>
      </c>
      <c r="H952" s="75" t="s">
        <v>10</v>
      </c>
    </row>
    <row r="953" spans="1:8" x14ac:dyDescent="0.25">
      <c r="A953" s="148">
        <v>44843</v>
      </c>
      <c r="B953" s="149" t="s">
        <v>32534</v>
      </c>
      <c r="C953" s="153" t="s">
        <v>37</v>
      </c>
      <c r="D953" s="154">
        <v>1132.4000000000001</v>
      </c>
      <c r="E953" s="231">
        <v>44843</v>
      </c>
      <c r="F953" s="154">
        <v>1132.4000000000001</v>
      </c>
      <c r="G953" s="197">
        <f>Tabla111[[#This Row],[Importe]]-Tabla111[[#This Row],[Pagado]]</f>
        <v>0</v>
      </c>
      <c r="H953" s="153" t="s">
        <v>10</v>
      </c>
    </row>
    <row r="954" spans="1:8" x14ac:dyDescent="0.25">
      <c r="A954" s="73">
        <v>44843</v>
      </c>
      <c r="B954" s="74" t="s">
        <v>32535</v>
      </c>
      <c r="C954" s="75" t="s">
        <v>31</v>
      </c>
      <c r="D954" s="81">
        <v>701.8</v>
      </c>
      <c r="E954" s="230">
        <v>44843</v>
      </c>
      <c r="F954" s="81">
        <v>701.8</v>
      </c>
      <c r="G954" s="197">
        <f>Tabla111[[#This Row],[Importe]]-Tabla111[[#This Row],[Pagado]]</f>
        <v>0</v>
      </c>
      <c r="H954" s="75" t="s">
        <v>10</v>
      </c>
    </row>
    <row r="955" spans="1:8" x14ac:dyDescent="0.25">
      <c r="A955" s="148">
        <v>44843</v>
      </c>
      <c r="B955" s="149" t="s">
        <v>32536</v>
      </c>
      <c r="C955" s="153" t="s">
        <v>1003</v>
      </c>
      <c r="D955" s="154">
        <v>13629.8</v>
      </c>
      <c r="E955" s="231">
        <v>44845</v>
      </c>
      <c r="F955" s="154">
        <v>13629.8</v>
      </c>
      <c r="G955" s="197">
        <f>Tabla111[[#This Row],[Importe]]-Tabla111[[#This Row],[Pagado]]</f>
        <v>0</v>
      </c>
      <c r="H955" s="153" t="s">
        <v>10</v>
      </c>
    </row>
    <row r="956" spans="1:8" x14ac:dyDescent="0.25">
      <c r="A956" s="73">
        <v>44843</v>
      </c>
      <c r="B956" s="74" t="s">
        <v>32537</v>
      </c>
      <c r="C956" s="75" t="s">
        <v>45</v>
      </c>
      <c r="D956" s="81">
        <v>8530.7999999999993</v>
      </c>
      <c r="E956" s="230">
        <v>44843</v>
      </c>
      <c r="F956" s="81">
        <v>8530.7999999999993</v>
      </c>
      <c r="G956" s="197">
        <f>Tabla111[[#This Row],[Importe]]-Tabla111[[#This Row],[Pagado]]</f>
        <v>0</v>
      </c>
      <c r="H956" s="75" t="s">
        <v>10</v>
      </c>
    </row>
    <row r="957" spans="1:8" x14ac:dyDescent="0.25">
      <c r="A957" s="148">
        <v>44843</v>
      </c>
      <c r="B957" s="149" t="s">
        <v>32538</v>
      </c>
      <c r="C957" s="153" t="s">
        <v>49</v>
      </c>
      <c r="D957" s="154">
        <v>3857</v>
      </c>
      <c r="E957" s="231">
        <v>44843</v>
      </c>
      <c r="F957" s="154">
        <v>3857</v>
      </c>
      <c r="G957" s="197">
        <f>Tabla111[[#This Row],[Importe]]-Tabla111[[#This Row],[Pagado]]</f>
        <v>0</v>
      </c>
      <c r="H957" s="153" t="s">
        <v>10</v>
      </c>
    </row>
    <row r="958" spans="1:8" x14ac:dyDescent="0.25">
      <c r="A958" s="73">
        <v>44843</v>
      </c>
      <c r="B958" s="74" t="s">
        <v>32539</v>
      </c>
      <c r="C958" s="75" t="s">
        <v>97</v>
      </c>
      <c r="D958" s="81">
        <v>5930.8</v>
      </c>
      <c r="E958" s="230">
        <v>44843</v>
      </c>
      <c r="F958" s="81">
        <v>5930.8</v>
      </c>
      <c r="G958" s="197">
        <f>Tabla111[[#This Row],[Importe]]-Tabla111[[#This Row],[Pagado]]</f>
        <v>0</v>
      </c>
      <c r="H958" s="75" t="s">
        <v>10</v>
      </c>
    </row>
    <row r="959" spans="1:8" x14ac:dyDescent="0.25">
      <c r="A959" s="148">
        <v>44843</v>
      </c>
      <c r="B959" s="149" t="s">
        <v>32540</v>
      </c>
      <c r="C959" s="153" t="s">
        <v>31</v>
      </c>
      <c r="D959" s="154">
        <v>697.5</v>
      </c>
      <c r="E959" s="231">
        <v>44843</v>
      </c>
      <c r="F959" s="154">
        <v>697.5</v>
      </c>
      <c r="G959" s="197">
        <f>Tabla111[[#This Row],[Importe]]-Tabla111[[#This Row],[Pagado]]</f>
        <v>0</v>
      </c>
      <c r="H959" s="153" t="s">
        <v>10</v>
      </c>
    </row>
    <row r="960" spans="1:8" x14ac:dyDescent="0.25">
      <c r="A960" s="73">
        <v>44843</v>
      </c>
      <c r="B960" s="74" t="s">
        <v>32541</v>
      </c>
      <c r="C960" s="75" t="s">
        <v>224</v>
      </c>
      <c r="D960" s="81">
        <v>2153.4</v>
      </c>
      <c r="E960" s="230">
        <v>44843</v>
      </c>
      <c r="F960" s="81">
        <v>2153.4</v>
      </c>
      <c r="G960" s="197">
        <f>Tabla111[[#This Row],[Importe]]-Tabla111[[#This Row],[Pagado]]</f>
        <v>0</v>
      </c>
      <c r="H960" s="75" t="s">
        <v>10</v>
      </c>
    </row>
    <row r="961" spans="1:8" x14ac:dyDescent="0.25">
      <c r="A961" s="148">
        <v>44843</v>
      </c>
      <c r="B961" s="149" t="s">
        <v>32542</v>
      </c>
      <c r="C961" s="153" t="s">
        <v>382</v>
      </c>
      <c r="D961" s="154">
        <v>7650</v>
      </c>
      <c r="E961" s="231">
        <v>44843</v>
      </c>
      <c r="F961" s="154">
        <v>7650</v>
      </c>
      <c r="G961" s="197">
        <f>Tabla111[[#This Row],[Importe]]-Tabla111[[#This Row],[Pagado]]</f>
        <v>0</v>
      </c>
      <c r="H961" s="153" t="s">
        <v>10</v>
      </c>
    </row>
    <row r="962" spans="1:8" x14ac:dyDescent="0.25">
      <c r="A962" s="73">
        <v>44843</v>
      </c>
      <c r="B962" s="74" t="s">
        <v>32543</v>
      </c>
      <c r="C962" s="75" t="s">
        <v>1676</v>
      </c>
      <c r="D962" s="81">
        <v>2527.5</v>
      </c>
      <c r="E962" s="230">
        <v>44843</v>
      </c>
      <c r="F962" s="81">
        <v>2527.5</v>
      </c>
      <c r="G962" s="197">
        <f>Tabla111[[#This Row],[Importe]]-Tabla111[[#This Row],[Pagado]]</f>
        <v>0</v>
      </c>
      <c r="H962" s="75" t="s">
        <v>10</v>
      </c>
    </row>
    <row r="963" spans="1:8" x14ac:dyDescent="0.25">
      <c r="A963" s="148">
        <v>44843</v>
      </c>
      <c r="B963" s="149" t="s">
        <v>32544</v>
      </c>
      <c r="C963" s="153" t="s">
        <v>4136</v>
      </c>
      <c r="D963" s="154">
        <v>684.4</v>
      </c>
      <c r="E963" s="231">
        <v>44843</v>
      </c>
      <c r="F963" s="154">
        <v>684.4</v>
      </c>
      <c r="G963" s="197">
        <f>Tabla111[[#This Row],[Importe]]-Tabla111[[#This Row],[Pagado]]</f>
        <v>0</v>
      </c>
      <c r="H963" s="153" t="s">
        <v>10</v>
      </c>
    </row>
    <row r="964" spans="1:8" x14ac:dyDescent="0.25">
      <c r="A964" s="73">
        <v>44843</v>
      </c>
      <c r="B964" s="74" t="s">
        <v>32545</v>
      </c>
      <c r="C964" s="75" t="s">
        <v>296</v>
      </c>
      <c r="D964" s="81">
        <v>4181.1000000000004</v>
      </c>
      <c r="E964" s="230">
        <v>44843</v>
      </c>
      <c r="F964" s="81">
        <v>4181.1000000000004</v>
      </c>
      <c r="G964" s="197">
        <f>Tabla111[[#This Row],[Importe]]-Tabla111[[#This Row],[Pagado]]</f>
        <v>0</v>
      </c>
      <c r="H964" s="75" t="s">
        <v>10</v>
      </c>
    </row>
    <row r="965" spans="1:8" x14ac:dyDescent="0.25">
      <c r="A965" s="148">
        <v>44843</v>
      </c>
      <c r="B965" s="149" t="s">
        <v>32546</v>
      </c>
      <c r="C965" s="153" t="s">
        <v>9827</v>
      </c>
      <c r="D965" s="154">
        <v>4894.2</v>
      </c>
      <c r="E965" s="231">
        <v>44843</v>
      </c>
      <c r="F965" s="154">
        <v>4894.2</v>
      </c>
      <c r="G965" s="197">
        <f>Tabla111[[#This Row],[Importe]]-Tabla111[[#This Row],[Pagado]]</f>
        <v>0</v>
      </c>
      <c r="H965" s="153" t="s">
        <v>10</v>
      </c>
    </row>
    <row r="966" spans="1:8" x14ac:dyDescent="0.25">
      <c r="A966" s="73">
        <v>44843</v>
      </c>
      <c r="B966" s="74" t="s">
        <v>32547</v>
      </c>
      <c r="C966" s="75" t="s">
        <v>149</v>
      </c>
      <c r="D966" s="81">
        <v>7090.3</v>
      </c>
      <c r="E966" s="230">
        <v>44843</v>
      </c>
      <c r="F966" s="81">
        <v>7090.3</v>
      </c>
      <c r="G966" s="197">
        <f>Tabla111[[#This Row],[Importe]]-Tabla111[[#This Row],[Pagado]]</f>
        <v>0</v>
      </c>
      <c r="H966" s="75" t="s">
        <v>10</v>
      </c>
    </row>
    <row r="967" spans="1:8" x14ac:dyDescent="0.25">
      <c r="A967" s="148">
        <v>44843</v>
      </c>
      <c r="B967" s="149" t="s">
        <v>32548</v>
      </c>
      <c r="C967" s="153" t="s">
        <v>10313</v>
      </c>
      <c r="D967" s="154">
        <v>207.2</v>
      </c>
      <c r="E967" s="231">
        <v>44843</v>
      </c>
      <c r="F967" s="154">
        <v>207.2</v>
      </c>
      <c r="G967" s="197">
        <f>Tabla111[[#This Row],[Importe]]-Tabla111[[#This Row],[Pagado]]</f>
        <v>0</v>
      </c>
      <c r="H967" s="153" t="s">
        <v>10</v>
      </c>
    </row>
    <row r="968" spans="1:8" x14ac:dyDescent="0.25">
      <c r="A968" s="73">
        <v>44843</v>
      </c>
      <c r="B968" s="74" t="s">
        <v>32549</v>
      </c>
      <c r="C968" s="75" t="s">
        <v>53</v>
      </c>
      <c r="D968" s="81">
        <v>1102</v>
      </c>
      <c r="E968" s="230">
        <v>44843</v>
      </c>
      <c r="F968" s="81">
        <v>1102</v>
      </c>
      <c r="G968" s="197">
        <f>Tabla111[[#This Row],[Importe]]-Tabla111[[#This Row],[Pagado]]</f>
        <v>0</v>
      </c>
      <c r="H968" s="75" t="s">
        <v>10</v>
      </c>
    </row>
    <row r="969" spans="1:8" x14ac:dyDescent="0.25">
      <c r="A969" s="148">
        <v>44843</v>
      </c>
      <c r="B969" s="149" t="s">
        <v>32550</v>
      </c>
      <c r="C969" s="153" t="s">
        <v>69</v>
      </c>
      <c r="D969" s="154">
        <v>3112.5</v>
      </c>
      <c r="E969" s="231">
        <v>44843</v>
      </c>
      <c r="F969" s="154">
        <v>3112.5</v>
      </c>
      <c r="G969" s="197">
        <f>Tabla111[[#This Row],[Importe]]-Tabla111[[#This Row],[Pagado]]</f>
        <v>0</v>
      </c>
      <c r="H969" s="153" t="s">
        <v>10</v>
      </c>
    </row>
    <row r="970" spans="1:8" x14ac:dyDescent="0.25">
      <c r="A970" s="73">
        <v>44843</v>
      </c>
      <c r="B970" s="74" t="s">
        <v>32551</v>
      </c>
      <c r="C970" s="75" t="s">
        <v>24284</v>
      </c>
      <c r="D970" s="81">
        <v>1267.5</v>
      </c>
      <c r="E970" s="230">
        <v>44843</v>
      </c>
      <c r="F970" s="81">
        <v>1267.5</v>
      </c>
      <c r="G970" s="197">
        <f>Tabla111[[#This Row],[Importe]]-Tabla111[[#This Row],[Pagado]]</f>
        <v>0</v>
      </c>
      <c r="H970" s="75" t="s">
        <v>10</v>
      </c>
    </row>
    <row r="971" spans="1:8" x14ac:dyDescent="0.25">
      <c r="A971" s="148">
        <v>44843</v>
      </c>
      <c r="B971" s="149" t="s">
        <v>32552</v>
      </c>
      <c r="C971" s="153" t="s">
        <v>3747</v>
      </c>
      <c r="D971" s="154">
        <v>30274.2</v>
      </c>
      <c r="E971" s="231">
        <v>44843</v>
      </c>
      <c r="F971" s="154">
        <v>30274.2</v>
      </c>
      <c r="G971" s="197">
        <f>Tabla111[[#This Row],[Importe]]-Tabla111[[#This Row],[Pagado]]</f>
        <v>0</v>
      </c>
      <c r="H971" s="153" t="s">
        <v>10</v>
      </c>
    </row>
    <row r="972" spans="1:8" x14ac:dyDescent="0.25">
      <c r="A972" s="73">
        <v>44843</v>
      </c>
      <c r="B972" s="74" t="s">
        <v>32553</v>
      </c>
      <c r="C972" s="75" t="s">
        <v>71</v>
      </c>
      <c r="D972" s="81">
        <v>1960.4</v>
      </c>
      <c r="E972" s="230">
        <v>44843</v>
      </c>
      <c r="F972" s="81">
        <v>1960.4</v>
      </c>
      <c r="G972" s="197">
        <f>Tabla111[[#This Row],[Importe]]-Tabla111[[#This Row],[Pagado]]</f>
        <v>0</v>
      </c>
      <c r="H972" s="75" t="s">
        <v>10</v>
      </c>
    </row>
    <row r="973" spans="1:8" x14ac:dyDescent="0.25">
      <c r="A973" s="148">
        <v>44843</v>
      </c>
      <c r="B973" s="149" t="s">
        <v>32554</v>
      </c>
      <c r="C973" s="153" t="s">
        <v>67</v>
      </c>
      <c r="D973" s="154">
        <v>2373</v>
      </c>
      <c r="E973" s="231">
        <v>44843</v>
      </c>
      <c r="F973" s="154">
        <v>2373</v>
      </c>
      <c r="G973" s="197">
        <f>Tabla111[[#This Row],[Importe]]-Tabla111[[#This Row],[Pagado]]</f>
        <v>0</v>
      </c>
      <c r="H973" s="153" t="s">
        <v>10</v>
      </c>
    </row>
    <row r="974" spans="1:8" x14ac:dyDescent="0.25">
      <c r="A974" s="73">
        <v>44843</v>
      </c>
      <c r="B974" s="74" t="s">
        <v>32555</v>
      </c>
      <c r="C974" s="75" t="s">
        <v>58</v>
      </c>
      <c r="D974" s="81">
        <v>2341.1</v>
      </c>
      <c r="E974" s="230">
        <v>44843</v>
      </c>
      <c r="F974" s="81">
        <v>2341.1</v>
      </c>
      <c r="G974" s="197">
        <f>Tabla111[[#This Row],[Importe]]-Tabla111[[#This Row],[Pagado]]</f>
        <v>0</v>
      </c>
      <c r="H974" s="75" t="s">
        <v>10</v>
      </c>
    </row>
    <row r="975" spans="1:8" x14ac:dyDescent="0.25">
      <c r="A975" s="148">
        <v>44843</v>
      </c>
      <c r="B975" s="149" t="s">
        <v>32556</v>
      </c>
      <c r="C975" s="153" t="s">
        <v>1676</v>
      </c>
      <c r="D975" s="154">
        <v>9885</v>
      </c>
      <c r="E975" s="231">
        <v>44843</v>
      </c>
      <c r="F975" s="154">
        <v>9885</v>
      </c>
      <c r="G975" s="197">
        <f>Tabla111[[#This Row],[Importe]]-Tabla111[[#This Row],[Pagado]]</f>
        <v>0</v>
      </c>
      <c r="H975" s="153" t="s">
        <v>10</v>
      </c>
    </row>
    <row r="976" spans="1:8" x14ac:dyDescent="0.25">
      <c r="A976" s="73">
        <v>44843</v>
      </c>
      <c r="B976" s="74" t="s">
        <v>32557</v>
      </c>
      <c r="C976" s="75" t="s">
        <v>226</v>
      </c>
      <c r="D976" s="81">
        <v>8017.5</v>
      </c>
      <c r="E976" s="230">
        <v>44843</v>
      </c>
      <c r="F976" s="81">
        <v>8017.5</v>
      </c>
      <c r="G976" s="197">
        <f>Tabla111[[#This Row],[Importe]]-Tabla111[[#This Row],[Pagado]]</f>
        <v>0</v>
      </c>
      <c r="H976" s="75" t="s">
        <v>10</v>
      </c>
    </row>
    <row r="977" spans="1:8" x14ac:dyDescent="0.25">
      <c r="A977" s="148">
        <v>44843</v>
      </c>
      <c r="B977" s="149" t="s">
        <v>32558</v>
      </c>
      <c r="C977" s="153" t="s">
        <v>56</v>
      </c>
      <c r="D977" s="154">
        <v>6961.6</v>
      </c>
      <c r="E977" s="231">
        <v>44843</v>
      </c>
      <c r="F977" s="154">
        <v>6961.6</v>
      </c>
      <c r="G977" s="197">
        <f>Tabla111[[#This Row],[Importe]]-Tabla111[[#This Row],[Pagado]]</f>
        <v>0</v>
      </c>
      <c r="H977" s="153" t="s">
        <v>10</v>
      </c>
    </row>
    <row r="978" spans="1:8" x14ac:dyDescent="0.25">
      <c r="A978" s="73">
        <v>44843</v>
      </c>
      <c r="B978" s="74" t="s">
        <v>32559</v>
      </c>
      <c r="C978" s="75" t="s">
        <v>214</v>
      </c>
      <c r="D978" s="81">
        <v>1792.5</v>
      </c>
      <c r="E978" s="230">
        <v>44843</v>
      </c>
      <c r="F978" s="81">
        <v>1792.5</v>
      </c>
      <c r="G978" s="197">
        <f>Tabla111[[#This Row],[Importe]]-Tabla111[[#This Row],[Pagado]]</f>
        <v>0</v>
      </c>
      <c r="H978" s="75" t="s">
        <v>10</v>
      </c>
    </row>
    <row r="979" spans="1:8" x14ac:dyDescent="0.25">
      <c r="A979" s="148">
        <v>44843</v>
      </c>
      <c r="B979" s="149" t="s">
        <v>32560</v>
      </c>
      <c r="C979" s="153" t="s">
        <v>75</v>
      </c>
      <c r="D979" s="154">
        <v>9450</v>
      </c>
      <c r="E979" s="231">
        <v>44843</v>
      </c>
      <c r="F979" s="154">
        <v>9450</v>
      </c>
      <c r="G979" s="197">
        <f>Tabla111[[#This Row],[Importe]]-Tabla111[[#This Row],[Pagado]]</f>
        <v>0</v>
      </c>
      <c r="H979" s="153" t="s">
        <v>10</v>
      </c>
    </row>
    <row r="980" spans="1:8" x14ac:dyDescent="0.25">
      <c r="A980" s="73">
        <v>44843</v>
      </c>
      <c r="B980" s="74" t="s">
        <v>32561</v>
      </c>
      <c r="C980" s="75" t="s">
        <v>296</v>
      </c>
      <c r="D980" s="81">
        <v>2234.4</v>
      </c>
      <c r="E980" s="230">
        <v>44843</v>
      </c>
      <c r="F980" s="81">
        <v>2234.4</v>
      </c>
      <c r="G980" s="197">
        <f>Tabla111[[#This Row],[Importe]]-Tabla111[[#This Row],[Pagado]]</f>
        <v>0</v>
      </c>
      <c r="H980" s="75" t="s">
        <v>10</v>
      </c>
    </row>
    <row r="981" spans="1:8" x14ac:dyDescent="0.25">
      <c r="A981" s="148">
        <v>44843</v>
      </c>
      <c r="B981" s="149" t="s">
        <v>32562</v>
      </c>
      <c r="C981" s="153" t="s">
        <v>296</v>
      </c>
      <c r="D981" s="154">
        <v>607.6</v>
      </c>
      <c r="E981" s="231">
        <v>44843</v>
      </c>
      <c r="F981" s="154">
        <v>607.6</v>
      </c>
      <c r="G981" s="197">
        <f>Tabla111[[#This Row],[Importe]]-Tabla111[[#This Row],[Pagado]]</f>
        <v>0</v>
      </c>
      <c r="H981" s="153" t="s">
        <v>10</v>
      </c>
    </row>
    <row r="982" spans="1:8" x14ac:dyDescent="0.25">
      <c r="A982" s="73">
        <v>44843</v>
      </c>
      <c r="B982" s="74" t="s">
        <v>32563</v>
      </c>
      <c r="C982" s="75" t="s">
        <v>296</v>
      </c>
      <c r="D982" s="81">
        <v>1878.8</v>
      </c>
      <c r="E982" s="230">
        <v>44843</v>
      </c>
      <c r="F982" s="81">
        <v>1878.8</v>
      </c>
      <c r="G982" s="197">
        <f>Tabla111[[#This Row],[Importe]]-Tabla111[[#This Row],[Pagado]]</f>
        <v>0</v>
      </c>
      <c r="H982" s="75" t="s">
        <v>10</v>
      </c>
    </row>
    <row r="983" spans="1:8" x14ac:dyDescent="0.25">
      <c r="A983" s="148">
        <v>44843</v>
      </c>
      <c r="B983" s="149" t="s">
        <v>32564</v>
      </c>
      <c r="C983" s="153" t="s">
        <v>67</v>
      </c>
      <c r="D983" s="154">
        <v>1231.2</v>
      </c>
      <c r="E983" s="231">
        <v>44843</v>
      </c>
      <c r="F983" s="154">
        <v>1231.2</v>
      </c>
      <c r="G983" s="197">
        <f>Tabla111[[#This Row],[Importe]]-Tabla111[[#This Row],[Pagado]]</f>
        <v>0</v>
      </c>
      <c r="H983" s="153" t="s">
        <v>10</v>
      </c>
    </row>
    <row r="984" spans="1:8" x14ac:dyDescent="0.25">
      <c r="A984" s="73">
        <v>44844</v>
      </c>
      <c r="B984" s="74" t="s">
        <v>32565</v>
      </c>
      <c r="C984" s="75" t="s">
        <v>12</v>
      </c>
      <c r="D984" s="81">
        <v>26776.35</v>
      </c>
      <c r="E984" s="230">
        <v>44844</v>
      </c>
      <c r="F984" s="81">
        <v>26776.35</v>
      </c>
      <c r="G984" s="197">
        <f>Tabla111[[#This Row],[Importe]]-Tabla111[[#This Row],[Pagado]]</f>
        <v>0</v>
      </c>
      <c r="H984" s="75" t="s">
        <v>10</v>
      </c>
    </row>
    <row r="985" spans="1:8" x14ac:dyDescent="0.25">
      <c r="A985" s="148">
        <v>44844</v>
      </c>
      <c r="B985" s="149" t="s">
        <v>32566</v>
      </c>
      <c r="C985" s="153" t="s">
        <v>887</v>
      </c>
      <c r="D985" s="154">
        <v>17105.099999999999</v>
      </c>
      <c r="E985" s="231">
        <v>44844</v>
      </c>
      <c r="F985" s="154">
        <v>17105.099999999999</v>
      </c>
      <c r="G985" s="197">
        <f>Tabla111[[#This Row],[Importe]]-Tabla111[[#This Row],[Pagado]]</f>
        <v>0</v>
      </c>
      <c r="H985" s="153" t="s">
        <v>10</v>
      </c>
    </row>
    <row r="986" spans="1:8" x14ac:dyDescent="0.25">
      <c r="A986" s="73">
        <v>44844</v>
      </c>
      <c r="B986" s="74" t="s">
        <v>32567</v>
      </c>
      <c r="C986" s="75" t="s">
        <v>12</v>
      </c>
      <c r="D986" s="81">
        <v>2975.6</v>
      </c>
      <c r="E986" s="230">
        <v>44844</v>
      </c>
      <c r="F986" s="81">
        <v>2975.6</v>
      </c>
      <c r="G986" s="197">
        <f>Tabla111[[#This Row],[Importe]]-Tabla111[[#This Row],[Pagado]]</f>
        <v>0</v>
      </c>
      <c r="H986" s="75" t="s">
        <v>10</v>
      </c>
    </row>
    <row r="987" spans="1:8" x14ac:dyDescent="0.25">
      <c r="A987" s="148">
        <v>44844</v>
      </c>
      <c r="B987" s="149" t="s">
        <v>32568</v>
      </c>
      <c r="C987" s="153" t="s">
        <v>75</v>
      </c>
      <c r="D987" s="154">
        <v>9232.5</v>
      </c>
      <c r="E987" s="231">
        <v>44844</v>
      </c>
      <c r="F987" s="154">
        <v>9232.5</v>
      </c>
      <c r="G987" s="197">
        <f>Tabla111[[#This Row],[Importe]]-Tabla111[[#This Row],[Pagado]]</f>
        <v>0</v>
      </c>
      <c r="H987" s="153" t="s">
        <v>10</v>
      </c>
    </row>
    <row r="988" spans="1:8" x14ac:dyDescent="0.25">
      <c r="A988" s="73">
        <v>44844</v>
      </c>
      <c r="B988" s="74" t="s">
        <v>32569</v>
      </c>
      <c r="C988" s="75" t="s">
        <v>475</v>
      </c>
      <c r="D988" s="81">
        <v>109899.1</v>
      </c>
      <c r="E988" s="230">
        <v>44846</v>
      </c>
      <c r="F988" s="81">
        <v>109899.1</v>
      </c>
      <c r="G988" s="197">
        <f>Tabla111[[#This Row],[Importe]]-Tabla111[[#This Row],[Pagado]]</f>
        <v>0</v>
      </c>
      <c r="H988" s="75" t="s">
        <v>10</v>
      </c>
    </row>
    <row r="989" spans="1:8" x14ac:dyDescent="0.25">
      <c r="A989" s="148">
        <v>44844</v>
      </c>
      <c r="B989" s="149" t="s">
        <v>32570</v>
      </c>
      <c r="C989" s="153" t="s">
        <v>473</v>
      </c>
      <c r="D989" s="154">
        <v>10340.200000000001</v>
      </c>
      <c r="E989" s="231">
        <v>44844</v>
      </c>
      <c r="F989" s="154">
        <v>10340.200000000001</v>
      </c>
      <c r="G989" s="197">
        <f>Tabla111[[#This Row],[Importe]]-Tabla111[[#This Row],[Pagado]]</f>
        <v>0</v>
      </c>
      <c r="H989" s="153" t="s">
        <v>10</v>
      </c>
    </row>
    <row r="990" spans="1:8" x14ac:dyDescent="0.25">
      <c r="A990" s="73">
        <v>44844</v>
      </c>
      <c r="B990" s="74" t="s">
        <v>32571</v>
      </c>
      <c r="C990" s="75" t="s">
        <v>1187</v>
      </c>
      <c r="D990" s="81">
        <v>2127.8000000000002</v>
      </c>
      <c r="E990" s="230">
        <v>44844</v>
      </c>
      <c r="F990" s="81">
        <v>2127.8000000000002</v>
      </c>
      <c r="G990" s="197">
        <f>Tabla111[[#This Row],[Importe]]-Tabla111[[#This Row],[Pagado]]</f>
        <v>0</v>
      </c>
      <c r="H990" s="75" t="s">
        <v>10</v>
      </c>
    </row>
    <row r="991" spans="1:8" x14ac:dyDescent="0.25">
      <c r="A991" s="148">
        <v>44844</v>
      </c>
      <c r="B991" s="149" t="s">
        <v>32572</v>
      </c>
      <c r="C991" s="153" t="s">
        <v>1187</v>
      </c>
      <c r="D991" s="154">
        <v>656</v>
      </c>
      <c r="E991" s="231">
        <v>44844</v>
      </c>
      <c r="F991" s="154">
        <v>656</v>
      </c>
      <c r="G991" s="197">
        <f>Tabla111[[#This Row],[Importe]]-Tabla111[[#This Row],[Pagado]]</f>
        <v>0</v>
      </c>
      <c r="H991" s="153" t="s">
        <v>10</v>
      </c>
    </row>
    <row r="992" spans="1:8" x14ac:dyDescent="0.25">
      <c r="A992" s="73">
        <v>44844</v>
      </c>
      <c r="B992" s="74" t="s">
        <v>32573</v>
      </c>
      <c r="C992" s="75" t="s">
        <v>466</v>
      </c>
      <c r="D992" s="81">
        <v>5040</v>
      </c>
      <c r="E992" s="230">
        <v>44844</v>
      </c>
      <c r="F992" s="81">
        <v>5040</v>
      </c>
      <c r="G992" s="197">
        <f>Tabla111[[#This Row],[Importe]]-Tabla111[[#This Row],[Pagado]]</f>
        <v>0</v>
      </c>
      <c r="H992" s="75" t="s">
        <v>10</v>
      </c>
    </row>
    <row r="993" spans="1:8" x14ac:dyDescent="0.25">
      <c r="A993" s="148">
        <v>44844</v>
      </c>
      <c r="B993" s="149" t="s">
        <v>32574</v>
      </c>
      <c r="C993" s="153" t="s">
        <v>16</v>
      </c>
      <c r="D993" s="154">
        <v>5681</v>
      </c>
      <c r="E993" s="231">
        <v>44844</v>
      </c>
      <c r="F993" s="154">
        <v>5681</v>
      </c>
      <c r="G993" s="197">
        <f>Tabla111[[#This Row],[Importe]]-Tabla111[[#This Row],[Pagado]]</f>
        <v>0</v>
      </c>
      <c r="H993" s="153" t="s">
        <v>10</v>
      </c>
    </row>
    <row r="994" spans="1:8" x14ac:dyDescent="0.25">
      <c r="A994" s="73">
        <v>44844</v>
      </c>
      <c r="B994" s="74" t="s">
        <v>32575</v>
      </c>
      <c r="C994" s="75" t="s">
        <v>353</v>
      </c>
      <c r="D994" s="81">
        <v>1552.2</v>
      </c>
      <c r="E994" s="230">
        <v>44844</v>
      </c>
      <c r="F994" s="81">
        <v>1552.2</v>
      </c>
      <c r="G994" s="197">
        <f>Tabla111[[#This Row],[Importe]]-Tabla111[[#This Row],[Pagado]]</f>
        <v>0</v>
      </c>
      <c r="H994" s="75" t="s">
        <v>10</v>
      </c>
    </row>
    <row r="995" spans="1:8" x14ac:dyDescent="0.25">
      <c r="A995" s="148">
        <v>44844</v>
      </c>
      <c r="B995" s="149" t="s">
        <v>32576</v>
      </c>
      <c r="C995" s="153" t="s">
        <v>9</v>
      </c>
      <c r="D995" s="154">
        <v>8065.5</v>
      </c>
      <c r="E995" s="231">
        <v>44844</v>
      </c>
      <c r="F995" s="154">
        <v>8065.5</v>
      </c>
      <c r="G995" s="197">
        <f>Tabla111[[#This Row],[Importe]]-Tabla111[[#This Row],[Pagado]]</f>
        <v>0</v>
      </c>
      <c r="H995" s="153" t="s">
        <v>10</v>
      </c>
    </row>
    <row r="996" spans="1:8" x14ac:dyDescent="0.25">
      <c r="A996" s="73">
        <v>44844</v>
      </c>
      <c r="B996" s="74" t="s">
        <v>32577</v>
      </c>
      <c r="C996" s="75" t="s">
        <v>131</v>
      </c>
      <c r="D996" s="81">
        <v>3825.8</v>
      </c>
      <c r="E996" s="230">
        <v>44844</v>
      </c>
      <c r="F996" s="81">
        <v>3825.8</v>
      </c>
      <c r="G996" s="197">
        <f>Tabla111[[#This Row],[Importe]]-Tabla111[[#This Row],[Pagado]]</f>
        <v>0</v>
      </c>
      <c r="H996" s="75" t="s">
        <v>10</v>
      </c>
    </row>
    <row r="997" spans="1:8" x14ac:dyDescent="0.25">
      <c r="A997" s="148">
        <v>44844</v>
      </c>
      <c r="B997" s="149" t="s">
        <v>32578</v>
      </c>
      <c r="C997" s="153" t="s">
        <v>17556</v>
      </c>
      <c r="D997" s="154">
        <v>4598</v>
      </c>
      <c r="E997" s="231">
        <v>44844</v>
      </c>
      <c r="F997" s="154">
        <v>4598</v>
      </c>
      <c r="G997" s="197">
        <f>Tabla111[[#This Row],[Importe]]-Tabla111[[#This Row],[Pagado]]</f>
        <v>0</v>
      </c>
      <c r="H997" s="153" t="s">
        <v>10</v>
      </c>
    </row>
    <row r="998" spans="1:8" x14ac:dyDescent="0.25">
      <c r="A998" s="73">
        <v>44844</v>
      </c>
      <c r="B998" s="74" t="s">
        <v>32579</v>
      </c>
      <c r="C998" s="75" t="s">
        <v>312</v>
      </c>
      <c r="D998" s="81">
        <v>1636.8</v>
      </c>
      <c r="E998" s="230">
        <v>44844</v>
      </c>
      <c r="F998" s="81">
        <v>1636.8</v>
      </c>
      <c r="G998" s="197">
        <f>Tabla111[[#This Row],[Importe]]-Tabla111[[#This Row],[Pagado]]</f>
        <v>0</v>
      </c>
      <c r="H998" s="75" t="s">
        <v>10</v>
      </c>
    </row>
    <row r="999" spans="1:8" x14ac:dyDescent="0.25">
      <c r="A999" s="148">
        <v>44844</v>
      </c>
      <c r="B999" s="149" t="s">
        <v>32580</v>
      </c>
      <c r="C999" s="153" t="s">
        <v>357</v>
      </c>
      <c r="D999" s="154">
        <v>247.5</v>
      </c>
      <c r="E999" s="231">
        <v>44844</v>
      </c>
      <c r="F999" s="154">
        <v>247.5</v>
      </c>
      <c r="G999" s="197">
        <f>Tabla111[[#This Row],[Importe]]-Tabla111[[#This Row],[Pagado]]</f>
        <v>0</v>
      </c>
      <c r="H999" s="153" t="s">
        <v>10</v>
      </c>
    </row>
    <row r="1000" spans="1:8" x14ac:dyDescent="0.25">
      <c r="A1000" s="73">
        <v>44844</v>
      </c>
      <c r="B1000" s="74" t="s">
        <v>32581</v>
      </c>
      <c r="C1000" s="75" t="s">
        <v>129</v>
      </c>
      <c r="D1000" s="81">
        <v>2126</v>
      </c>
      <c r="E1000" s="230">
        <v>44844</v>
      </c>
      <c r="F1000" s="81">
        <v>2126</v>
      </c>
      <c r="G1000" s="197">
        <f>Tabla111[[#This Row],[Importe]]-Tabla111[[#This Row],[Pagado]]</f>
        <v>0</v>
      </c>
      <c r="H1000" s="75" t="s">
        <v>10</v>
      </c>
    </row>
    <row r="1001" spans="1:8" x14ac:dyDescent="0.25">
      <c r="A1001" s="148">
        <v>44844</v>
      </c>
      <c r="B1001" s="149" t="s">
        <v>32582</v>
      </c>
      <c r="C1001" s="153" t="s">
        <v>339</v>
      </c>
      <c r="D1001" s="154">
        <v>706.8</v>
      </c>
      <c r="E1001" s="231">
        <v>44844</v>
      </c>
      <c r="F1001" s="154">
        <v>706.8</v>
      </c>
      <c r="G1001" s="197">
        <f>Tabla111[[#This Row],[Importe]]-Tabla111[[#This Row],[Pagado]]</f>
        <v>0</v>
      </c>
      <c r="H1001" s="153" t="s">
        <v>10</v>
      </c>
    </row>
    <row r="1002" spans="1:8" x14ac:dyDescent="0.25">
      <c r="A1002" s="73">
        <v>44844</v>
      </c>
      <c r="B1002" s="74" t="s">
        <v>32583</v>
      </c>
      <c r="C1002" s="75" t="s">
        <v>198</v>
      </c>
      <c r="D1002" s="81">
        <v>5145.2</v>
      </c>
      <c r="E1002" s="230">
        <v>44844</v>
      </c>
      <c r="F1002" s="81">
        <v>5145.2</v>
      </c>
      <c r="G1002" s="197">
        <f>Tabla111[[#This Row],[Importe]]-Tabla111[[#This Row],[Pagado]]</f>
        <v>0</v>
      </c>
      <c r="H1002" s="75" t="s">
        <v>10</v>
      </c>
    </row>
    <row r="1003" spans="1:8" x14ac:dyDescent="0.25">
      <c r="A1003" s="148">
        <v>44844</v>
      </c>
      <c r="B1003" s="149" t="s">
        <v>32584</v>
      </c>
      <c r="C1003" s="153" t="s">
        <v>64</v>
      </c>
      <c r="D1003" s="154">
        <v>10907</v>
      </c>
      <c r="E1003" s="231">
        <v>44845</v>
      </c>
      <c r="F1003" s="154">
        <v>10907</v>
      </c>
      <c r="G1003" s="197">
        <f>Tabla111[[#This Row],[Importe]]-Tabla111[[#This Row],[Pagado]]</f>
        <v>0</v>
      </c>
      <c r="H1003" s="153" t="s">
        <v>10</v>
      </c>
    </row>
    <row r="1004" spans="1:8" x14ac:dyDescent="0.25">
      <c r="A1004" s="73">
        <v>44844</v>
      </c>
      <c r="B1004" s="74" t="s">
        <v>32585</v>
      </c>
      <c r="C1004" s="75" t="s">
        <v>109</v>
      </c>
      <c r="D1004" s="81">
        <v>5824</v>
      </c>
      <c r="E1004" s="230">
        <v>44845</v>
      </c>
      <c r="F1004" s="81">
        <v>5824</v>
      </c>
      <c r="G1004" s="197">
        <f>Tabla111[[#This Row],[Importe]]-Tabla111[[#This Row],[Pagado]]</f>
        <v>0</v>
      </c>
      <c r="H1004" s="75" t="s">
        <v>10</v>
      </c>
    </row>
    <row r="1005" spans="1:8" x14ac:dyDescent="0.25">
      <c r="A1005" s="148">
        <v>44844</v>
      </c>
      <c r="B1005" s="149" t="s">
        <v>32586</v>
      </c>
      <c r="C1005" s="153" t="s">
        <v>60</v>
      </c>
      <c r="D1005" s="154">
        <v>5447</v>
      </c>
      <c r="E1005" s="231">
        <v>44846</v>
      </c>
      <c r="F1005" s="154">
        <v>5447</v>
      </c>
      <c r="G1005" s="197">
        <f>Tabla111[[#This Row],[Importe]]-Tabla111[[#This Row],[Pagado]]</f>
        <v>0</v>
      </c>
      <c r="H1005" s="153" t="s">
        <v>10</v>
      </c>
    </row>
    <row r="1006" spans="1:8" x14ac:dyDescent="0.25">
      <c r="A1006" s="73">
        <v>44844</v>
      </c>
      <c r="B1006" s="74" t="s">
        <v>32587</v>
      </c>
      <c r="C1006" s="75" t="s">
        <v>111</v>
      </c>
      <c r="D1006" s="81">
        <v>5239</v>
      </c>
      <c r="E1006" s="230">
        <v>44845</v>
      </c>
      <c r="F1006" s="81">
        <v>5239</v>
      </c>
      <c r="G1006" s="197">
        <f>Tabla111[[#This Row],[Importe]]-Tabla111[[#This Row],[Pagado]]</f>
        <v>0</v>
      </c>
      <c r="H1006" s="75" t="s">
        <v>10</v>
      </c>
    </row>
    <row r="1007" spans="1:8" x14ac:dyDescent="0.25">
      <c r="A1007" s="148">
        <v>44844</v>
      </c>
      <c r="B1007" s="149" t="s">
        <v>32588</v>
      </c>
      <c r="C1007" s="153" t="s">
        <v>93</v>
      </c>
      <c r="D1007" s="154">
        <v>9056.4</v>
      </c>
      <c r="E1007" s="231" t="s">
        <v>32589</v>
      </c>
      <c r="F1007" s="154">
        <f>2000+7056.4</f>
        <v>9056.4</v>
      </c>
      <c r="G1007" s="197">
        <f>Tabla111[[#This Row],[Importe]]-Tabla111[[#This Row],[Pagado]]</f>
        <v>0</v>
      </c>
      <c r="H1007" s="153" t="s">
        <v>10</v>
      </c>
    </row>
    <row r="1008" spans="1:8" x14ac:dyDescent="0.25">
      <c r="A1008" s="73">
        <v>44844</v>
      </c>
      <c r="B1008" s="74" t="s">
        <v>32590</v>
      </c>
      <c r="C1008" s="75" t="s">
        <v>114</v>
      </c>
      <c r="D1008" s="81">
        <v>11899.2</v>
      </c>
      <c r="E1008" s="230">
        <v>44845</v>
      </c>
      <c r="F1008" s="81">
        <v>11899.2</v>
      </c>
      <c r="G1008" s="197">
        <f>Tabla111[[#This Row],[Importe]]-Tabla111[[#This Row],[Pagado]]</f>
        <v>0</v>
      </c>
      <c r="H1008" s="75" t="s">
        <v>10</v>
      </c>
    </row>
    <row r="1009" spans="1:8" x14ac:dyDescent="0.25">
      <c r="A1009" s="148">
        <v>44844</v>
      </c>
      <c r="B1009" s="149" t="s">
        <v>32591</v>
      </c>
      <c r="C1009" s="153" t="s">
        <v>2151</v>
      </c>
      <c r="D1009" s="154">
        <v>26038.400000000001</v>
      </c>
      <c r="E1009" s="231">
        <v>44844</v>
      </c>
      <c r="F1009" s="154">
        <v>26038.400000000001</v>
      </c>
      <c r="G1009" s="197">
        <f>Tabla111[[#This Row],[Importe]]-Tabla111[[#This Row],[Pagado]]</f>
        <v>0</v>
      </c>
      <c r="H1009" s="153" t="s">
        <v>10</v>
      </c>
    </row>
    <row r="1010" spans="1:8" x14ac:dyDescent="0.25">
      <c r="A1010" s="73">
        <v>44844</v>
      </c>
      <c r="B1010" s="74" t="s">
        <v>32592</v>
      </c>
      <c r="C1010" s="75" t="s">
        <v>39</v>
      </c>
      <c r="D1010" s="81">
        <v>12933.7</v>
      </c>
      <c r="E1010" s="230" t="s">
        <v>32593</v>
      </c>
      <c r="F1010" s="81">
        <f>2000+2000+1000+1000+2000+1500+2000+1433.7</f>
        <v>12933.7</v>
      </c>
      <c r="G1010" s="197">
        <f>Tabla111[[#This Row],[Importe]]-Tabla111[[#This Row],[Pagado]]</f>
        <v>0</v>
      </c>
      <c r="H1010" s="75" t="s">
        <v>10</v>
      </c>
    </row>
    <row r="1011" spans="1:8" x14ac:dyDescent="0.25">
      <c r="A1011" s="148">
        <v>44844</v>
      </c>
      <c r="B1011" s="149" t="s">
        <v>32594</v>
      </c>
      <c r="C1011" s="153" t="s">
        <v>105</v>
      </c>
      <c r="D1011" s="154">
        <v>9688.7999999999993</v>
      </c>
      <c r="E1011" s="231">
        <v>44845</v>
      </c>
      <c r="F1011" s="154">
        <v>9688.7999999999993</v>
      </c>
      <c r="G1011" s="197">
        <f>Tabla111[[#This Row],[Importe]]-Tabla111[[#This Row],[Pagado]]</f>
        <v>0</v>
      </c>
      <c r="H1011" s="153" t="s">
        <v>10</v>
      </c>
    </row>
    <row r="1012" spans="1:8" x14ac:dyDescent="0.25">
      <c r="A1012" s="73">
        <v>44844</v>
      </c>
      <c r="B1012" s="74" t="s">
        <v>32595</v>
      </c>
      <c r="C1012" s="75" t="s">
        <v>97</v>
      </c>
      <c r="D1012" s="81">
        <v>9813.2999999999993</v>
      </c>
      <c r="E1012" s="230">
        <v>44845</v>
      </c>
      <c r="F1012" s="81">
        <v>9813.2999999999993</v>
      </c>
      <c r="G1012" s="197">
        <f>Tabla111[[#This Row],[Importe]]-Tabla111[[#This Row],[Pagado]]</f>
        <v>0</v>
      </c>
      <c r="H1012" s="75" t="s">
        <v>10</v>
      </c>
    </row>
    <row r="1013" spans="1:8" x14ac:dyDescent="0.25">
      <c r="A1013" s="148">
        <v>44844</v>
      </c>
      <c r="B1013" s="149" t="s">
        <v>32596</v>
      </c>
      <c r="C1013" s="153" t="s">
        <v>31</v>
      </c>
      <c r="D1013" s="154">
        <v>2685</v>
      </c>
      <c r="E1013" s="231">
        <v>44844</v>
      </c>
      <c r="F1013" s="154">
        <v>2685</v>
      </c>
      <c r="G1013" s="197">
        <f>Tabla111[[#This Row],[Importe]]-Tabla111[[#This Row],[Pagado]]</f>
        <v>0</v>
      </c>
      <c r="H1013" s="153" t="s">
        <v>10</v>
      </c>
    </row>
    <row r="1014" spans="1:8" x14ac:dyDescent="0.25">
      <c r="A1014" s="73">
        <v>44844</v>
      </c>
      <c r="B1014" s="74" t="s">
        <v>32597</v>
      </c>
      <c r="C1014" s="75" t="s">
        <v>22</v>
      </c>
      <c r="D1014" s="81">
        <v>69913</v>
      </c>
      <c r="E1014" s="230" t="s">
        <v>32598</v>
      </c>
      <c r="F1014" s="81">
        <f>16000+53913</f>
        <v>69913</v>
      </c>
      <c r="G1014" s="197">
        <f>Tabla111[[#This Row],[Importe]]-Tabla111[[#This Row],[Pagado]]</f>
        <v>0</v>
      </c>
      <c r="H1014" s="75" t="s">
        <v>10</v>
      </c>
    </row>
    <row r="1015" spans="1:8" x14ac:dyDescent="0.25">
      <c r="A1015" s="148">
        <v>44844</v>
      </c>
      <c r="B1015" s="149" t="s">
        <v>32599</v>
      </c>
      <c r="C1015" s="153" t="s">
        <v>30029</v>
      </c>
      <c r="D1015" s="154">
        <v>2621.6</v>
      </c>
      <c r="E1015" s="231">
        <v>44845</v>
      </c>
      <c r="F1015" s="154">
        <v>2621.6</v>
      </c>
      <c r="G1015" s="197">
        <f>Tabla111[[#This Row],[Importe]]-Tabla111[[#This Row],[Pagado]]</f>
        <v>0</v>
      </c>
      <c r="H1015" s="153" t="s">
        <v>10</v>
      </c>
    </row>
    <row r="1016" spans="1:8" x14ac:dyDescent="0.25">
      <c r="A1016" s="73">
        <v>44844</v>
      </c>
      <c r="B1016" s="74" t="s">
        <v>32600</v>
      </c>
      <c r="C1016" s="75" t="s">
        <v>89</v>
      </c>
      <c r="D1016" s="81">
        <v>7951.8</v>
      </c>
      <c r="E1016" s="230">
        <v>44845</v>
      </c>
      <c r="F1016" s="81">
        <v>7951.8</v>
      </c>
      <c r="G1016" s="197">
        <f>Tabla111[[#This Row],[Importe]]-Tabla111[[#This Row],[Pagado]]</f>
        <v>0</v>
      </c>
      <c r="H1016" s="75" t="s">
        <v>10</v>
      </c>
    </row>
    <row r="1017" spans="1:8" x14ac:dyDescent="0.25">
      <c r="A1017" s="148">
        <v>44844</v>
      </c>
      <c r="B1017" s="149" t="s">
        <v>32601</v>
      </c>
      <c r="C1017" s="153" t="s">
        <v>348</v>
      </c>
      <c r="D1017" s="154">
        <v>4987.2</v>
      </c>
      <c r="E1017" s="231">
        <v>44844</v>
      </c>
      <c r="F1017" s="154">
        <v>4987.2</v>
      </c>
      <c r="G1017" s="197">
        <f>Tabla111[[#This Row],[Importe]]-Tabla111[[#This Row],[Pagado]]</f>
        <v>0</v>
      </c>
      <c r="H1017" s="153" t="s">
        <v>10</v>
      </c>
    </row>
    <row r="1018" spans="1:8" x14ac:dyDescent="0.25">
      <c r="A1018" s="73">
        <v>44844</v>
      </c>
      <c r="B1018" s="74" t="s">
        <v>32602</v>
      </c>
      <c r="C1018" s="75" t="s">
        <v>345</v>
      </c>
      <c r="D1018" s="81">
        <v>1447.5</v>
      </c>
      <c r="E1018" s="230">
        <v>44844</v>
      </c>
      <c r="F1018" s="81">
        <v>1447.5</v>
      </c>
      <c r="G1018" s="197">
        <f>Tabla111[[#This Row],[Importe]]-Tabla111[[#This Row],[Pagado]]</f>
        <v>0</v>
      </c>
      <c r="H1018" s="75" t="s">
        <v>10</v>
      </c>
    </row>
    <row r="1019" spans="1:8" x14ac:dyDescent="0.25">
      <c r="A1019" s="148">
        <v>44844</v>
      </c>
      <c r="B1019" s="149" t="s">
        <v>32603</v>
      </c>
      <c r="C1019" s="153" t="s">
        <v>142</v>
      </c>
      <c r="D1019" s="154">
        <v>56609.8</v>
      </c>
      <c r="E1019" s="231">
        <v>44881</v>
      </c>
      <c r="F1019" s="154">
        <v>56609.8</v>
      </c>
      <c r="G1019" s="197">
        <f>Tabla111[[#This Row],[Importe]]-Tabla111[[#This Row],[Pagado]]</f>
        <v>0</v>
      </c>
      <c r="H1019" s="153" t="s">
        <v>10</v>
      </c>
    </row>
    <row r="1020" spans="1:8" x14ac:dyDescent="0.25">
      <c r="A1020" s="73">
        <v>44844</v>
      </c>
      <c r="B1020" s="74" t="s">
        <v>32604</v>
      </c>
      <c r="C1020" s="75" t="s">
        <v>142</v>
      </c>
      <c r="D1020" s="81">
        <v>11900.34</v>
      </c>
      <c r="E1020" s="230">
        <v>44881</v>
      </c>
      <c r="F1020" s="81">
        <v>11900.34</v>
      </c>
      <c r="G1020" s="197">
        <f>Tabla111[[#This Row],[Importe]]-Tabla111[[#This Row],[Pagado]]</f>
        <v>0</v>
      </c>
      <c r="H1020" s="75" t="s">
        <v>10</v>
      </c>
    </row>
    <row r="1021" spans="1:8" x14ac:dyDescent="0.25">
      <c r="A1021" s="148">
        <v>44844</v>
      </c>
      <c r="B1021" s="149" t="s">
        <v>32605</v>
      </c>
      <c r="C1021" s="153" t="s">
        <v>53</v>
      </c>
      <c r="D1021" s="154">
        <v>2340.8000000000002</v>
      </c>
      <c r="E1021" s="231">
        <v>44844</v>
      </c>
      <c r="F1021" s="154">
        <v>2340.8000000000002</v>
      </c>
      <c r="G1021" s="197">
        <f>Tabla111[[#This Row],[Importe]]-Tabla111[[#This Row],[Pagado]]</f>
        <v>0</v>
      </c>
      <c r="H1021" s="153" t="s">
        <v>10</v>
      </c>
    </row>
    <row r="1022" spans="1:8" x14ac:dyDescent="0.25">
      <c r="A1022" s="73">
        <v>44844</v>
      </c>
      <c r="B1022" s="74" t="s">
        <v>32606</v>
      </c>
      <c r="C1022" s="75" t="s">
        <v>142</v>
      </c>
      <c r="D1022" s="81">
        <v>4077.4</v>
      </c>
      <c r="E1022" s="230">
        <v>44881</v>
      </c>
      <c r="F1022" s="81">
        <v>4077.4</v>
      </c>
      <c r="G1022" s="197">
        <f>Tabla111[[#This Row],[Importe]]-Tabla111[[#This Row],[Pagado]]</f>
        <v>0</v>
      </c>
      <c r="H1022" s="75" t="s">
        <v>10</v>
      </c>
    </row>
    <row r="1023" spans="1:8" x14ac:dyDescent="0.25">
      <c r="A1023" s="148">
        <v>44844</v>
      </c>
      <c r="B1023" s="149" t="s">
        <v>32607</v>
      </c>
      <c r="C1023" s="153" t="s">
        <v>140</v>
      </c>
      <c r="D1023" s="154">
        <v>4508.2</v>
      </c>
      <c r="E1023" s="231">
        <v>44844</v>
      </c>
      <c r="F1023" s="154">
        <v>4508.2</v>
      </c>
      <c r="G1023" s="197">
        <f>Tabla111[[#This Row],[Importe]]-Tabla111[[#This Row],[Pagado]]</f>
        <v>0</v>
      </c>
      <c r="H1023" s="153" t="s">
        <v>10</v>
      </c>
    </row>
    <row r="1024" spans="1:8" x14ac:dyDescent="0.25">
      <c r="A1024" s="73">
        <v>44844</v>
      </c>
      <c r="B1024" s="74" t="s">
        <v>32608</v>
      </c>
      <c r="C1024" s="75" t="s">
        <v>127</v>
      </c>
      <c r="D1024" s="81">
        <v>5502.4</v>
      </c>
      <c r="E1024" s="230">
        <v>44844</v>
      </c>
      <c r="F1024" s="81">
        <v>5502.4</v>
      </c>
      <c r="G1024" s="197">
        <f>Tabla111[[#This Row],[Importe]]-Tabla111[[#This Row],[Pagado]]</f>
        <v>0</v>
      </c>
      <c r="H1024" s="75" t="s">
        <v>10</v>
      </c>
    </row>
    <row r="1025" spans="1:8" x14ac:dyDescent="0.25">
      <c r="A1025" s="148">
        <v>44844</v>
      </c>
      <c r="B1025" s="149" t="s">
        <v>32609</v>
      </c>
      <c r="C1025" s="153" t="s">
        <v>196</v>
      </c>
      <c r="D1025" s="154">
        <v>74545.56</v>
      </c>
      <c r="E1025" s="231">
        <v>44848</v>
      </c>
      <c r="F1025" s="154">
        <v>74545.56</v>
      </c>
      <c r="G1025" s="197">
        <f>Tabla111[[#This Row],[Importe]]-Tabla111[[#This Row],[Pagado]]</f>
        <v>0</v>
      </c>
      <c r="H1025" s="153" t="s">
        <v>10</v>
      </c>
    </row>
    <row r="1026" spans="1:8" x14ac:dyDescent="0.25">
      <c r="A1026" s="73">
        <v>44844</v>
      </c>
      <c r="B1026" s="74" t="s">
        <v>32610</v>
      </c>
      <c r="C1026" s="75" t="s">
        <v>58</v>
      </c>
      <c r="D1026" s="81">
        <v>2146</v>
      </c>
      <c r="E1026" s="230">
        <v>44844</v>
      </c>
      <c r="F1026" s="81">
        <v>2146</v>
      </c>
      <c r="G1026" s="197">
        <f>Tabla111[[#This Row],[Importe]]-Tabla111[[#This Row],[Pagado]]</f>
        <v>0</v>
      </c>
      <c r="H1026" s="75" t="s">
        <v>10</v>
      </c>
    </row>
    <row r="1027" spans="1:8" x14ac:dyDescent="0.25">
      <c r="A1027" s="148">
        <v>44844</v>
      </c>
      <c r="B1027" s="149" t="s">
        <v>32611</v>
      </c>
      <c r="C1027" s="153" t="s">
        <v>196</v>
      </c>
      <c r="D1027" s="154">
        <v>49280</v>
      </c>
      <c r="E1027" s="231">
        <v>44848</v>
      </c>
      <c r="F1027" s="154">
        <v>49280</v>
      </c>
      <c r="G1027" s="197">
        <f>Tabla111[[#This Row],[Importe]]-Tabla111[[#This Row],[Pagado]]</f>
        <v>0</v>
      </c>
      <c r="H1027" s="153" t="s">
        <v>10</v>
      </c>
    </row>
    <row r="1028" spans="1:8" x14ac:dyDescent="0.25">
      <c r="A1028" s="73">
        <v>44844</v>
      </c>
      <c r="B1028" s="74" t="s">
        <v>32612</v>
      </c>
      <c r="C1028" s="75" t="s">
        <v>83</v>
      </c>
      <c r="D1028" s="81">
        <v>8642.2000000000007</v>
      </c>
      <c r="E1028" s="230">
        <v>44844</v>
      </c>
      <c r="F1028" s="81">
        <v>8642.2000000000007</v>
      </c>
      <c r="G1028" s="197">
        <f>Tabla111[[#This Row],[Importe]]-Tabla111[[#This Row],[Pagado]]</f>
        <v>0</v>
      </c>
      <c r="H1028" s="75" t="s">
        <v>10</v>
      </c>
    </row>
    <row r="1029" spans="1:8" x14ac:dyDescent="0.25">
      <c r="A1029" s="148">
        <v>44844</v>
      </c>
      <c r="B1029" s="149" t="s">
        <v>32613</v>
      </c>
      <c r="C1029" s="153" t="s">
        <v>196</v>
      </c>
      <c r="D1029" s="154">
        <v>2773.4</v>
      </c>
      <c r="E1029" s="231">
        <v>44848</v>
      </c>
      <c r="F1029" s="154">
        <v>2773.4</v>
      </c>
      <c r="G1029" s="197">
        <f>Tabla111[[#This Row],[Importe]]-Tabla111[[#This Row],[Pagado]]</f>
        <v>0</v>
      </c>
      <c r="H1029" s="153" t="s">
        <v>10</v>
      </c>
    </row>
    <row r="1030" spans="1:8" x14ac:dyDescent="0.25">
      <c r="A1030" s="73">
        <v>44844</v>
      </c>
      <c r="B1030" s="74" t="s">
        <v>32614</v>
      </c>
      <c r="C1030" s="75" t="s">
        <v>348</v>
      </c>
      <c r="D1030" s="81">
        <v>4373.2</v>
      </c>
      <c r="E1030" s="230">
        <v>44844</v>
      </c>
      <c r="F1030" s="81">
        <v>4373.2</v>
      </c>
      <c r="G1030" s="197">
        <f>Tabla111[[#This Row],[Importe]]-Tabla111[[#This Row],[Pagado]]</f>
        <v>0</v>
      </c>
      <c r="H1030" s="75" t="s">
        <v>10</v>
      </c>
    </row>
    <row r="1031" spans="1:8" x14ac:dyDescent="0.25">
      <c r="A1031" s="148">
        <v>44844</v>
      </c>
      <c r="B1031" s="149" t="s">
        <v>32615</v>
      </c>
      <c r="C1031" s="153" t="s">
        <v>670</v>
      </c>
      <c r="D1031" s="154">
        <v>3975</v>
      </c>
      <c r="E1031" s="231">
        <v>44844</v>
      </c>
      <c r="F1031" s="154">
        <v>3975</v>
      </c>
      <c r="G1031" s="197">
        <f>Tabla111[[#This Row],[Importe]]-Tabla111[[#This Row],[Pagado]]</f>
        <v>0</v>
      </c>
      <c r="H1031" s="153" t="s">
        <v>10</v>
      </c>
    </row>
    <row r="1032" spans="1:8" x14ac:dyDescent="0.25">
      <c r="A1032" s="73">
        <v>44844</v>
      </c>
      <c r="B1032" s="74" t="s">
        <v>32616</v>
      </c>
      <c r="C1032" s="75" t="s">
        <v>87</v>
      </c>
      <c r="D1032" s="81">
        <v>3001.2</v>
      </c>
      <c r="E1032" s="230">
        <v>44844</v>
      </c>
      <c r="F1032" s="81">
        <v>3001.2</v>
      </c>
      <c r="G1032" s="197">
        <f>Tabla111[[#This Row],[Importe]]-Tabla111[[#This Row],[Pagado]]</f>
        <v>0</v>
      </c>
      <c r="H1032" s="75" t="s">
        <v>10</v>
      </c>
    </row>
    <row r="1033" spans="1:8" x14ac:dyDescent="0.25">
      <c r="A1033" s="148">
        <v>44844</v>
      </c>
      <c r="B1033" s="149" t="s">
        <v>32617</v>
      </c>
      <c r="C1033" s="153" t="s">
        <v>314</v>
      </c>
      <c r="D1033" s="154">
        <v>2614.5</v>
      </c>
      <c r="E1033" s="231">
        <v>44844</v>
      </c>
      <c r="F1033" s="154">
        <v>2614.5</v>
      </c>
      <c r="G1033" s="197">
        <f>Tabla111[[#This Row],[Importe]]-Tabla111[[#This Row],[Pagado]]</f>
        <v>0</v>
      </c>
      <c r="H1033" s="153" t="s">
        <v>10</v>
      </c>
    </row>
    <row r="1034" spans="1:8" x14ac:dyDescent="0.25">
      <c r="A1034" s="73">
        <v>44844</v>
      </c>
      <c r="B1034" s="74" t="s">
        <v>32618</v>
      </c>
      <c r="C1034" s="75" t="s">
        <v>45</v>
      </c>
      <c r="D1034" s="81">
        <v>13114.8</v>
      </c>
      <c r="E1034" s="230">
        <v>44844</v>
      </c>
      <c r="F1034" s="81">
        <v>13114.8</v>
      </c>
      <c r="G1034" s="197">
        <f>Tabla111[[#This Row],[Importe]]-Tabla111[[#This Row],[Pagado]]</f>
        <v>0</v>
      </c>
      <c r="H1034" s="75" t="s">
        <v>10</v>
      </c>
    </row>
    <row r="1035" spans="1:8" x14ac:dyDescent="0.25">
      <c r="A1035" s="148">
        <v>44844</v>
      </c>
      <c r="B1035" s="149" t="s">
        <v>32619</v>
      </c>
      <c r="C1035" s="153" t="s">
        <v>27</v>
      </c>
      <c r="D1035" s="154">
        <v>2176.9</v>
      </c>
      <c r="E1035" s="231">
        <v>44844</v>
      </c>
      <c r="F1035" s="154">
        <v>2176.9</v>
      </c>
      <c r="G1035" s="197">
        <f>Tabla111[[#This Row],[Importe]]-Tabla111[[#This Row],[Pagado]]</f>
        <v>0</v>
      </c>
      <c r="H1035" s="153" t="s">
        <v>10</v>
      </c>
    </row>
    <row r="1036" spans="1:8" x14ac:dyDescent="0.25">
      <c r="A1036" s="73">
        <v>44844</v>
      </c>
      <c r="B1036" s="74" t="s">
        <v>32620</v>
      </c>
      <c r="C1036" s="75" t="s">
        <v>214</v>
      </c>
      <c r="D1036" s="81">
        <v>1230</v>
      </c>
      <c r="E1036" s="230">
        <v>44844</v>
      </c>
      <c r="F1036" s="81">
        <v>1230</v>
      </c>
      <c r="G1036" s="197">
        <f>Tabla111[[#This Row],[Importe]]-Tabla111[[#This Row],[Pagado]]</f>
        <v>0</v>
      </c>
      <c r="H1036" s="75" t="s">
        <v>10</v>
      </c>
    </row>
    <row r="1037" spans="1:8" x14ac:dyDescent="0.25">
      <c r="A1037" s="148">
        <v>44844</v>
      </c>
      <c r="B1037" s="149" t="s">
        <v>32621</v>
      </c>
      <c r="C1037" s="153" t="s">
        <v>79</v>
      </c>
      <c r="D1037" s="154">
        <v>12305.6</v>
      </c>
      <c r="E1037" s="231">
        <v>44844</v>
      </c>
      <c r="F1037" s="154">
        <v>12305.6</v>
      </c>
      <c r="G1037" s="197">
        <f>Tabla111[[#This Row],[Importe]]-Tabla111[[#This Row],[Pagado]]</f>
        <v>0</v>
      </c>
      <c r="H1037" s="153" t="s">
        <v>10</v>
      </c>
    </row>
    <row r="1038" spans="1:8" x14ac:dyDescent="0.25">
      <c r="A1038" s="73">
        <v>44844</v>
      </c>
      <c r="B1038" s="74" t="s">
        <v>32622</v>
      </c>
      <c r="C1038" s="75" t="s">
        <v>154</v>
      </c>
      <c r="D1038" s="81">
        <v>23092.799999999999</v>
      </c>
      <c r="E1038" s="230">
        <v>44847</v>
      </c>
      <c r="F1038" s="81">
        <v>23092.799999999999</v>
      </c>
      <c r="G1038" s="197">
        <f>Tabla111[[#This Row],[Importe]]-Tabla111[[#This Row],[Pagado]]</f>
        <v>0</v>
      </c>
      <c r="H1038" s="75" t="s">
        <v>10</v>
      </c>
    </row>
    <row r="1039" spans="1:8" x14ac:dyDescent="0.25">
      <c r="A1039" s="148">
        <v>44844</v>
      </c>
      <c r="B1039" s="149" t="s">
        <v>32623</v>
      </c>
      <c r="C1039" s="153" t="s">
        <v>206</v>
      </c>
      <c r="D1039" s="154">
        <v>20465.5</v>
      </c>
      <c r="E1039" s="231">
        <v>44846</v>
      </c>
      <c r="F1039" s="154">
        <v>20465.5</v>
      </c>
      <c r="G1039" s="197">
        <f>Tabla111[[#This Row],[Importe]]-Tabla111[[#This Row],[Pagado]]</f>
        <v>0</v>
      </c>
      <c r="H1039" s="153" t="s">
        <v>10</v>
      </c>
    </row>
    <row r="1040" spans="1:8" x14ac:dyDescent="0.25">
      <c r="A1040" s="73">
        <v>44844</v>
      </c>
      <c r="B1040" s="74" t="s">
        <v>32624</v>
      </c>
      <c r="C1040" s="75" t="s">
        <v>218</v>
      </c>
      <c r="D1040" s="81">
        <v>18060</v>
      </c>
      <c r="E1040" s="230">
        <v>44846</v>
      </c>
      <c r="F1040" s="81">
        <v>18060</v>
      </c>
      <c r="G1040" s="197">
        <f>Tabla111[[#This Row],[Importe]]-Tabla111[[#This Row],[Pagado]]</f>
        <v>0</v>
      </c>
      <c r="H1040" s="75" t="s">
        <v>10</v>
      </c>
    </row>
    <row r="1041" spans="1:8" x14ac:dyDescent="0.25">
      <c r="A1041" s="148">
        <v>44844</v>
      </c>
      <c r="B1041" s="149" t="s">
        <v>32625</v>
      </c>
      <c r="C1041" s="153" t="s">
        <v>212</v>
      </c>
      <c r="D1041" s="154">
        <v>64981</v>
      </c>
      <c r="E1041" s="231">
        <v>44847</v>
      </c>
      <c r="F1041" s="154">
        <v>64981</v>
      </c>
      <c r="G1041" s="197">
        <f>Tabla111[[#This Row],[Importe]]-Tabla111[[#This Row],[Pagado]]</f>
        <v>0</v>
      </c>
      <c r="H1041" s="153" t="s">
        <v>10</v>
      </c>
    </row>
    <row r="1042" spans="1:8" x14ac:dyDescent="0.25">
      <c r="A1042" s="73">
        <v>44844</v>
      </c>
      <c r="B1042" s="74" t="s">
        <v>32626</v>
      </c>
      <c r="C1042" s="75" t="s">
        <v>208</v>
      </c>
      <c r="D1042" s="81">
        <v>20647.5</v>
      </c>
      <c r="E1042" s="230">
        <v>44845</v>
      </c>
      <c r="F1042" s="81">
        <v>20647.5</v>
      </c>
      <c r="G1042" s="197">
        <f>Tabla111[[#This Row],[Importe]]-Tabla111[[#This Row],[Pagado]]</f>
        <v>0</v>
      </c>
      <c r="H1042" s="75" t="s">
        <v>10</v>
      </c>
    </row>
    <row r="1043" spans="1:8" x14ac:dyDescent="0.25">
      <c r="A1043" s="148">
        <v>44844</v>
      </c>
      <c r="B1043" s="149" t="s">
        <v>32627</v>
      </c>
      <c r="C1043" s="153" t="s">
        <v>562</v>
      </c>
      <c r="D1043" s="154">
        <v>3938</v>
      </c>
      <c r="E1043" s="231">
        <v>44844</v>
      </c>
      <c r="F1043" s="154">
        <v>3938</v>
      </c>
      <c r="G1043" s="197">
        <f>Tabla111[[#This Row],[Importe]]-Tabla111[[#This Row],[Pagado]]</f>
        <v>0</v>
      </c>
      <c r="H1043" s="153" t="s">
        <v>10</v>
      </c>
    </row>
    <row r="1044" spans="1:8" x14ac:dyDescent="0.25">
      <c r="A1044" s="73">
        <v>44844</v>
      </c>
      <c r="B1044" s="74" t="s">
        <v>32628</v>
      </c>
      <c r="C1044" s="75" t="s">
        <v>31</v>
      </c>
      <c r="D1044" s="81">
        <v>4905.8</v>
      </c>
      <c r="E1044" s="230">
        <v>44844</v>
      </c>
      <c r="F1044" s="81">
        <v>4905.8</v>
      </c>
      <c r="G1044" s="197">
        <f>Tabla111[[#This Row],[Importe]]-Tabla111[[#This Row],[Pagado]]</f>
        <v>0</v>
      </c>
      <c r="H1044" s="75" t="s">
        <v>10</v>
      </c>
    </row>
    <row r="1045" spans="1:8" x14ac:dyDescent="0.25">
      <c r="A1045" s="148">
        <v>44844</v>
      </c>
      <c r="B1045" s="149" t="s">
        <v>32629</v>
      </c>
      <c r="C1045" s="153" t="s">
        <v>222</v>
      </c>
      <c r="D1045" s="154">
        <v>11050.2</v>
      </c>
      <c r="E1045" s="231">
        <v>44844</v>
      </c>
      <c r="F1045" s="154">
        <v>11050.2</v>
      </c>
      <c r="G1045" s="197">
        <f>Tabla111[[#This Row],[Importe]]-Tabla111[[#This Row],[Pagado]]</f>
        <v>0</v>
      </c>
      <c r="H1045" s="153" t="s">
        <v>10</v>
      </c>
    </row>
    <row r="1046" spans="1:8" x14ac:dyDescent="0.25">
      <c r="A1046" s="73">
        <v>44844</v>
      </c>
      <c r="B1046" s="74" t="s">
        <v>32630</v>
      </c>
      <c r="C1046" s="75" t="s">
        <v>289</v>
      </c>
      <c r="D1046" s="81">
        <v>14430</v>
      </c>
      <c r="E1046" s="230">
        <v>44844</v>
      </c>
      <c r="F1046" s="81">
        <v>14430</v>
      </c>
      <c r="G1046" s="197">
        <f>Tabla111[[#This Row],[Importe]]-Tabla111[[#This Row],[Pagado]]</f>
        <v>0</v>
      </c>
      <c r="H1046" s="75" t="s">
        <v>10</v>
      </c>
    </row>
    <row r="1047" spans="1:8" x14ac:dyDescent="0.25">
      <c r="A1047" s="148">
        <v>44844</v>
      </c>
      <c r="B1047" s="149" t="s">
        <v>32631</v>
      </c>
      <c r="C1047" s="153" t="s">
        <v>296</v>
      </c>
      <c r="D1047" s="154">
        <v>5050.2</v>
      </c>
      <c r="E1047" s="231">
        <v>44844</v>
      </c>
      <c r="F1047" s="154">
        <v>5050.2</v>
      </c>
      <c r="G1047" s="197">
        <f>Tabla111[[#This Row],[Importe]]-Tabla111[[#This Row],[Pagado]]</f>
        <v>0</v>
      </c>
      <c r="H1047" s="153" t="s">
        <v>10</v>
      </c>
    </row>
    <row r="1048" spans="1:8" x14ac:dyDescent="0.25">
      <c r="A1048" s="73">
        <v>44844</v>
      </c>
      <c r="B1048" s="74" t="s">
        <v>32632</v>
      </c>
      <c r="C1048" s="75" t="s">
        <v>24</v>
      </c>
      <c r="D1048" s="81">
        <v>911.2</v>
      </c>
      <c r="E1048" s="230">
        <v>44844</v>
      </c>
      <c r="F1048" s="81">
        <v>911.2</v>
      </c>
      <c r="G1048" s="197">
        <f>Tabla111[[#This Row],[Importe]]-Tabla111[[#This Row],[Pagado]]</f>
        <v>0</v>
      </c>
      <c r="H1048" s="75" t="s">
        <v>10</v>
      </c>
    </row>
    <row r="1049" spans="1:8" x14ac:dyDescent="0.25">
      <c r="A1049" s="148">
        <v>44844</v>
      </c>
      <c r="B1049" s="149" t="s">
        <v>32633</v>
      </c>
      <c r="C1049" s="153" t="s">
        <v>1421</v>
      </c>
      <c r="D1049" s="154">
        <v>33000</v>
      </c>
      <c r="E1049" s="231">
        <v>44844</v>
      </c>
      <c r="F1049" s="154">
        <v>33000</v>
      </c>
      <c r="G1049" s="197">
        <f>Tabla111[[#This Row],[Importe]]-Tabla111[[#This Row],[Pagado]]</f>
        <v>0</v>
      </c>
      <c r="H1049" s="153" t="s">
        <v>10</v>
      </c>
    </row>
    <row r="1050" spans="1:8" x14ac:dyDescent="0.25">
      <c r="A1050" s="73">
        <v>44844</v>
      </c>
      <c r="B1050" s="74" t="s">
        <v>32634</v>
      </c>
      <c r="C1050" s="75" t="s">
        <v>31</v>
      </c>
      <c r="D1050" s="81">
        <v>5975.5</v>
      </c>
      <c r="E1050" s="230">
        <v>44844</v>
      </c>
      <c r="F1050" s="81">
        <v>5975.5</v>
      </c>
      <c r="G1050" s="197">
        <f>Tabla111[[#This Row],[Importe]]-Tabla111[[#This Row],[Pagado]]</f>
        <v>0</v>
      </c>
      <c r="H1050" s="75" t="s">
        <v>10</v>
      </c>
    </row>
    <row r="1051" spans="1:8" x14ac:dyDescent="0.25">
      <c r="A1051" s="148">
        <v>44844</v>
      </c>
      <c r="B1051" s="149" t="s">
        <v>32635</v>
      </c>
      <c r="C1051" s="153" t="s">
        <v>214</v>
      </c>
      <c r="D1051" s="154">
        <v>2415</v>
      </c>
      <c r="E1051" s="231">
        <v>44844</v>
      </c>
      <c r="F1051" s="154">
        <v>2415</v>
      </c>
      <c r="G1051" s="197">
        <f>Tabla111[[#This Row],[Importe]]-Tabla111[[#This Row],[Pagado]]</f>
        <v>0</v>
      </c>
      <c r="H1051" s="153" t="s">
        <v>10</v>
      </c>
    </row>
    <row r="1052" spans="1:8" x14ac:dyDescent="0.25">
      <c r="A1052" s="73">
        <v>44844</v>
      </c>
      <c r="B1052" s="74" t="s">
        <v>32636</v>
      </c>
      <c r="C1052" s="75" t="s">
        <v>31</v>
      </c>
      <c r="D1052" s="81">
        <v>1198.5</v>
      </c>
      <c r="E1052" s="230">
        <v>44844</v>
      </c>
      <c r="F1052" s="81">
        <v>1198.5</v>
      </c>
      <c r="G1052" s="197">
        <f>Tabla111[[#This Row],[Importe]]-Tabla111[[#This Row],[Pagado]]</f>
        <v>0</v>
      </c>
      <c r="H1052" s="75" t="s">
        <v>10</v>
      </c>
    </row>
    <row r="1053" spans="1:8" x14ac:dyDescent="0.25">
      <c r="A1053" s="148">
        <v>44844</v>
      </c>
      <c r="B1053" s="149" t="s">
        <v>32637</v>
      </c>
      <c r="C1053" s="153" t="s">
        <v>71</v>
      </c>
      <c r="D1053" s="154">
        <v>5145</v>
      </c>
      <c r="E1053" s="231">
        <v>44844</v>
      </c>
      <c r="F1053" s="154">
        <v>5145</v>
      </c>
      <c r="G1053" s="197">
        <f>Tabla111[[#This Row],[Importe]]-Tabla111[[#This Row],[Pagado]]</f>
        <v>0</v>
      </c>
      <c r="H1053" s="153" t="s">
        <v>10</v>
      </c>
    </row>
    <row r="1054" spans="1:8" x14ac:dyDescent="0.25">
      <c r="A1054" s="73">
        <v>44844</v>
      </c>
      <c r="B1054" s="74" t="s">
        <v>32638</v>
      </c>
      <c r="C1054" s="75" t="s">
        <v>518</v>
      </c>
      <c r="D1054" s="81">
        <v>2474.8000000000002</v>
      </c>
      <c r="E1054" s="230">
        <v>44844</v>
      </c>
      <c r="F1054" s="81">
        <v>2474.8000000000002</v>
      </c>
      <c r="G1054" s="197">
        <f>Tabla111[[#This Row],[Importe]]-Tabla111[[#This Row],[Pagado]]</f>
        <v>0</v>
      </c>
      <c r="H1054" s="75" t="s">
        <v>10</v>
      </c>
    </row>
    <row r="1055" spans="1:8" x14ac:dyDescent="0.25">
      <c r="A1055" s="148">
        <v>44844</v>
      </c>
      <c r="B1055" s="149" t="s">
        <v>32639</v>
      </c>
      <c r="C1055" s="153" t="s">
        <v>12</v>
      </c>
      <c r="D1055" s="154">
        <v>14930.4</v>
      </c>
      <c r="E1055" s="231">
        <v>44844</v>
      </c>
      <c r="F1055" s="154">
        <v>14930.4</v>
      </c>
      <c r="G1055" s="197">
        <f>Tabla111[[#This Row],[Importe]]-Tabla111[[#This Row],[Pagado]]</f>
        <v>0</v>
      </c>
      <c r="H1055" s="153" t="s">
        <v>10</v>
      </c>
    </row>
    <row r="1056" spans="1:8" x14ac:dyDescent="0.25">
      <c r="A1056" s="73">
        <v>44844</v>
      </c>
      <c r="B1056" s="74" t="s">
        <v>32640</v>
      </c>
      <c r="C1056" s="75" t="s">
        <v>240</v>
      </c>
      <c r="D1056" s="81">
        <v>11375.2</v>
      </c>
      <c r="E1056" s="230">
        <v>44844</v>
      </c>
      <c r="F1056" s="81">
        <v>11375.2</v>
      </c>
      <c r="G1056" s="197">
        <f>Tabla111[[#This Row],[Importe]]-Tabla111[[#This Row],[Pagado]]</f>
        <v>0</v>
      </c>
      <c r="H1056" s="75" t="s">
        <v>10</v>
      </c>
    </row>
    <row r="1057" spans="1:8" x14ac:dyDescent="0.25">
      <c r="A1057" s="148">
        <v>44844</v>
      </c>
      <c r="B1057" s="149" t="s">
        <v>32641</v>
      </c>
      <c r="C1057" s="153" t="s">
        <v>56</v>
      </c>
      <c r="D1057" s="154">
        <v>6800.1</v>
      </c>
      <c r="E1057" s="231">
        <v>44844</v>
      </c>
      <c r="F1057" s="154">
        <v>6800.1</v>
      </c>
      <c r="G1057" s="197">
        <f>Tabla111[[#This Row],[Importe]]-Tabla111[[#This Row],[Pagado]]</f>
        <v>0</v>
      </c>
      <c r="H1057" s="153" t="s">
        <v>10</v>
      </c>
    </row>
    <row r="1058" spans="1:8" x14ac:dyDescent="0.25">
      <c r="A1058" s="73">
        <v>44844</v>
      </c>
      <c r="B1058" s="74" t="s">
        <v>32642</v>
      </c>
      <c r="C1058" s="75" t="s">
        <v>244</v>
      </c>
      <c r="D1058" s="81">
        <v>1064</v>
      </c>
      <c r="E1058" s="230">
        <v>44844</v>
      </c>
      <c r="F1058" s="81">
        <v>1064</v>
      </c>
      <c r="G1058" s="197">
        <f>Tabla111[[#This Row],[Importe]]-Tabla111[[#This Row],[Pagado]]</f>
        <v>0</v>
      </c>
      <c r="H1058" s="75" t="s">
        <v>10</v>
      </c>
    </row>
    <row r="1059" spans="1:8" x14ac:dyDescent="0.25">
      <c r="A1059" s="148">
        <v>44844</v>
      </c>
      <c r="B1059" s="149" t="s">
        <v>32643</v>
      </c>
      <c r="C1059" s="153" t="s">
        <v>25679</v>
      </c>
      <c r="D1059" s="154">
        <v>0</v>
      </c>
      <c r="E1059" s="233" t="s">
        <v>189</v>
      </c>
      <c r="F1059" s="154">
        <v>0</v>
      </c>
      <c r="G1059" s="197">
        <f>Tabla111[[#This Row],[Importe]]-Tabla111[[#This Row],[Pagado]]</f>
        <v>0</v>
      </c>
      <c r="H1059" s="153" t="s">
        <v>189</v>
      </c>
    </row>
    <row r="1060" spans="1:8" x14ac:dyDescent="0.25">
      <c r="A1060" s="73">
        <v>44844</v>
      </c>
      <c r="B1060" s="74" t="s">
        <v>32644</v>
      </c>
      <c r="C1060" s="75" t="s">
        <v>135</v>
      </c>
      <c r="D1060" s="81">
        <v>1487.9</v>
      </c>
      <c r="E1060" s="230">
        <v>44844</v>
      </c>
      <c r="F1060" s="81">
        <v>1487.9</v>
      </c>
      <c r="G1060" s="197">
        <f>Tabla111[[#This Row],[Importe]]-Tabla111[[#This Row],[Pagado]]</f>
        <v>0</v>
      </c>
      <c r="H1060" s="75" t="s">
        <v>10</v>
      </c>
    </row>
    <row r="1061" spans="1:8" x14ac:dyDescent="0.25">
      <c r="A1061" s="148">
        <v>44844</v>
      </c>
      <c r="B1061" s="149" t="s">
        <v>32645</v>
      </c>
      <c r="C1061" s="153" t="s">
        <v>224</v>
      </c>
      <c r="D1061" s="154">
        <v>15871.4</v>
      </c>
      <c r="E1061" s="231">
        <v>44865</v>
      </c>
      <c r="F1061" s="154">
        <v>15871.4</v>
      </c>
      <c r="G1061" s="197">
        <f>Tabla111[[#This Row],[Importe]]-Tabla111[[#This Row],[Pagado]]</f>
        <v>0</v>
      </c>
      <c r="H1061" s="153" t="s">
        <v>10</v>
      </c>
    </row>
    <row r="1062" spans="1:8" x14ac:dyDescent="0.25">
      <c r="A1062" s="73">
        <v>44844</v>
      </c>
      <c r="B1062" s="74" t="s">
        <v>32646</v>
      </c>
      <c r="C1062" s="75" t="s">
        <v>133</v>
      </c>
      <c r="D1062" s="81">
        <v>11415</v>
      </c>
      <c r="E1062" s="230">
        <v>44845</v>
      </c>
      <c r="F1062" s="81">
        <v>11415</v>
      </c>
      <c r="G1062" s="197">
        <f>Tabla111[[#This Row],[Importe]]-Tabla111[[#This Row],[Pagado]]</f>
        <v>0</v>
      </c>
      <c r="H1062" s="75" t="s">
        <v>10</v>
      </c>
    </row>
    <row r="1063" spans="1:8" x14ac:dyDescent="0.25">
      <c r="A1063" s="148">
        <v>44844</v>
      </c>
      <c r="B1063" s="149" t="s">
        <v>32647</v>
      </c>
      <c r="C1063" s="153" t="s">
        <v>1644</v>
      </c>
      <c r="D1063" s="154">
        <v>18093</v>
      </c>
      <c r="E1063" s="231">
        <v>44845</v>
      </c>
      <c r="F1063" s="154">
        <v>18093</v>
      </c>
      <c r="G1063" s="197">
        <f>Tabla111[[#This Row],[Importe]]-Tabla111[[#This Row],[Pagado]]</f>
        <v>0</v>
      </c>
      <c r="H1063" s="153" t="s">
        <v>10</v>
      </c>
    </row>
    <row r="1064" spans="1:8" x14ac:dyDescent="0.25">
      <c r="A1064" s="73">
        <v>44844</v>
      </c>
      <c r="B1064" s="74" t="s">
        <v>32648</v>
      </c>
      <c r="C1064" s="75" t="s">
        <v>173</v>
      </c>
      <c r="D1064" s="81">
        <v>39310</v>
      </c>
      <c r="E1064" s="230">
        <v>44845</v>
      </c>
      <c r="F1064" s="81">
        <v>39310</v>
      </c>
      <c r="G1064" s="197">
        <f>Tabla111[[#This Row],[Importe]]-Tabla111[[#This Row],[Pagado]]</f>
        <v>0</v>
      </c>
      <c r="H1064" s="75" t="s">
        <v>10</v>
      </c>
    </row>
    <row r="1065" spans="1:8" x14ac:dyDescent="0.25">
      <c r="A1065" s="148">
        <v>44844</v>
      </c>
      <c r="B1065" s="149" t="s">
        <v>32649</v>
      </c>
      <c r="C1065" s="153" t="s">
        <v>592</v>
      </c>
      <c r="D1065" s="154">
        <v>47979</v>
      </c>
      <c r="E1065" s="231">
        <v>44856</v>
      </c>
      <c r="F1065" s="154">
        <v>47979</v>
      </c>
      <c r="G1065" s="197">
        <f>Tabla111[[#This Row],[Importe]]-Tabla111[[#This Row],[Pagado]]</f>
        <v>0</v>
      </c>
      <c r="H1065" s="153" t="s">
        <v>10</v>
      </c>
    </row>
    <row r="1066" spans="1:8" x14ac:dyDescent="0.25">
      <c r="A1066" s="73">
        <v>44844</v>
      </c>
      <c r="B1066" s="74" t="s">
        <v>32650</v>
      </c>
      <c r="C1066" s="75" t="s">
        <v>31</v>
      </c>
      <c r="D1066" s="81">
        <v>577.5</v>
      </c>
      <c r="E1066" s="230">
        <v>44844</v>
      </c>
      <c r="F1066" s="81">
        <v>577.5</v>
      </c>
      <c r="G1066" s="197">
        <f>Tabla111[[#This Row],[Importe]]-Tabla111[[#This Row],[Pagado]]</f>
        <v>0</v>
      </c>
      <c r="H1066" s="75" t="s">
        <v>10</v>
      </c>
    </row>
    <row r="1067" spans="1:8" x14ac:dyDescent="0.25">
      <c r="A1067" s="148">
        <v>44844</v>
      </c>
      <c r="B1067" s="149" t="s">
        <v>32651</v>
      </c>
      <c r="C1067" s="153" t="s">
        <v>419</v>
      </c>
      <c r="D1067" s="154">
        <v>7679.4</v>
      </c>
      <c r="E1067" s="231">
        <v>44844</v>
      </c>
      <c r="F1067" s="154">
        <v>7679.4</v>
      </c>
      <c r="G1067" s="197">
        <f>Tabla111[[#This Row],[Importe]]-Tabla111[[#This Row],[Pagado]]</f>
        <v>0</v>
      </c>
      <c r="H1067" s="153" t="s">
        <v>10</v>
      </c>
    </row>
    <row r="1068" spans="1:8" x14ac:dyDescent="0.25">
      <c r="A1068" s="73">
        <v>44844</v>
      </c>
      <c r="B1068" s="74" t="s">
        <v>32652</v>
      </c>
      <c r="C1068" s="75" t="s">
        <v>2139</v>
      </c>
      <c r="D1068" s="81">
        <v>943.5</v>
      </c>
      <c r="E1068" s="230">
        <v>44844</v>
      </c>
      <c r="F1068" s="81">
        <v>943.5</v>
      </c>
      <c r="G1068" s="197">
        <f>Tabla111[[#This Row],[Importe]]-Tabla111[[#This Row],[Pagado]]</f>
        <v>0</v>
      </c>
      <c r="H1068" s="75" t="s">
        <v>10</v>
      </c>
    </row>
    <row r="1069" spans="1:8" x14ac:dyDescent="0.25">
      <c r="A1069" s="148">
        <v>44844</v>
      </c>
      <c r="B1069" s="149" t="s">
        <v>32653</v>
      </c>
      <c r="C1069" s="153" t="s">
        <v>450</v>
      </c>
      <c r="D1069" s="154">
        <v>8951.4</v>
      </c>
      <c r="E1069" s="231">
        <v>44844</v>
      </c>
      <c r="F1069" s="154">
        <v>8951.4</v>
      </c>
      <c r="G1069" s="197">
        <f>Tabla111[[#This Row],[Importe]]-Tabla111[[#This Row],[Pagado]]</f>
        <v>0</v>
      </c>
      <c r="H1069" s="153" t="s">
        <v>10</v>
      </c>
    </row>
    <row r="1070" spans="1:8" x14ac:dyDescent="0.25">
      <c r="A1070" s="73">
        <v>44844</v>
      </c>
      <c r="B1070" s="74" t="s">
        <v>32654</v>
      </c>
      <c r="C1070" s="75" t="s">
        <v>107</v>
      </c>
      <c r="D1070" s="81">
        <v>10850.4</v>
      </c>
      <c r="E1070" s="230">
        <v>44844</v>
      </c>
      <c r="F1070" s="81">
        <v>10850.4</v>
      </c>
      <c r="G1070" s="197">
        <f>Tabla111[[#This Row],[Importe]]-Tabla111[[#This Row],[Pagado]]</f>
        <v>0</v>
      </c>
      <c r="H1070" s="75" t="s">
        <v>10</v>
      </c>
    </row>
    <row r="1071" spans="1:8" x14ac:dyDescent="0.25">
      <c r="A1071" s="148">
        <v>44844</v>
      </c>
      <c r="B1071" s="149" t="s">
        <v>32655</v>
      </c>
      <c r="C1071" s="153" t="s">
        <v>1350</v>
      </c>
      <c r="D1071" s="154">
        <v>1624.2</v>
      </c>
      <c r="E1071" s="231">
        <v>44844</v>
      </c>
      <c r="F1071" s="154">
        <v>1624.2</v>
      </c>
      <c r="G1071" s="197">
        <f>Tabla111[[#This Row],[Importe]]-Tabla111[[#This Row],[Pagado]]</f>
        <v>0</v>
      </c>
      <c r="H1071" s="153" t="s">
        <v>10</v>
      </c>
    </row>
    <row r="1072" spans="1:8" x14ac:dyDescent="0.25">
      <c r="A1072" s="73">
        <v>44844</v>
      </c>
      <c r="B1072" s="74" t="s">
        <v>32656</v>
      </c>
      <c r="C1072" s="75" t="s">
        <v>28087</v>
      </c>
      <c r="D1072" s="81">
        <v>127410.99</v>
      </c>
      <c r="E1072" s="230" t="s">
        <v>32524</v>
      </c>
      <c r="F1072" s="81">
        <f>18798.89+108612.1</f>
        <v>127410.99</v>
      </c>
      <c r="G1072" s="197">
        <f>Tabla111[[#This Row],[Importe]]-Tabla111[[#This Row],[Pagado]]</f>
        <v>0</v>
      </c>
      <c r="H1072" s="75" t="s">
        <v>10</v>
      </c>
    </row>
    <row r="1073" spans="1:8" x14ac:dyDescent="0.25">
      <c r="A1073" s="148">
        <v>44844</v>
      </c>
      <c r="B1073" s="149" t="s">
        <v>32657</v>
      </c>
      <c r="C1073" s="153" t="s">
        <v>9827</v>
      </c>
      <c r="D1073" s="154">
        <v>3870</v>
      </c>
      <c r="E1073" s="231">
        <v>44844</v>
      </c>
      <c r="F1073" s="154">
        <v>3870</v>
      </c>
      <c r="G1073" s="197">
        <f>Tabla111[[#This Row],[Importe]]-Tabla111[[#This Row],[Pagado]]</f>
        <v>0</v>
      </c>
      <c r="H1073" s="153" t="s">
        <v>10</v>
      </c>
    </row>
    <row r="1074" spans="1:8" x14ac:dyDescent="0.25">
      <c r="A1074" s="73">
        <v>44844</v>
      </c>
      <c r="B1074" s="74" t="s">
        <v>32658</v>
      </c>
      <c r="C1074" s="75" t="s">
        <v>698</v>
      </c>
      <c r="D1074" s="81">
        <v>7948.8</v>
      </c>
      <c r="E1074" s="230">
        <v>44844</v>
      </c>
      <c r="F1074" s="81">
        <v>7948.8</v>
      </c>
      <c r="G1074" s="197">
        <f>Tabla111[[#This Row],[Importe]]-Tabla111[[#This Row],[Pagado]]</f>
        <v>0</v>
      </c>
      <c r="H1074" s="75" t="s">
        <v>10</v>
      </c>
    </row>
    <row r="1075" spans="1:8" x14ac:dyDescent="0.25">
      <c r="A1075" s="148">
        <v>44844</v>
      </c>
      <c r="B1075" s="149" t="s">
        <v>32659</v>
      </c>
      <c r="C1075" s="153" t="s">
        <v>994</v>
      </c>
      <c r="D1075" s="154">
        <v>1215</v>
      </c>
      <c r="E1075" s="231">
        <v>44844</v>
      </c>
      <c r="F1075" s="154">
        <v>1215</v>
      </c>
      <c r="G1075" s="197">
        <f>Tabla111[[#This Row],[Importe]]-Tabla111[[#This Row],[Pagado]]</f>
        <v>0</v>
      </c>
      <c r="H1075" s="153" t="s">
        <v>10</v>
      </c>
    </row>
    <row r="1076" spans="1:8" x14ac:dyDescent="0.25">
      <c r="A1076" s="73">
        <v>44844</v>
      </c>
      <c r="B1076" s="74" t="s">
        <v>32660</v>
      </c>
      <c r="C1076" s="75" t="s">
        <v>440</v>
      </c>
      <c r="D1076" s="81">
        <v>13274.92</v>
      </c>
      <c r="E1076" s="230">
        <v>44856</v>
      </c>
      <c r="F1076" s="81">
        <v>13274.92</v>
      </c>
      <c r="G1076" s="197">
        <f>Tabla111[[#This Row],[Importe]]-Tabla111[[#This Row],[Pagado]]</f>
        <v>0</v>
      </c>
      <c r="H1076" s="75" t="s">
        <v>10</v>
      </c>
    </row>
    <row r="1077" spans="1:8" x14ac:dyDescent="0.25">
      <c r="A1077" s="148">
        <v>44844</v>
      </c>
      <c r="B1077" s="149" t="s">
        <v>32661</v>
      </c>
      <c r="C1077" s="153" t="s">
        <v>10819</v>
      </c>
      <c r="D1077" s="154">
        <v>1350</v>
      </c>
      <c r="E1077" s="231">
        <v>44845</v>
      </c>
      <c r="F1077" s="154">
        <v>1350</v>
      </c>
      <c r="G1077" s="197">
        <f>Tabla111[[#This Row],[Importe]]-Tabla111[[#This Row],[Pagado]]</f>
        <v>0</v>
      </c>
      <c r="H1077" s="153" t="s">
        <v>10</v>
      </c>
    </row>
    <row r="1078" spans="1:8" x14ac:dyDescent="0.25">
      <c r="A1078" s="73">
        <v>44844</v>
      </c>
      <c r="B1078" s="74" t="s">
        <v>32662</v>
      </c>
      <c r="C1078" s="75" t="s">
        <v>5345</v>
      </c>
      <c r="D1078" s="81">
        <v>3262.5</v>
      </c>
      <c r="E1078" s="230">
        <v>44845</v>
      </c>
      <c r="F1078" s="81">
        <v>3262.5</v>
      </c>
      <c r="G1078" s="197">
        <f>Tabla111[[#This Row],[Importe]]-Tabla111[[#This Row],[Pagado]]</f>
        <v>0</v>
      </c>
      <c r="H1078" s="75" t="s">
        <v>10</v>
      </c>
    </row>
    <row r="1079" spans="1:8" x14ac:dyDescent="0.25">
      <c r="A1079" s="148">
        <v>44844</v>
      </c>
      <c r="B1079" s="149" t="s">
        <v>32663</v>
      </c>
      <c r="C1079" s="153" t="s">
        <v>426</v>
      </c>
      <c r="D1079" s="154">
        <v>5713</v>
      </c>
      <c r="E1079" s="231">
        <v>44845</v>
      </c>
      <c r="F1079" s="154">
        <v>5713</v>
      </c>
      <c r="G1079" s="197">
        <f>Tabla111[[#This Row],[Importe]]-Tabla111[[#This Row],[Pagado]]</f>
        <v>0</v>
      </c>
      <c r="H1079" s="153" t="s">
        <v>10</v>
      </c>
    </row>
    <row r="1080" spans="1:8" x14ac:dyDescent="0.25">
      <c r="A1080" s="73">
        <v>44844</v>
      </c>
      <c r="B1080" s="74" t="s">
        <v>32664</v>
      </c>
      <c r="C1080" s="75" t="s">
        <v>175</v>
      </c>
      <c r="D1080" s="81">
        <v>13397</v>
      </c>
      <c r="E1080" s="230">
        <v>44845</v>
      </c>
      <c r="F1080" s="81">
        <v>13397</v>
      </c>
      <c r="G1080" s="197">
        <f>Tabla111[[#This Row],[Importe]]-Tabla111[[#This Row],[Pagado]]</f>
        <v>0</v>
      </c>
      <c r="H1080" s="75" t="s">
        <v>10</v>
      </c>
    </row>
    <row r="1081" spans="1:8" x14ac:dyDescent="0.25">
      <c r="A1081" s="148">
        <v>44844</v>
      </c>
      <c r="B1081" s="149" t="s">
        <v>32665</v>
      </c>
      <c r="C1081" s="153" t="s">
        <v>16975</v>
      </c>
      <c r="D1081" s="154">
        <v>0</v>
      </c>
      <c r="E1081" s="233" t="s">
        <v>189</v>
      </c>
      <c r="F1081" s="154">
        <v>0</v>
      </c>
      <c r="G1081" s="197">
        <f>Tabla111[[#This Row],[Importe]]-Tabla111[[#This Row],[Pagado]]</f>
        <v>0</v>
      </c>
      <c r="H1081" s="153" t="s">
        <v>189</v>
      </c>
    </row>
    <row r="1082" spans="1:8" x14ac:dyDescent="0.25">
      <c r="A1082" s="73">
        <v>44844</v>
      </c>
      <c r="B1082" s="74" t="s">
        <v>32666</v>
      </c>
      <c r="C1082" s="75" t="s">
        <v>181</v>
      </c>
      <c r="D1082" s="81">
        <v>11005.6</v>
      </c>
      <c r="E1082" s="230">
        <v>44845</v>
      </c>
      <c r="F1082" s="81">
        <v>11005.6</v>
      </c>
      <c r="G1082" s="197">
        <f>Tabla111[[#This Row],[Importe]]-Tabla111[[#This Row],[Pagado]]</f>
        <v>0</v>
      </c>
      <c r="H1082" s="75" t="s">
        <v>10</v>
      </c>
    </row>
    <row r="1083" spans="1:8" x14ac:dyDescent="0.25">
      <c r="A1083" s="148">
        <v>44844</v>
      </c>
      <c r="B1083" s="149" t="s">
        <v>32667</v>
      </c>
      <c r="C1083" s="153" t="s">
        <v>612</v>
      </c>
      <c r="D1083" s="154">
        <v>884.4</v>
      </c>
      <c r="E1083" s="231">
        <v>44844</v>
      </c>
      <c r="F1083" s="154">
        <v>884.4</v>
      </c>
      <c r="G1083" s="197">
        <f>Tabla111[[#This Row],[Importe]]-Tabla111[[#This Row],[Pagado]]</f>
        <v>0</v>
      </c>
      <c r="H1083" s="153" t="s">
        <v>10</v>
      </c>
    </row>
    <row r="1084" spans="1:8" x14ac:dyDescent="0.25">
      <c r="A1084" s="73">
        <v>44844</v>
      </c>
      <c r="B1084" s="74" t="s">
        <v>32668</v>
      </c>
      <c r="C1084" s="75" t="s">
        <v>67</v>
      </c>
      <c r="D1084" s="81">
        <v>2850</v>
      </c>
      <c r="E1084" s="230">
        <v>44844</v>
      </c>
      <c r="F1084" s="81">
        <v>2850</v>
      </c>
      <c r="G1084" s="197">
        <f>Tabla111[[#This Row],[Importe]]-Tabla111[[#This Row],[Pagado]]</f>
        <v>0</v>
      </c>
      <c r="H1084" s="75" t="s">
        <v>10</v>
      </c>
    </row>
    <row r="1085" spans="1:8" x14ac:dyDescent="0.25">
      <c r="A1085" s="148">
        <v>44844</v>
      </c>
      <c r="B1085" s="149" t="s">
        <v>32669</v>
      </c>
      <c r="C1085" s="153" t="s">
        <v>31</v>
      </c>
      <c r="D1085" s="154">
        <v>240</v>
      </c>
      <c r="E1085" s="231">
        <v>44844</v>
      </c>
      <c r="F1085" s="154">
        <v>240</v>
      </c>
      <c r="G1085" s="197">
        <f>Tabla111[[#This Row],[Importe]]-Tabla111[[#This Row],[Pagado]]</f>
        <v>0</v>
      </c>
      <c r="H1085" s="153" t="s">
        <v>10</v>
      </c>
    </row>
    <row r="1086" spans="1:8" x14ac:dyDescent="0.25">
      <c r="A1086" s="73">
        <v>44844</v>
      </c>
      <c r="B1086" s="74" t="s">
        <v>32670</v>
      </c>
      <c r="C1086" s="75" t="s">
        <v>142</v>
      </c>
      <c r="D1086" s="81">
        <v>34319.599999999999</v>
      </c>
      <c r="E1086" s="230">
        <v>44881</v>
      </c>
      <c r="F1086" s="81">
        <v>34319.599999999999</v>
      </c>
      <c r="G1086" s="197">
        <f>Tabla111[[#This Row],[Importe]]-Tabla111[[#This Row],[Pagado]]</f>
        <v>0</v>
      </c>
      <c r="H1086" s="75" t="s">
        <v>10</v>
      </c>
    </row>
    <row r="1087" spans="1:8" x14ac:dyDescent="0.25">
      <c r="A1087" s="148">
        <v>44844</v>
      </c>
      <c r="B1087" s="149" t="s">
        <v>32671</v>
      </c>
      <c r="C1087" s="153" t="s">
        <v>31</v>
      </c>
      <c r="D1087" s="154">
        <v>4751.2</v>
      </c>
      <c r="E1087" s="231">
        <v>44844</v>
      </c>
      <c r="F1087" s="154">
        <v>4751.2</v>
      </c>
      <c r="G1087" s="197">
        <f>Tabla111[[#This Row],[Importe]]-Tabla111[[#This Row],[Pagado]]</f>
        <v>0</v>
      </c>
      <c r="H1087" s="153" t="s">
        <v>10</v>
      </c>
    </row>
    <row r="1088" spans="1:8" x14ac:dyDescent="0.25">
      <c r="A1088" s="73">
        <v>44844</v>
      </c>
      <c r="B1088" s="74" t="s">
        <v>32672</v>
      </c>
      <c r="C1088" s="75" t="s">
        <v>31</v>
      </c>
      <c r="D1088" s="81">
        <v>60800</v>
      </c>
      <c r="E1088" s="230">
        <v>44844</v>
      </c>
      <c r="F1088" s="81">
        <v>60800</v>
      </c>
      <c r="G1088" s="197">
        <f>Tabla111[[#This Row],[Importe]]-Tabla111[[#This Row],[Pagado]]</f>
        <v>0</v>
      </c>
      <c r="H1088" s="75" t="s">
        <v>10</v>
      </c>
    </row>
    <row r="1089" spans="1:8" x14ac:dyDescent="0.25">
      <c r="A1089" s="148">
        <v>44844</v>
      </c>
      <c r="B1089" s="149" t="s">
        <v>32673</v>
      </c>
      <c r="C1089" s="153" t="s">
        <v>618</v>
      </c>
      <c r="D1089" s="154">
        <v>6463.6</v>
      </c>
      <c r="E1089" s="231">
        <v>44844</v>
      </c>
      <c r="F1089" s="154">
        <v>6463.6</v>
      </c>
      <c r="G1089" s="197">
        <f>Tabla111[[#This Row],[Importe]]-Tabla111[[#This Row],[Pagado]]</f>
        <v>0</v>
      </c>
      <c r="H1089" s="153" t="s">
        <v>10</v>
      </c>
    </row>
    <row r="1090" spans="1:8" x14ac:dyDescent="0.25">
      <c r="A1090" s="73">
        <v>44844</v>
      </c>
      <c r="B1090" s="74" t="s">
        <v>32674</v>
      </c>
      <c r="C1090" s="75" t="s">
        <v>5694</v>
      </c>
      <c r="D1090" s="81">
        <v>5709.6</v>
      </c>
      <c r="E1090" s="230">
        <v>44844</v>
      </c>
      <c r="F1090" s="81">
        <v>5709.6</v>
      </c>
      <c r="G1090" s="197">
        <f>Tabla111[[#This Row],[Importe]]-Tabla111[[#This Row],[Pagado]]</f>
        <v>0</v>
      </c>
      <c r="H1090" s="75" t="s">
        <v>10</v>
      </c>
    </row>
    <row r="1091" spans="1:8" x14ac:dyDescent="0.25">
      <c r="A1091" s="148">
        <v>44844</v>
      </c>
      <c r="B1091" s="149" t="s">
        <v>32675</v>
      </c>
      <c r="C1091" s="153" t="s">
        <v>32676</v>
      </c>
      <c r="D1091" s="154">
        <v>0</v>
      </c>
      <c r="E1091" s="233" t="s">
        <v>189</v>
      </c>
      <c r="F1091" s="154">
        <v>0</v>
      </c>
      <c r="G1091" s="197">
        <f>Tabla111[[#This Row],[Importe]]-Tabla111[[#This Row],[Pagado]]</f>
        <v>0</v>
      </c>
      <c r="H1091" s="153" t="s">
        <v>189</v>
      </c>
    </row>
    <row r="1092" spans="1:8" x14ac:dyDescent="0.25">
      <c r="A1092" s="73">
        <v>44844</v>
      </c>
      <c r="B1092" s="74" t="s">
        <v>32677</v>
      </c>
      <c r="C1092" s="75" t="s">
        <v>32678</v>
      </c>
      <c r="D1092" s="81">
        <v>0</v>
      </c>
      <c r="E1092" s="232" t="s">
        <v>189</v>
      </c>
      <c r="F1092" s="81">
        <v>0</v>
      </c>
      <c r="G1092" s="197">
        <f>Tabla111[[#This Row],[Importe]]-Tabla111[[#This Row],[Pagado]]</f>
        <v>0</v>
      </c>
      <c r="H1092" s="75" t="s">
        <v>189</v>
      </c>
    </row>
    <row r="1093" spans="1:8" x14ac:dyDescent="0.25">
      <c r="A1093" s="148">
        <v>44844</v>
      </c>
      <c r="B1093" s="149" t="s">
        <v>32679</v>
      </c>
      <c r="C1093" s="153" t="s">
        <v>296</v>
      </c>
      <c r="D1093" s="154">
        <v>2789.2</v>
      </c>
      <c r="E1093" s="231">
        <v>44844</v>
      </c>
      <c r="F1093" s="154">
        <v>2789.2</v>
      </c>
      <c r="G1093" s="197">
        <f>Tabla111[[#This Row],[Importe]]-Tabla111[[#This Row],[Pagado]]</f>
        <v>0</v>
      </c>
      <c r="H1093" s="153" t="s">
        <v>10</v>
      </c>
    </row>
    <row r="1094" spans="1:8" x14ac:dyDescent="0.25">
      <c r="A1094" s="73">
        <v>44844</v>
      </c>
      <c r="B1094" s="74" t="s">
        <v>32680</v>
      </c>
      <c r="C1094" s="75" t="s">
        <v>612</v>
      </c>
      <c r="D1094" s="81">
        <v>2306.6</v>
      </c>
      <c r="E1094" s="230">
        <v>44845</v>
      </c>
      <c r="F1094" s="81">
        <f>1200+1106.6</f>
        <v>2306.6</v>
      </c>
      <c r="G1094" s="197">
        <f>Tabla111[[#This Row],[Importe]]-Tabla111[[#This Row],[Pagado]]</f>
        <v>0</v>
      </c>
      <c r="H1094" s="75" t="s">
        <v>10</v>
      </c>
    </row>
    <row r="1095" spans="1:8" x14ac:dyDescent="0.25">
      <c r="A1095" s="148">
        <v>44844</v>
      </c>
      <c r="B1095" s="149" t="s">
        <v>32681</v>
      </c>
      <c r="C1095" s="153" t="s">
        <v>53</v>
      </c>
      <c r="D1095" s="154">
        <v>2378.8000000000002</v>
      </c>
      <c r="E1095" s="231">
        <v>44844</v>
      </c>
      <c r="F1095" s="154">
        <v>2378.8000000000002</v>
      </c>
      <c r="G1095" s="197">
        <f>Tabla111[[#This Row],[Importe]]-Tabla111[[#This Row],[Pagado]]</f>
        <v>0</v>
      </c>
      <c r="H1095" s="153" t="s">
        <v>10</v>
      </c>
    </row>
    <row r="1096" spans="1:8" x14ac:dyDescent="0.25">
      <c r="A1096" s="73">
        <v>44844</v>
      </c>
      <c r="B1096" s="74" t="s">
        <v>32682</v>
      </c>
      <c r="C1096" s="75" t="s">
        <v>8190</v>
      </c>
      <c r="D1096" s="81">
        <v>4772.3999999999996</v>
      </c>
      <c r="E1096" s="230">
        <v>44844</v>
      </c>
      <c r="F1096" s="81">
        <v>4772.3999999999996</v>
      </c>
      <c r="G1096" s="197">
        <f>Tabla111[[#This Row],[Importe]]-Tabla111[[#This Row],[Pagado]]</f>
        <v>0</v>
      </c>
      <c r="H1096" s="75" t="s">
        <v>10</v>
      </c>
    </row>
    <row r="1097" spans="1:8" x14ac:dyDescent="0.25">
      <c r="A1097" s="148">
        <v>44844</v>
      </c>
      <c r="B1097" s="149" t="s">
        <v>32683</v>
      </c>
      <c r="C1097" s="153" t="s">
        <v>1362</v>
      </c>
      <c r="D1097" s="154">
        <v>4961</v>
      </c>
      <c r="E1097" s="231">
        <v>44845</v>
      </c>
      <c r="F1097" s="154">
        <v>4961</v>
      </c>
      <c r="G1097" s="197">
        <f>Tabla111[[#This Row],[Importe]]-Tabla111[[#This Row],[Pagado]]</f>
        <v>0</v>
      </c>
      <c r="H1097" s="153" t="s">
        <v>10</v>
      </c>
    </row>
    <row r="1098" spans="1:8" x14ac:dyDescent="0.25">
      <c r="A1098" s="73">
        <v>44844</v>
      </c>
      <c r="B1098" s="74" t="s">
        <v>32684</v>
      </c>
      <c r="C1098" s="75" t="s">
        <v>32685</v>
      </c>
      <c r="D1098" s="81">
        <v>0</v>
      </c>
      <c r="E1098" s="232" t="s">
        <v>189</v>
      </c>
      <c r="F1098" s="81">
        <v>0</v>
      </c>
      <c r="G1098" s="197">
        <f>Tabla111[[#This Row],[Importe]]-Tabla111[[#This Row],[Pagado]]</f>
        <v>0</v>
      </c>
      <c r="H1098" s="75" t="s">
        <v>189</v>
      </c>
    </row>
    <row r="1099" spans="1:8" x14ac:dyDescent="0.25">
      <c r="A1099" s="148">
        <v>44844</v>
      </c>
      <c r="B1099" s="149" t="s">
        <v>32686</v>
      </c>
      <c r="C1099" s="153" t="s">
        <v>10840</v>
      </c>
      <c r="D1099" s="154">
        <v>45614.2</v>
      </c>
      <c r="E1099" s="231" t="s">
        <v>32687</v>
      </c>
      <c r="F1099" s="154">
        <f>25200+20414.2</f>
        <v>45614.2</v>
      </c>
      <c r="G1099" s="197">
        <f>Tabla111[[#This Row],[Importe]]-Tabla111[[#This Row],[Pagado]]</f>
        <v>0</v>
      </c>
      <c r="H1099" s="153" t="s">
        <v>10</v>
      </c>
    </row>
    <row r="1100" spans="1:8" x14ac:dyDescent="0.25">
      <c r="A1100" s="73">
        <v>44844</v>
      </c>
      <c r="B1100" s="74" t="s">
        <v>32688</v>
      </c>
      <c r="C1100" s="75" t="s">
        <v>291</v>
      </c>
      <c r="D1100" s="81">
        <v>5675</v>
      </c>
      <c r="E1100" s="230">
        <v>44845</v>
      </c>
      <c r="F1100" s="81">
        <v>5675</v>
      </c>
      <c r="G1100" s="197">
        <f>Tabla111[[#This Row],[Importe]]-Tabla111[[#This Row],[Pagado]]</f>
        <v>0</v>
      </c>
      <c r="H1100" s="75" t="s">
        <v>10</v>
      </c>
    </row>
    <row r="1101" spans="1:8" x14ac:dyDescent="0.25">
      <c r="A1101" s="148">
        <v>44844</v>
      </c>
      <c r="B1101" s="149" t="s">
        <v>32689</v>
      </c>
      <c r="C1101" s="153" t="s">
        <v>214</v>
      </c>
      <c r="D1101" s="154">
        <v>11369.1</v>
      </c>
      <c r="E1101" s="231">
        <v>44845</v>
      </c>
      <c r="F1101" s="154">
        <v>11369.1</v>
      </c>
      <c r="G1101" s="197">
        <f>Tabla111[[#This Row],[Importe]]-Tabla111[[#This Row],[Pagado]]</f>
        <v>0</v>
      </c>
      <c r="H1101" s="153" t="s">
        <v>10</v>
      </c>
    </row>
    <row r="1102" spans="1:8" x14ac:dyDescent="0.25">
      <c r="A1102" s="73">
        <v>44844</v>
      </c>
      <c r="B1102" s="74" t="s">
        <v>32690</v>
      </c>
      <c r="C1102" s="75" t="s">
        <v>414</v>
      </c>
      <c r="D1102" s="81">
        <v>2650</v>
      </c>
      <c r="E1102" s="230">
        <v>44845</v>
      </c>
      <c r="F1102" s="81">
        <v>2650</v>
      </c>
      <c r="G1102" s="197">
        <f>Tabla111[[#This Row],[Importe]]-Tabla111[[#This Row],[Pagado]]</f>
        <v>0</v>
      </c>
      <c r="H1102" s="75" t="s">
        <v>10</v>
      </c>
    </row>
    <row r="1103" spans="1:8" x14ac:dyDescent="0.25">
      <c r="A1103" s="148">
        <v>44844</v>
      </c>
      <c r="B1103" s="149" t="s">
        <v>32691</v>
      </c>
      <c r="C1103" s="153" t="s">
        <v>28087</v>
      </c>
      <c r="D1103" s="154">
        <v>51312.800000000003</v>
      </c>
      <c r="E1103" s="231" t="s">
        <v>32692</v>
      </c>
      <c r="F1103" s="154">
        <f>49358.9+1953.9</f>
        <v>51312.800000000003</v>
      </c>
      <c r="G1103" s="197">
        <f>Tabla111[[#This Row],[Importe]]-Tabla111[[#This Row],[Pagado]]</f>
        <v>0</v>
      </c>
      <c r="H1103" s="153" t="s">
        <v>10</v>
      </c>
    </row>
    <row r="1104" spans="1:8" x14ac:dyDescent="0.25">
      <c r="A1104" s="73">
        <v>44844</v>
      </c>
      <c r="B1104" s="74" t="s">
        <v>32693</v>
      </c>
      <c r="C1104" s="75" t="s">
        <v>10678</v>
      </c>
      <c r="D1104" s="81">
        <v>4796.3999999999996</v>
      </c>
      <c r="E1104" s="230">
        <v>44845</v>
      </c>
      <c r="F1104" s="81">
        <v>4796.3999999999996</v>
      </c>
      <c r="G1104" s="197">
        <f>Tabla111[[#This Row],[Importe]]-Tabla111[[#This Row],[Pagado]]</f>
        <v>0</v>
      </c>
      <c r="H1104" s="75" t="s">
        <v>10</v>
      </c>
    </row>
    <row r="1105" spans="1:8" x14ac:dyDescent="0.25">
      <c r="A1105" s="148">
        <v>44845</v>
      </c>
      <c r="B1105" s="149" t="s">
        <v>32694</v>
      </c>
      <c r="C1105" s="153" t="s">
        <v>887</v>
      </c>
      <c r="D1105" s="154">
        <v>16783.5</v>
      </c>
      <c r="E1105" s="231">
        <v>44846</v>
      </c>
      <c r="F1105" s="154">
        <v>16783.5</v>
      </c>
      <c r="G1105" s="197">
        <f>Tabla111[[#This Row],[Importe]]-Tabla111[[#This Row],[Pagado]]</f>
        <v>0</v>
      </c>
      <c r="H1105" s="153" t="s">
        <v>10</v>
      </c>
    </row>
    <row r="1106" spans="1:8" x14ac:dyDescent="0.25">
      <c r="A1106" s="73">
        <v>44845</v>
      </c>
      <c r="B1106" s="74" t="s">
        <v>32695</v>
      </c>
      <c r="C1106" s="75" t="s">
        <v>12</v>
      </c>
      <c r="D1106" s="81">
        <v>27734.65</v>
      </c>
      <c r="E1106" s="230">
        <v>44845</v>
      </c>
      <c r="F1106" s="81">
        <v>27734.65</v>
      </c>
      <c r="G1106" s="197">
        <f>Tabla111[[#This Row],[Importe]]-Tabla111[[#This Row],[Pagado]]</f>
        <v>0</v>
      </c>
      <c r="H1106" s="75" t="s">
        <v>10</v>
      </c>
    </row>
    <row r="1107" spans="1:8" x14ac:dyDescent="0.25">
      <c r="A1107" s="148">
        <v>44845</v>
      </c>
      <c r="B1107" s="149" t="s">
        <v>32696</v>
      </c>
      <c r="C1107" s="153" t="s">
        <v>151</v>
      </c>
      <c r="D1107" s="154">
        <v>14221.6</v>
      </c>
      <c r="E1107" s="231">
        <v>44845</v>
      </c>
      <c r="F1107" s="154">
        <v>14221.6</v>
      </c>
      <c r="G1107" s="197">
        <f>Tabla111[[#This Row],[Importe]]-Tabla111[[#This Row],[Pagado]]</f>
        <v>0</v>
      </c>
      <c r="H1107" s="153" t="s">
        <v>10</v>
      </c>
    </row>
    <row r="1108" spans="1:8" x14ac:dyDescent="0.25">
      <c r="A1108" s="73">
        <v>44845</v>
      </c>
      <c r="B1108" s="74" t="s">
        <v>32697</v>
      </c>
      <c r="C1108" s="75" t="s">
        <v>481</v>
      </c>
      <c r="D1108" s="81">
        <v>630.79999999999995</v>
      </c>
      <c r="E1108" s="230">
        <v>44845</v>
      </c>
      <c r="F1108" s="81">
        <v>630.79999999999995</v>
      </c>
      <c r="G1108" s="197">
        <f>Tabla111[[#This Row],[Importe]]-Tabla111[[#This Row],[Pagado]]</f>
        <v>0</v>
      </c>
      <c r="H1108" s="75" t="s">
        <v>10</v>
      </c>
    </row>
    <row r="1109" spans="1:8" x14ac:dyDescent="0.25">
      <c r="A1109" s="148">
        <v>44845</v>
      </c>
      <c r="B1109" s="149" t="s">
        <v>32698</v>
      </c>
      <c r="C1109" s="153" t="s">
        <v>9</v>
      </c>
      <c r="D1109" s="154">
        <v>6472.4</v>
      </c>
      <c r="E1109" s="231">
        <v>44845</v>
      </c>
      <c r="F1109" s="154">
        <v>6472.4</v>
      </c>
      <c r="G1109" s="197">
        <f>Tabla111[[#This Row],[Importe]]-Tabla111[[#This Row],[Pagado]]</f>
        <v>0</v>
      </c>
      <c r="H1109" s="153" t="s">
        <v>10</v>
      </c>
    </row>
    <row r="1110" spans="1:8" x14ac:dyDescent="0.25">
      <c r="A1110" s="73">
        <v>44845</v>
      </c>
      <c r="B1110" s="74" t="s">
        <v>32699</v>
      </c>
      <c r="C1110" s="75" t="s">
        <v>114</v>
      </c>
      <c r="D1110" s="81">
        <v>5788</v>
      </c>
      <c r="E1110" s="230">
        <v>44846</v>
      </c>
      <c r="F1110" s="81">
        <v>5788</v>
      </c>
      <c r="G1110" s="197">
        <f>Tabla111[[#This Row],[Importe]]-Tabla111[[#This Row],[Pagado]]</f>
        <v>0</v>
      </c>
      <c r="H1110" s="75" t="s">
        <v>10</v>
      </c>
    </row>
    <row r="1111" spans="1:8" x14ac:dyDescent="0.25">
      <c r="A1111" s="148">
        <v>44845</v>
      </c>
      <c r="B1111" s="149" t="s">
        <v>32700</v>
      </c>
      <c r="C1111" s="153" t="s">
        <v>31</v>
      </c>
      <c r="D1111" s="154">
        <v>6439.2</v>
      </c>
      <c r="E1111" s="231">
        <v>44845</v>
      </c>
      <c r="F1111" s="154">
        <v>6439.2</v>
      </c>
      <c r="G1111" s="197">
        <f>Tabla111[[#This Row],[Importe]]-Tabla111[[#This Row],[Pagado]]</f>
        <v>0</v>
      </c>
      <c r="H1111" s="153" t="s">
        <v>10</v>
      </c>
    </row>
    <row r="1112" spans="1:8" x14ac:dyDescent="0.25">
      <c r="A1112" s="73">
        <v>44845</v>
      </c>
      <c r="B1112" s="74" t="s">
        <v>32701</v>
      </c>
      <c r="C1112" s="75" t="s">
        <v>2563</v>
      </c>
      <c r="D1112" s="81">
        <v>5654.8</v>
      </c>
      <c r="E1112" s="230">
        <v>44847</v>
      </c>
      <c r="F1112" s="81">
        <v>5654.8</v>
      </c>
      <c r="G1112" s="197">
        <f>Tabla111[[#This Row],[Importe]]-Tabla111[[#This Row],[Pagado]]</f>
        <v>0</v>
      </c>
      <c r="H1112" s="75" t="s">
        <v>10</v>
      </c>
    </row>
    <row r="1113" spans="1:8" x14ac:dyDescent="0.25">
      <c r="A1113" s="148">
        <v>44845</v>
      </c>
      <c r="B1113" s="149" t="s">
        <v>32702</v>
      </c>
      <c r="C1113" s="153" t="s">
        <v>30029</v>
      </c>
      <c r="D1113" s="154">
        <v>11465</v>
      </c>
      <c r="E1113" s="231" t="s">
        <v>32703</v>
      </c>
      <c r="F1113" s="154">
        <f>2000+9465</f>
        <v>11465</v>
      </c>
      <c r="G1113" s="197">
        <f>Tabla111[[#This Row],[Importe]]-Tabla111[[#This Row],[Pagado]]</f>
        <v>0</v>
      </c>
      <c r="H1113" s="153" t="s">
        <v>10</v>
      </c>
    </row>
    <row r="1114" spans="1:8" x14ac:dyDescent="0.25">
      <c r="A1114" s="73">
        <v>44845</v>
      </c>
      <c r="B1114" s="74" t="s">
        <v>32704</v>
      </c>
      <c r="C1114" s="75" t="s">
        <v>97</v>
      </c>
      <c r="D1114" s="81">
        <v>7752.9</v>
      </c>
      <c r="E1114" s="230">
        <v>44846</v>
      </c>
      <c r="F1114" s="81">
        <v>7752.9</v>
      </c>
      <c r="G1114" s="197">
        <f>Tabla111[[#This Row],[Importe]]-Tabla111[[#This Row],[Pagado]]</f>
        <v>0</v>
      </c>
      <c r="H1114" s="75" t="s">
        <v>10</v>
      </c>
    </row>
    <row r="1115" spans="1:8" x14ac:dyDescent="0.25">
      <c r="A1115" s="148">
        <v>44845</v>
      </c>
      <c r="B1115" s="149" t="s">
        <v>32705</v>
      </c>
      <c r="C1115" s="153" t="s">
        <v>105</v>
      </c>
      <c r="D1115" s="154">
        <v>12883.8</v>
      </c>
      <c r="E1115" s="231">
        <v>44847</v>
      </c>
      <c r="F1115" s="154">
        <v>12883.8</v>
      </c>
      <c r="G1115" s="197">
        <f>Tabla111[[#This Row],[Importe]]-Tabla111[[#This Row],[Pagado]]</f>
        <v>0</v>
      </c>
      <c r="H1115" s="153" t="s">
        <v>10</v>
      </c>
    </row>
    <row r="1116" spans="1:8" x14ac:dyDescent="0.25">
      <c r="A1116" s="73">
        <v>44845</v>
      </c>
      <c r="B1116" s="74" t="s">
        <v>32706</v>
      </c>
      <c r="C1116" s="75" t="s">
        <v>111</v>
      </c>
      <c r="D1116" s="81">
        <v>5187</v>
      </c>
      <c r="E1116" s="230">
        <v>44846</v>
      </c>
      <c r="F1116" s="81">
        <v>5187</v>
      </c>
      <c r="G1116" s="197">
        <f>Tabla111[[#This Row],[Importe]]-Tabla111[[#This Row],[Pagado]]</f>
        <v>0</v>
      </c>
      <c r="H1116" s="75" t="s">
        <v>10</v>
      </c>
    </row>
    <row r="1117" spans="1:8" x14ac:dyDescent="0.25">
      <c r="A1117" s="148">
        <v>44845</v>
      </c>
      <c r="B1117" s="149" t="s">
        <v>32707</v>
      </c>
      <c r="C1117" s="153" t="s">
        <v>5043</v>
      </c>
      <c r="D1117" s="154">
        <v>5360</v>
      </c>
      <c r="E1117" s="231">
        <v>44847</v>
      </c>
      <c r="F1117" s="154">
        <v>5360</v>
      </c>
      <c r="G1117" s="197">
        <f>Tabla111[[#This Row],[Importe]]-Tabla111[[#This Row],[Pagado]]</f>
        <v>0</v>
      </c>
      <c r="H1117" s="153" t="s">
        <v>10</v>
      </c>
    </row>
    <row r="1118" spans="1:8" x14ac:dyDescent="0.25">
      <c r="A1118" s="73">
        <v>44845</v>
      </c>
      <c r="B1118" s="74" t="s">
        <v>32708</v>
      </c>
      <c r="C1118" s="75" t="s">
        <v>64</v>
      </c>
      <c r="D1118" s="81">
        <v>5817.5</v>
      </c>
      <c r="E1118" s="230">
        <v>44846</v>
      </c>
      <c r="F1118" s="81">
        <v>5817.5</v>
      </c>
      <c r="G1118" s="197">
        <f>Tabla111[[#This Row],[Importe]]-Tabla111[[#This Row],[Pagado]]</f>
        <v>0</v>
      </c>
      <c r="H1118" s="75" t="s">
        <v>10</v>
      </c>
    </row>
    <row r="1119" spans="1:8" x14ac:dyDescent="0.25">
      <c r="A1119" s="148">
        <v>44845</v>
      </c>
      <c r="B1119" s="149" t="s">
        <v>32709</v>
      </c>
      <c r="C1119" s="153" t="s">
        <v>93</v>
      </c>
      <c r="D1119" s="154">
        <v>9317.7999999999993</v>
      </c>
      <c r="E1119" s="231" t="s">
        <v>32710</v>
      </c>
      <c r="F1119" s="154">
        <f>4000+5317.8</f>
        <v>9317.7999999999993</v>
      </c>
      <c r="G1119" s="197">
        <f>Tabla111[[#This Row],[Importe]]-Tabla111[[#This Row],[Pagado]]</f>
        <v>0</v>
      </c>
      <c r="H1119" s="153" t="s">
        <v>10</v>
      </c>
    </row>
    <row r="1120" spans="1:8" x14ac:dyDescent="0.25">
      <c r="A1120" s="73">
        <v>44845</v>
      </c>
      <c r="B1120" s="74" t="s">
        <v>32711</v>
      </c>
      <c r="C1120" s="75" t="s">
        <v>2151</v>
      </c>
      <c r="D1120" s="81">
        <v>20067.7</v>
      </c>
      <c r="E1120" s="230">
        <v>44845</v>
      </c>
      <c r="F1120" s="81">
        <v>20067.7</v>
      </c>
      <c r="G1120" s="197">
        <f>Tabla111[[#This Row],[Importe]]-Tabla111[[#This Row],[Pagado]]</f>
        <v>0</v>
      </c>
      <c r="H1120" s="75" t="s">
        <v>10</v>
      </c>
    </row>
    <row r="1121" spans="1:8" x14ac:dyDescent="0.25">
      <c r="A1121" s="148">
        <v>44845</v>
      </c>
      <c r="B1121" s="149" t="s">
        <v>32712</v>
      </c>
      <c r="C1121" s="153" t="s">
        <v>89</v>
      </c>
      <c r="D1121" s="154">
        <v>11982.8</v>
      </c>
      <c r="E1121" s="231">
        <v>44846</v>
      </c>
      <c r="F1121" s="154">
        <v>11982.8</v>
      </c>
      <c r="G1121" s="197">
        <f>Tabla111[[#This Row],[Importe]]-Tabla111[[#This Row],[Pagado]]</f>
        <v>0</v>
      </c>
      <c r="H1121" s="153" t="s">
        <v>10</v>
      </c>
    </row>
    <row r="1122" spans="1:8" x14ac:dyDescent="0.25">
      <c r="A1122" s="73">
        <v>44845</v>
      </c>
      <c r="B1122" s="74" t="s">
        <v>32713</v>
      </c>
      <c r="C1122" s="75" t="s">
        <v>22</v>
      </c>
      <c r="D1122" s="81">
        <v>57526.2</v>
      </c>
      <c r="E1122" s="230" t="s">
        <v>32589</v>
      </c>
      <c r="F1122" s="81">
        <f>47000+10526.2</f>
        <v>57526.2</v>
      </c>
      <c r="G1122" s="197">
        <f>Tabla111[[#This Row],[Importe]]-Tabla111[[#This Row],[Pagado]]</f>
        <v>0</v>
      </c>
      <c r="H1122" s="75" t="s">
        <v>10</v>
      </c>
    </row>
    <row r="1123" spans="1:8" x14ac:dyDescent="0.25">
      <c r="A1123" s="148">
        <v>44845</v>
      </c>
      <c r="B1123" s="149" t="s">
        <v>32714</v>
      </c>
      <c r="C1123" s="153" t="s">
        <v>75</v>
      </c>
      <c r="D1123" s="154">
        <v>7500</v>
      </c>
      <c r="E1123" s="231">
        <v>44845</v>
      </c>
      <c r="F1123" s="154">
        <v>7500</v>
      </c>
      <c r="G1123" s="197">
        <f>Tabla111[[#This Row],[Importe]]-Tabla111[[#This Row],[Pagado]]</f>
        <v>0</v>
      </c>
      <c r="H1123" s="153" t="s">
        <v>10</v>
      </c>
    </row>
    <row r="1124" spans="1:8" x14ac:dyDescent="0.25">
      <c r="A1124" s="73">
        <v>44845</v>
      </c>
      <c r="B1124" s="74" t="s">
        <v>32715</v>
      </c>
      <c r="C1124" s="75" t="s">
        <v>79</v>
      </c>
      <c r="D1124" s="81">
        <v>9150</v>
      </c>
      <c r="E1124" s="230">
        <v>44845</v>
      </c>
      <c r="F1124" s="81">
        <v>9150</v>
      </c>
      <c r="G1124" s="197">
        <f>Tabla111[[#This Row],[Importe]]-Tabla111[[#This Row],[Pagado]]</f>
        <v>0</v>
      </c>
      <c r="H1124" s="75" t="s">
        <v>10</v>
      </c>
    </row>
    <row r="1125" spans="1:8" x14ac:dyDescent="0.25">
      <c r="A1125" s="148">
        <v>44845</v>
      </c>
      <c r="B1125" s="149" t="s">
        <v>32716</v>
      </c>
      <c r="C1125" s="153" t="s">
        <v>9415</v>
      </c>
      <c r="D1125" s="154">
        <v>29383.200000000001</v>
      </c>
      <c r="E1125" s="231">
        <v>44857</v>
      </c>
      <c r="F1125" s="154">
        <v>29383.200000000001</v>
      </c>
      <c r="G1125" s="197">
        <f>Tabla111[[#This Row],[Importe]]-Tabla111[[#This Row],[Pagado]]</f>
        <v>0</v>
      </c>
      <c r="H1125" s="153" t="s">
        <v>10</v>
      </c>
    </row>
    <row r="1126" spans="1:8" x14ac:dyDescent="0.25">
      <c r="A1126" s="73">
        <v>44845</v>
      </c>
      <c r="B1126" s="74" t="s">
        <v>32717</v>
      </c>
      <c r="C1126" s="75" t="s">
        <v>87</v>
      </c>
      <c r="D1126" s="81">
        <v>2020</v>
      </c>
      <c r="E1126" s="230">
        <v>44845</v>
      </c>
      <c r="F1126" s="81">
        <v>2020</v>
      </c>
      <c r="G1126" s="197">
        <f>Tabla111[[#This Row],[Importe]]-Tabla111[[#This Row],[Pagado]]</f>
        <v>0</v>
      </c>
      <c r="H1126" s="75" t="s">
        <v>10</v>
      </c>
    </row>
    <row r="1127" spans="1:8" x14ac:dyDescent="0.25">
      <c r="A1127" s="148">
        <v>44845</v>
      </c>
      <c r="B1127" s="149" t="s">
        <v>32718</v>
      </c>
      <c r="C1127" s="153" t="s">
        <v>924</v>
      </c>
      <c r="D1127" s="154">
        <v>15781.96</v>
      </c>
      <c r="E1127" s="231">
        <v>44845</v>
      </c>
      <c r="F1127" s="154">
        <v>15781.96</v>
      </c>
      <c r="G1127" s="197">
        <f>Tabla111[[#This Row],[Importe]]-Tabla111[[#This Row],[Pagado]]</f>
        <v>0</v>
      </c>
      <c r="H1127" s="153" t="s">
        <v>10</v>
      </c>
    </row>
    <row r="1128" spans="1:8" x14ac:dyDescent="0.25">
      <c r="A1128" s="73">
        <v>44845</v>
      </c>
      <c r="B1128" s="74" t="s">
        <v>32719</v>
      </c>
      <c r="C1128" s="75" t="s">
        <v>314</v>
      </c>
      <c r="D1128" s="81">
        <v>1597.5</v>
      </c>
      <c r="E1128" s="230">
        <v>44845</v>
      </c>
      <c r="F1128" s="81">
        <v>1597.5</v>
      </c>
      <c r="G1128" s="197">
        <f>Tabla111[[#This Row],[Importe]]-Tabla111[[#This Row],[Pagado]]</f>
        <v>0</v>
      </c>
      <c r="H1128" s="75" t="s">
        <v>10</v>
      </c>
    </row>
    <row r="1129" spans="1:8" x14ac:dyDescent="0.25">
      <c r="A1129" s="148">
        <v>44845</v>
      </c>
      <c r="B1129" s="149" t="s">
        <v>32720</v>
      </c>
      <c r="C1129" s="153" t="s">
        <v>28087</v>
      </c>
      <c r="D1129" s="154">
        <v>186108.35</v>
      </c>
      <c r="E1129" s="231">
        <v>44848</v>
      </c>
      <c r="F1129" s="154">
        <v>186108.35</v>
      </c>
      <c r="G1129" s="197">
        <f>Tabla111[[#This Row],[Importe]]-Tabla111[[#This Row],[Pagado]]</f>
        <v>0</v>
      </c>
      <c r="H1129" s="153" t="s">
        <v>10</v>
      </c>
    </row>
    <row r="1130" spans="1:8" x14ac:dyDescent="0.25">
      <c r="A1130" s="73">
        <v>44845</v>
      </c>
      <c r="B1130" s="74" t="s">
        <v>32721</v>
      </c>
      <c r="C1130" s="75" t="s">
        <v>83</v>
      </c>
      <c r="D1130" s="81">
        <v>8476</v>
      </c>
      <c r="E1130" s="230">
        <v>44845</v>
      </c>
      <c r="F1130" s="81">
        <v>8476</v>
      </c>
      <c r="G1130" s="197">
        <f>Tabla111[[#This Row],[Importe]]-Tabla111[[#This Row],[Pagado]]</f>
        <v>0</v>
      </c>
      <c r="H1130" s="75" t="s">
        <v>10</v>
      </c>
    </row>
    <row r="1131" spans="1:8" x14ac:dyDescent="0.25">
      <c r="A1131" s="148">
        <v>44845</v>
      </c>
      <c r="B1131" s="149" t="s">
        <v>32722</v>
      </c>
      <c r="C1131" s="153" t="s">
        <v>16</v>
      </c>
      <c r="D1131" s="154">
        <v>5044.1000000000004</v>
      </c>
      <c r="E1131" s="231">
        <v>44845</v>
      </c>
      <c r="F1131" s="154">
        <v>5044.1000000000004</v>
      </c>
      <c r="G1131" s="197">
        <f>Tabla111[[#This Row],[Importe]]-Tabla111[[#This Row],[Pagado]]</f>
        <v>0</v>
      </c>
      <c r="H1131" s="153" t="s">
        <v>10</v>
      </c>
    </row>
    <row r="1132" spans="1:8" x14ac:dyDescent="0.25">
      <c r="A1132" s="73">
        <v>44845</v>
      </c>
      <c r="B1132" s="74" t="s">
        <v>32723</v>
      </c>
      <c r="C1132" s="75" t="s">
        <v>161</v>
      </c>
      <c r="D1132" s="81">
        <v>4200</v>
      </c>
      <c r="E1132" s="230">
        <v>44845</v>
      </c>
      <c r="F1132" s="81">
        <v>4200</v>
      </c>
      <c r="G1132" s="197">
        <f>Tabla111[[#This Row],[Importe]]-Tabla111[[#This Row],[Pagado]]</f>
        <v>0</v>
      </c>
      <c r="H1132" s="75" t="s">
        <v>10</v>
      </c>
    </row>
    <row r="1133" spans="1:8" x14ac:dyDescent="0.25">
      <c r="A1133" s="148">
        <v>44845</v>
      </c>
      <c r="B1133" s="149" t="s">
        <v>32724</v>
      </c>
      <c r="C1133" s="153" t="s">
        <v>16</v>
      </c>
      <c r="D1133" s="154">
        <v>678.6</v>
      </c>
      <c r="E1133" s="231">
        <v>44845</v>
      </c>
      <c r="F1133" s="154">
        <v>678.6</v>
      </c>
      <c r="G1133" s="197">
        <f>Tabla111[[#This Row],[Importe]]-Tabla111[[#This Row],[Pagado]]</f>
        <v>0</v>
      </c>
      <c r="H1133" s="153" t="s">
        <v>10</v>
      </c>
    </row>
    <row r="1134" spans="1:8" x14ac:dyDescent="0.25">
      <c r="A1134" s="73">
        <v>44845</v>
      </c>
      <c r="B1134" s="74" t="s">
        <v>32725</v>
      </c>
      <c r="C1134" s="75" t="s">
        <v>17556</v>
      </c>
      <c r="D1134" s="81">
        <v>3980.9</v>
      </c>
      <c r="E1134" s="230">
        <v>44845</v>
      </c>
      <c r="F1134" s="81">
        <v>3980.9</v>
      </c>
      <c r="G1134" s="197">
        <f>Tabla111[[#This Row],[Importe]]-Tabla111[[#This Row],[Pagado]]</f>
        <v>0</v>
      </c>
      <c r="H1134" s="75" t="s">
        <v>10</v>
      </c>
    </row>
    <row r="1135" spans="1:8" x14ac:dyDescent="0.25">
      <c r="A1135" s="148">
        <v>44845</v>
      </c>
      <c r="B1135" s="149" t="s">
        <v>32726</v>
      </c>
      <c r="C1135" s="153" t="s">
        <v>49</v>
      </c>
      <c r="D1135" s="154">
        <v>5129.8</v>
      </c>
      <c r="E1135" s="231">
        <v>44845</v>
      </c>
      <c r="F1135" s="154">
        <v>5129.8</v>
      </c>
      <c r="G1135" s="197">
        <f>Tabla111[[#This Row],[Importe]]-Tabla111[[#This Row],[Pagado]]</f>
        <v>0</v>
      </c>
      <c r="H1135" s="153" t="s">
        <v>10</v>
      </c>
    </row>
    <row r="1136" spans="1:8" x14ac:dyDescent="0.25">
      <c r="A1136" s="73">
        <v>44845</v>
      </c>
      <c r="B1136" s="74" t="s">
        <v>32727</v>
      </c>
      <c r="C1136" s="75" t="s">
        <v>466</v>
      </c>
      <c r="D1136" s="81">
        <v>25200</v>
      </c>
      <c r="E1136" s="230">
        <v>44845</v>
      </c>
      <c r="F1136" s="81">
        <v>25200</v>
      </c>
      <c r="G1136" s="197">
        <f>Tabla111[[#This Row],[Importe]]-Tabla111[[#This Row],[Pagado]]</f>
        <v>0</v>
      </c>
      <c r="H1136" s="75" t="s">
        <v>10</v>
      </c>
    </row>
    <row r="1137" spans="1:8" x14ac:dyDescent="0.25">
      <c r="A1137" s="148">
        <v>44845</v>
      </c>
      <c r="B1137" s="149" t="s">
        <v>32728</v>
      </c>
      <c r="C1137" s="153" t="s">
        <v>541</v>
      </c>
      <c r="D1137" s="154">
        <v>14479.2</v>
      </c>
      <c r="E1137" s="231">
        <v>44846</v>
      </c>
      <c r="F1137" s="154">
        <v>14479.2</v>
      </c>
      <c r="G1137" s="197">
        <f>Tabla111[[#This Row],[Importe]]-Tabla111[[#This Row],[Pagado]]</f>
        <v>0</v>
      </c>
      <c r="H1137" s="153" t="s">
        <v>10</v>
      </c>
    </row>
    <row r="1138" spans="1:8" x14ac:dyDescent="0.25">
      <c r="A1138" s="73">
        <v>44845</v>
      </c>
      <c r="B1138" s="74" t="s">
        <v>32729</v>
      </c>
      <c r="C1138" s="75" t="s">
        <v>670</v>
      </c>
      <c r="D1138" s="81">
        <v>3975</v>
      </c>
      <c r="E1138" s="230">
        <v>44845</v>
      </c>
      <c r="F1138" s="81">
        <v>3975</v>
      </c>
      <c r="G1138" s="197">
        <f>Tabla111[[#This Row],[Importe]]-Tabla111[[#This Row],[Pagado]]</f>
        <v>0</v>
      </c>
      <c r="H1138" s="75" t="s">
        <v>10</v>
      </c>
    </row>
    <row r="1139" spans="1:8" x14ac:dyDescent="0.25">
      <c r="A1139" s="148">
        <v>44845</v>
      </c>
      <c r="B1139" s="149" t="s">
        <v>32730</v>
      </c>
      <c r="C1139" s="153" t="s">
        <v>45</v>
      </c>
      <c r="D1139" s="154">
        <v>13264</v>
      </c>
      <c r="E1139" s="231">
        <v>44845</v>
      </c>
      <c r="F1139" s="154">
        <v>13264</v>
      </c>
      <c r="G1139" s="197">
        <f>Tabla111[[#This Row],[Importe]]-Tabla111[[#This Row],[Pagado]]</f>
        <v>0</v>
      </c>
      <c r="H1139" s="153" t="s">
        <v>10</v>
      </c>
    </row>
    <row r="1140" spans="1:8" x14ac:dyDescent="0.25">
      <c r="A1140" s="73">
        <v>44845</v>
      </c>
      <c r="B1140" s="74" t="s">
        <v>32731</v>
      </c>
      <c r="C1140" s="75" t="s">
        <v>698</v>
      </c>
      <c r="D1140" s="81">
        <v>10350.9</v>
      </c>
      <c r="E1140" s="230">
        <v>44845</v>
      </c>
      <c r="F1140" s="81">
        <v>10350.9</v>
      </c>
      <c r="G1140" s="197">
        <f>Tabla111[[#This Row],[Importe]]-Tabla111[[#This Row],[Pagado]]</f>
        <v>0</v>
      </c>
      <c r="H1140" s="75" t="s">
        <v>10</v>
      </c>
    </row>
    <row r="1141" spans="1:8" x14ac:dyDescent="0.25">
      <c r="A1141" s="148">
        <v>44845</v>
      </c>
      <c r="B1141" s="149" t="s">
        <v>32732</v>
      </c>
      <c r="C1141" s="153" t="s">
        <v>135</v>
      </c>
      <c r="D1141" s="154">
        <v>3290.3</v>
      </c>
      <c r="E1141" s="231">
        <v>44845</v>
      </c>
      <c r="F1141" s="154">
        <v>3290.3</v>
      </c>
      <c r="G1141" s="197">
        <f>Tabla111[[#This Row],[Importe]]-Tabla111[[#This Row],[Pagado]]</f>
        <v>0</v>
      </c>
      <c r="H1141" s="153" t="s">
        <v>10</v>
      </c>
    </row>
    <row r="1142" spans="1:8" x14ac:dyDescent="0.25">
      <c r="A1142" s="73">
        <v>44845</v>
      </c>
      <c r="B1142" s="74" t="s">
        <v>32733</v>
      </c>
      <c r="C1142" s="75" t="s">
        <v>357</v>
      </c>
      <c r="D1142" s="81">
        <v>2241</v>
      </c>
      <c r="E1142" s="230">
        <v>44845</v>
      </c>
      <c r="F1142" s="81">
        <v>2241</v>
      </c>
      <c r="G1142" s="197">
        <f>Tabla111[[#This Row],[Importe]]-Tabla111[[#This Row],[Pagado]]</f>
        <v>0</v>
      </c>
      <c r="H1142" s="75" t="s">
        <v>10</v>
      </c>
    </row>
    <row r="1143" spans="1:8" x14ac:dyDescent="0.25">
      <c r="A1143" s="148">
        <v>44845</v>
      </c>
      <c r="B1143" s="149" t="s">
        <v>32734</v>
      </c>
      <c r="C1143" s="153" t="s">
        <v>140</v>
      </c>
      <c r="D1143" s="154">
        <v>1922.8</v>
      </c>
      <c r="E1143" s="231">
        <v>44845</v>
      </c>
      <c r="F1143" s="154">
        <v>1922.8</v>
      </c>
      <c r="G1143" s="197">
        <f>Tabla111[[#This Row],[Importe]]-Tabla111[[#This Row],[Pagado]]</f>
        <v>0</v>
      </c>
      <c r="H1143" s="153" t="s">
        <v>10</v>
      </c>
    </row>
    <row r="1144" spans="1:8" x14ac:dyDescent="0.25">
      <c r="A1144" s="73">
        <v>44845</v>
      </c>
      <c r="B1144" s="74" t="s">
        <v>32735</v>
      </c>
      <c r="C1144" s="75" t="s">
        <v>127</v>
      </c>
      <c r="D1144" s="81">
        <v>4704.3999999999996</v>
      </c>
      <c r="E1144" s="230">
        <v>44845</v>
      </c>
      <c r="F1144" s="81">
        <v>4704.3999999999996</v>
      </c>
      <c r="G1144" s="197">
        <f>Tabla111[[#This Row],[Importe]]-Tabla111[[#This Row],[Pagado]]</f>
        <v>0</v>
      </c>
      <c r="H1144" s="75" t="s">
        <v>10</v>
      </c>
    </row>
    <row r="1145" spans="1:8" x14ac:dyDescent="0.25">
      <c r="A1145" s="148">
        <v>44845</v>
      </c>
      <c r="B1145" s="149" t="s">
        <v>32736</v>
      </c>
      <c r="C1145" s="153" t="s">
        <v>339</v>
      </c>
      <c r="D1145" s="154">
        <v>608</v>
      </c>
      <c r="E1145" s="231">
        <v>44845</v>
      </c>
      <c r="F1145" s="154">
        <v>608</v>
      </c>
      <c r="G1145" s="197">
        <f>Tabla111[[#This Row],[Importe]]-Tabla111[[#This Row],[Pagado]]</f>
        <v>0</v>
      </c>
      <c r="H1145" s="153" t="s">
        <v>10</v>
      </c>
    </row>
    <row r="1146" spans="1:8" x14ac:dyDescent="0.25">
      <c r="A1146" s="73">
        <v>44845</v>
      </c>
      <c r="B1146" s="74" t="s">
        <v>32737</v>
      </c>
      <c r="C1146" s="75" t="s">
        <v>214</v>
      </c>
      <c r="D1146" s="81">
        <v>1215</v>
      </c>
      <c r="E1146" s="230">
        <v>44845</v>
      </c>
      <c r="F1146" s="81">
        <v>1215</v>
      </c>
      <c r="G1146" s="197">
        <f>Tabla111[[#This Row],[Importe]]-Tabla111[[#This Row],[Pagado]]</f>
        <v>0</v>
      </c>
      <c r="H1146" s="75" t="s">
        <v>10</v>
      </c>
    </row>
    <row r="1147" spans="1:8" x14ac:dyDescent="0.25">
      <c r="A1147" s="148">
        <v>44845</v>
      </c>
      <c r="B1147" s="149" t="s">
        <v>32738</v>
      </c>
      <c r="C1147" s="153" t="s">
        <v>56</v>
      </c>
      <c r="D1147" s="154">
        <v>5639.2</v>
      </c>
      <c r="E1147" s="231">
        <v>44845</v>
      </c>
      <c r="F1147" s="154">
        <v>5639.2</v>
      </c>
      <c r="G1147" s="197">
        <f>Tabla111[[#This Row],[Importe]]-Tabla111[[#This Row],[Pagado]]</f>
        <v>0</v>
      </c>
      <c r="H1147" s="153" t="s">
        <v>10</v>
      </c>
    </row>
    <row r="1148" spans="1:8" x14ac:dyDescent="0.25">
      <c r="A1148" s="73">
        <v>44845</v>
      </c>
      <c r="B1148" s="74" t="s">
        <v>32739</v>
      </c>
      <c r="C1148" s="75" t="s">
        <v>1378</v>
      </c>
      <c r="D1148" s="81">
        <v>81395.399999999994</v>
      </c>
      <c r="E1148" s="230">
        <v>44846</v>
      </c>
      <c r="F1148" s="81">
        <v>81395.399999999994</v>
      </c>
      <c r="G1148" s="197">
        <f>Tabla111[[#This Row],[Importe]]-Tabla111[[#This Row],[Pagado]]</f>
        <v>0</v>
      </c>
      <c r="H1148" s="75" t="s">
        <v>10</v>
      </c>
    </row>
    <row r="1149" spans="1:8" x14ac:dyDescent="0.25">
      <c r="A1149" s="148">
        <v>44845</v>
      </c>
      <c r="B1149" s="149" t="s">
        <v>32740</v>
      </c>
      <c r="C1149" s="153" t="s">
        <v>226</v>
      </c>
      <c r="D1149" s="154">
        <v>4547.2</v>
      </c>
      <c r="E1149" s="231">
        <v>44845</v>
      </c>
      <c r="F1149" s="154">
        <v>4547.2</v>
      </c>
      <c r="G1149" s="197">
        <f>Tabla111[[#This Row],[Importe]]-Tabla111[[#This Row],[Pagado]]</f>
        <v>0</v>
      </c>
      <c r="H1149" s="153" t="s">
        <v>10</v>
      </c>
    </row>
    <row r="1150" spans="1:8" x14ac:dyDescent="0.25">
      <c r="A1150" s="73">
        <v>44845</v>
      </c>
      <c r="B1150" s="74" t="s">
        <v>32741</v>
      </c>
      <c r="C1150" s="75" t="s">
        <v>1003</v>
      </c>
      <c r="D1150" s="81">
        <v>7860.6</v>
      </c>
      <c r="E1150" s="230">
        <v>44847</v>
      </c>
      <c r="F1150" s="81">
        <v>7860.6</v>
      </c>
      <c r="G1150" s="197">
        <f>Tabla111[[#This Row],[Importe]]-Tabla111[[#This Row],[Pagado]]</f>
        <v>0</v>
      </c>
      <c r="H1150" s="75" t="s">
        <v>10</v>
      </c>
    </row>
    <row r="1151" spans="1:8" x14ac:dyDescent="0.25">
      <c r="A1151" s="148">
        <v>44845</v>
      </c>
      <c r="B1151" s="149" t="s">
        <v>32742</v>
      </c>
      <c r="C1151" s="153" t="s">
        <v>53</v>
      </c>
      <c r="D1151" s="154">
        <v>2910.8</v>
      </c>
      <c r="E1151" s="231">
        <v>44845</v>
      </c>
      <c r="F1151" s="154">
        <v>2910.8</v>
      </c>
      <c r="G1151" s="197">
        <f>Tabla111[[#This Row],[Importe]]-Tabla111[[#This Row],[Pagado]]</f>
        <v>0</v>
      </c>
      <c r="H1151" s="153" t="s">
        <v>10</v>
      </c>
    </row>
    <row r="1152" spans="1:8" x14ac:dyDescent="0.25">
      <c r="A1152" s="73">
        <v>44845</v>
      </c>
      <c r="B1152" s="74" t="s">
        <v>32743</v>
      </c>
      <c r="C1152" s="75" t="s">
        <v>24</v>
      </c>
      <c r="D1152" s="81">
        <v>1199.8</v>
      </c>
      <c r="E1152" s="230">
        <v>44845</v>
      </c>
      <c r="F1152" s="81">
        <v>1199.8</v>
      </c>
      <c r="G1152" s="197">
        <f>Tabla111[[#This Row],[Importe]]-Tabla111[[#This Row],[Pagado]]</f>
        <v>0</v>
      </c>
      <c r="H1152" s="75" t="s">
        <v>10</v>
      </c>
    </row>
    <row r="1153" spans="1:8" x14ac:dyDescent="0.25">
      <c r="A1153" s="148">
        <v>44845</v>
      </c>
      <c r="B1153" s="149" t="s">
        <v>32744</v>
      </c>
      <c r="C1153" s="153" t="s">
        <v>31</v>
      </c>
      <c r="D1153" s="154">
        <v>1368</v>
      </c>
      <c r="E1153" s="231">
        <v>44845</v>
      </c>
      <c r="F1153" s="154">
        <v>1368</v>
      </c>
      <c r="G1153" s="197">
        <f>Tabla111[[#This Row],[Importe]]-Tabla111[[#This Row],[Pagado]]</f>
        <v>0</v>
      </c>
      <c r="H1153" s="153" t="s">
        <v>10</v>
      </c>
    </row>
    <row r="1154" spans="1:8" x14ac:dyDescent="0.25">
      <c r="A1154" s="73">
        <v>44845</v>
      </c>
      <c r="B1154" s="74" t="s">
        <v>32745</v>
      </c>
      <c r="C1154" s="75" t="s">
        <v>31</v>
      </c>
      <c r="D1154" s="81">
        <v>1207.5</v>
      </c>
      <c r="E1154" s="230">
        <v>44845</v>
      </c>
      <c r="F1154" s="81">
        <v>1207.5</v>
      </c>
      <c r="G1154" s="197">
        <f>Tabla111[[#This Row],[Importe]]-Tabla111[[#This Row],[Pagado]]</f>
        <v>0</v>
      </c>
      <c r="H1154" s="75" t="s">
        <v>10</v>
      </c>
    </row>
    <row r="1155" spans="1:8" x14ac:dyDescent="0.25">
      <c r="A1155" s="148">
        <v>44845</v>
      </c>
      <c r="B1155" s="149" t="s">
        <v>32746</v>
      </c>
      <c r="C1155" s="153" t="s">
        <v>31</v>
      </c>
      <c r="D1155" s="154">
        <v>1703.4</v>
      </c>
      <c r="E1155" s="231">
        <v>44845</v>
      </c>
      <c r="F1155" s="154">
        <v>1703.4</v>
      </c>
      <c r="G1155" s="197">
        <f>Tabla111[[#This Row],[Importe]]-Tabla111[[#This Row],[Pagado]]</f>
        <v>0</v>
      </c>
      <c r="H1155" s="153" t="s">
        <v>10</v>
      </c>
    </row>
    <row r="1156" spans="1:8" x14ac:dyDescent="0.25">
      <c r="A1156" s="73">
        <v>44845</v>
      </c>
      <c r="B1156" s="74" t="s">
        <v>32747</v>
      </c>
      <c r="C1156" s="75" t="s">
        <v>312</v>
      </c>
      <c r="D1156" s="81">
        <v>3564.4</v>
      </c>
      <c r="E1156" s="230">
        <v>44845</v>
      </c>
      <c r="F1156" s="81">
        <v>3564.4</v>
      </c>
      <c r="G1156" s="197">
        <f>Tabla111[[#This Row],[Importe]]-Tabla111[[#This Row],[Pagado]]</f>
        <v>0</v>
      </c>
      <c r="H1156" s="75" t="s">
        <v>10</v>
      </c>
    </row>
    <row r="1157" spans="1:8" x14ac:dyDescent="0.25">
      <c r="A1157" s="148">
        <v>44845</v>
      </c>
      <c r="B1157" s="149" t="s">
        <v>32748</v>
      </c>
      <c r="C1157" s="153" t="s">
        <v>520</v>
      </c>
      <c r="D1157" s="154">
        <v>7899.8</v>
      </c>
      <c r="E1157" s="231">
        <v>44846</v>
      </c>
      <c r="F1157" s="154">
        <v>7899.8</v>
      </c>
      <c r="G1157" s="197">
        <f>Tabla111[[#This Row],[Importe]]-Tabla111[[#This Row],[Pagado]]</f>
        <v>0</v>
      </c>
      <c r="H1157" s="153" t="s">
        <v>10</v>
      </c>
    </row>
    <row r="1158" spans="1:8" x14ac:dyDescent="0.25">
      <c r="A1158" s="73">
        <v>44845</v>
      </c>
      <c r="B1158" s="74" t="s">
        <v>32749</v>
      </c>
      <c r="C1158" s="75" t="s">
        <v>216</v>
      </c>
      <c r="D1158" s="81">
        <v>1920</v>
      </c>
      <c r="E1158" s="230">
        <v>44845</v>
      </c>
      <c r="F1158" s="81">
        <v>1920</v>
      </c>
      <c r="G1158" s="197">
        <f>Tabla111[[#This Row],[Importe]]-Tabla111[[#This Row],[Pagado]]</f>
        <v>0</v>
      </c>
      <c r="H1158" s="75" t="s">
        <v>10</v>
      </c>
    </row>
    <row r="1159" spans="1:8" ht="31.5" x14ac:dyDescent="0.25">
      <c r="A1159" s="148">
        <v>44845</v>
      </c>
      <c r="B1159" s="149" t="s">
        <v>32750</v>
      </c>
      <c r="C1159" s="153" t="s">
        <v>142</v>
      </c>
      <c r="D1159" s="154">
        <v>75381.73</v>
      </c>
      <c r="E1159" s="244" t="s">
        <v>35003</v>
      </c>
      <c r="F1159" s="154">
        <f>71661.48+3720.25</f>
        <v>75381.73</v>
      </c>
      <c r="G1159" s="197">
        <f>Tabla111[[#This Row],[Importe]]-Tabla111[[#This Row],[Pagado]]</f>
        <v>0</v>
      </c>
      <c r="H1159" s="153" t="s">
        <v>4814</v>
      </c>
    </row>
    <row r="1160" spans="1:8" x14ac:dyDescent="0.25">
      <c r="A1160" s="73">
        <v>44845</v>
      </c>
      <c r="B1160" s="74" t="s">
        <v>32751</v>
      </c>
      <c r="C1160" s="75" t="s">
        <v>19346</v>
      </c>
      <c r="D1160" s="81">
        <v>0</v>
      </c>
      <c r="E1160" s="232" t="s">
        <v>189</v>
      </c>
      <c r="F1160" s="81">
        <v>0</v>
      </c>
      <c r="G1160" s="197">
        <f>Tabla111[[#This Row],[Importe]]-Tabla111[[#This Row],[Pagado]]</f>
        <v>0</v>
      </c>
      <c r="H1160" s="75" t="s">
        <v>189</v>
      </c>
    </row>
    <row r="1161" spans="1:8" x14ac:dyDescent="0.25">
      <c r="A1161" s="148">
        <v>44845</v>
      </c>
      <c r="B1161" s="149" t="s">
        <v>32752</v>
      </c>
      <c r="C1161" s="153" t="s">
        <v>966</v>
      </c>
      <c r="D1161" s="154">
        <v>4600.3999999999996</v>
      </c>
      <c r="E1161" s="231">
        <v>44846</v>
      </c>
      <c r="F1161" s="154">
        <v>4600.3999999999996</v>
      </c>
      <c r="G1161" s="197">
        <f>Tabla111[[#This Row],[Importe]]-Tabla111[[#This Row],[Pagado]]</f>
        <v>0</v>
      </c>
      <c r="H1161" s="153" t="s">
        <v>10</v>
      </c>
    </row>
    <row r="1162" spans="1:8" x14ac:dyDescent="0.25">
      <c r="A1162" s="73">
        <v>44845</v>
      </c>
      <c r="B1162" s="74" t="s">
        <v>32753</v>
      </c>
      <c r="C1162" s="75" t="s">
        <v>204</v>
      </c>
      <c r="D1162" s="81">
        <v>9828.4</v>
      </c>
      <c r="E1162" s="230">
        <v>44845</v>
      </c>
      <c r="F1162" s="81">
        <v>9828.4</v>
      </c>
      <c r="G1162" s="197">
        <f>Tabla111[[#This Row],[Importe]]-Tabla111[[#This Row],[Pagado]]</f>
        <v>0</v>
      </c>
      <c r="H1162" s="75" t="s">
        <v>10</v>
      </c>
    </row>
    <row r="1163" spans="1:8" x14ac:dyDescent="0.25">
      <c r="A1163" s="148">
        <v>44845</v>
      </c>
      <c r="B1163" s="149" t="s">
        <v>32754</v>
      </c>
      <c r="C1163" s="153" t="s">
        <v>4136</v>
      </c>
      <c r="D1163" s="154">
        <v>1415.1</v>
      </c>
      <c r="E1163" s="231">
        <v>44845</v>
      </c>
      <c r="F1163" s="154">
        <v>1415.1</v>
      </c>
      <c r="G1163" s="197">
        <f>Tabla111[[#This Row],[Importe]]-Tabla111[[#This Row],[Pagado]]</f>
        <v>0</v>
      </c>
      <c r="H1163" s="153" t="s">
        <v>10</v>
      </c>
    </row>
    <row r="1164" spans="1:8" x14ac:dyDescent="0.25">
      <c r="A1164" s="73">
        <v>44845</v>
      </c>
      <c r="B1164" s="74" t="s">
        <v>32755</v>
      </c>
      <c r="C1164" s="75" t="s">
        <v>31</v>
      </c>
      <c r="D1164" s="81">
        <v>1700</v>
      </c>
      <c r="E1164" s="230">
        <v>44845</v>
      </c>
      <c r="F1164" s="81">
        <v>1700</v>
      </c>
      <c r="G1164" s="197">
        <f>Tabla111[[#This Row],[Importe]]-Tabla111[[#This Row],[Pagado]]</f>
        <v>0</v>
      </c>
      <c r="H1164" s="75" t="s">
        <v>10</v>
      </c>
    </row>
    <row r="1165" spans="1:8" x14ac:dyDescent="0.25">
      <c r="A1165" s="148">
        <v>44845</v>
      </c>
      <c r="B1165" s="149" t="s">
        <v>32756</v>
      </c>
      <c r="C1165" s="153" t="s">
        <v>419</v>
      </c>
      <c r="D1165" s="154">
        <v>7176.1</v>
      </c>
      <c r="E1165" s="231">
        <v>44845</v>
      </c>
      <c r="F1165" s="154">
        <v>7176.1</v>
      </c>
      <c r="G1165" s="197">
        <f>Tabla111[[#This Row],[Importe]]-Tabla111[[#This Row],[Pagado]]</f>
        <v>0</v>
      </c>
      <c r="H1165" s="153" t="s">
        <v>10</v>
      </c>
    </row>
    <row r="1166" spans="1:8" x14ac:dyDescent="0.25">
      <c r="A1166" s="73">
        <v>44845</v>
      </c>
      <c r="B1166" s="74" t="s">
        <v>32757</v>
      </c>
      <c r="C1166" s="75" t="s">
        <v>11383</v>
      </c>
      <c r="D1166" s="81">
        <v>24758.5</v>
      </c>
      <c r="E1166" s="230">
        <v>44845</v>
      </c>
      <c r="F1166" s="81">
        <v>24758.5</v>
      </c>
      <c r="G1166" s="197">
        <f>Tabla111[[#This Row],[Importe]]-Tabla111[[#This Row],[Pagado]]</f>
        <v>0</v>
      </c>
      <c r="H1166" s="75" t="s">
        <v>10</v>
      </c>
    </row>
    <row r="1167" spans="1:8" x14ac:dyDescent="0.25">
      <c r="A1167" s="148">
        <v>44845</v>
      </c>
      <c r="B1167" s="149" t="s">
        <v>32758</v>
      </c>
      <c r="C1167" s="153" t="s">
        <v>319</v>
      </c>
      <c r="D1167" s="154">
        <v>6327.3</v>
      </c>
      <c r="E1167" s="231">
        <v>44846</v>
      </c>
      <c r="F1167" s="154">
        <v>6327.3</v>
      </c>
      <c r="G1167" s="197">
        <f>Tabla111[[#This Row],[Importe]]-Tabla111[[#This Row],[Pagado]]</f>
        <v>0</v>
      </c>
      <c r="H1167" s="153" t="s">
        <v>10</v>
      </c>
    </row>
    <row r="1168" spans="1:8" x14ac:dyDescent="0.25">
      <c r="A1168" s="73">
        <v>44845</v>
      </c>
      <c r="B1168" s="74" t="s">
        <v>32759</v>
      </c>
      <c r="C1168" s="75" t="s">
        <v>21812</v>
      </c>
      <c r="D1168" s="81">
        <v>12049.8</v>
      </c>
      <c r="E1168" s="230">
        <v>44845</v>
      </c>
      <c r="F1168" s="81">
        <v>12049.8</v>
      </c>
      <c r="G1168" s="197">
        <f>Tabla111[[#This Row],[Importe]]-Tabla111[[#This Row],[Pagado]]</f>
        <v>0</v>
      </c>
      <c r="H1168" s="75" t="s">
        <v>10</v>
      </c>
    </row>
    <row r="1169" spans="1:8" x14ac:dyDescent="0.25">
      <c r="A1169" s="148">
        <v>44845</v>
      </c>
      <c r="B1169" s="149" t="s">
        <v>32760</v>
      </c>
      <c r="C1169" s="153" t="s">
        <v>157</v>
      </c>
      <c r="D1169" s="154">
        <v>8176.4</v>
      </c>
      <c r="E1169" s="231">
        <v>44846</v>
      </c>
      <c r="F1169" s="154">
        <v>8176.4</v>
      </c>
      <c r="G1169" s="197">
        <f>Tabla111[[#This Row],[Importe]]-Tabla111[[#This Row],[Pagado]]</f>
        <v>0</v>
      </c>
      <c r="H1169" s="153" t="s">
        <v>10</v>
      </c>
    </row>
    <row r="1170" spans="1:8" x14ac:dyDescent="0.25">
      <c r="A1170" s="73">
        <v>44845</v>
      </c>
      <c r="B1170" s="74" t="s">
        <v>32761</v>
      </c>
      <c r="C1170" s="75" t="s">
        <v>664</v>
      </c>
      <c r="D1170" s="81">
        <v>6102.8</v>
      </c>
      <c r="E1170" s="230">
        <v>44845</v>
      </c>
      <c r="F1170" s="81">
        <v>6102.8</v>
      </c>
      <c r="G1170" s="197">
        <f>Tabla111[[#This Row],[Importe]]-Tabla111[[#This Row],[Pagado]]</f>
        <v>0</v>
      </c>
      <c r="H1170" s="75" t="s">
        <v>10</v>
      </c>
    </row>
    <row r="1171" spans="1:8" x14ac:dyDescent="0.25">
      <c r="A1171" s="148">
        <v>44845</v>
      </c>
      <c r="B1171" s="149" t="s">
        <v>32762</v>
      </c>
      <c r="C1171" s="153" t="s">
        <v>518</v>
      </c>
      <c r="D1171" s="154">
        <v>4976</v>
      </c>
      <c r="E1171" s="231">
        <v>44846</v>
      </c>
      <c r="F1171" s="154">
        <v>4976</v>
      </c>
      <c r="G1171" s="197">
        <f>Tabla111[[#This Row],[Importe]]-Tabla111[[#This Row],[Pagado]]</f>
        <v>0</v>
      </c>
      <c r="H1171" s="153" t="s">
        <v>10</v>
      </c>
    </row>
    <row r="1172" spans="1:8" x14ac:dyDescent="0.25">
      <c r="A1172" s="73">
        <v>44845</v>
      </c>
      <c r="B1172" s="74" t="s">
        <v>32763</v>
      </c>
      <c r="C1172" s="75" t="s">
        <v>159</v>
      </c>
      <c r="D1172" s="81">
        <v>5037.5</v>
      </c>
      <c r="E1172" s="230">
        <v>44846</v>
      </c>
      <c r="F1172" s="81">
        <v>5037.5</v>
      </c>
      <c r="G1172" s="197">
        <f>Tabla111[[#This Row],[Importe]]-Tabla111[[#This Row],[Pagado]]</f>
        <v>0</v>
      </c>
      <c r="H1172" s="75" t="s">
        <v>10</v>
      </c>
    </row>
    <row r="1173" spans="1:8" x14ac:dyDescent="0.25">
      <c r="A1173" s="148">
        <v>44845</v>
      </c>
      <c r="B1173" s="149" t="s">
        <v>32764</v>
      </c>
      <c r="C1173" s="153" t="s">
        <v>151</v>
      </c>
      <c r="D1173" s="154">
        <v>10969.44</v>
      </c>
      <c r="E1173" s="231">
        <v>44846</v>
      </c>
      <c r="F1173" s="154">
        <v>10969.44</v>
      </c>
      <c r="G1173" s="197">
        <f>Tabla111[[#This Row],[Importe]]-Tabla111[[#This Row],[Pagado]]</f>
        <v>0</v>
      </c>
      <c r="H1173" s="153" t="s">
        <v>10</v>
      </c>
    </row>
    <row r="1174" spans="1:8" x14ac:dyDescent="0.25">
      <c r="A1174" s="73">
        <v>44845</v>
      </c>
      <c r="B1174" s="74" t="s">
        <v>32765</v>
      </c>
      <c r="C1174" s="75" t="s">
        <v>934</v>
      </c>
      <c r="D1174" s="81">
        <v>2397.12</v>
      </c>
      <c r="E1174" s="230">
        <v>44846</v>
      </c>
      <c r="F1174" s="81">
        <v>2397.12</v>
      </c>
      <c r="G1174" s="197">
        <f>Tabla111[[#This Row],[Importe]]-Tabla111[[#This Row],[Pagado]]</f>
        <v>0</v>
      </c>
      <c r="H1174" s="75" t="s">
        <v>10</v>
      </c>
    </row>
    <row r="1175" spans="1:8" x14ac:dyDescent="0.25">
      <c r="A1175" s="148">
        <v>44845</v>
      </c>
      <c r="B1175" s="149" t="s">
        <v>32766</v>
      </c>
      <c r="C1175" s="153" t="s">
        <v>146</v>
      </c>
      <c r="D1175" s="154">
        <v>5175</v>
      </c>
      <c r="E1175" s="231">
        <v>44845</v>
      </c>
      <c r="F1175" s="154">
        <v>5175</v>
      </c>
      <c r="G1175" s="197">
        <f>Tabla111[[#This Row],[Importe]]-Tabla111[[#This Row],[Pagado]]</f>
        <v>0</v>
      </c>
      <c r="H1175" s="153" t="s">
        <v>10</v>
      </c>
    </row>
    <row r="1176" spans="1:8" x14ac:dyDescent="0.25">
      <c r="A1176" s="73">
        <v>44845</v>
      </c>
      <c r="B1176" s="74" t="s">
        <v>32767</v>
      </c>
      <c r="C1176" s="75" t="s">
        <v>214</v>
      </c>
      <c r="D1176" s="81">
        <v>5447</v>
      </c>
      <c r="E1176" s="230">
        <v>44845</v>
      </c>
      <c r="F1176" s="81">
        <v>5447</v>
      </c>
      <c r="G1176" s="197">
        <f>Tabla111[[#This Row],[Importe]]-Tabla111[[#This Row],[Pagado]]</f>
        <v>0</v>
      </c>
      <c r="H1176" s="75" t="s">
        <v>10</v>
      </c>
    </row>
    <row r="1177" spans="1:8" x14ac:dyDescent="0.25">
      <c r="A1177" s="148">
        <v>44845</v>
      </c>
      <c r="B1177" s="149" t="s">
        <v>32768</v>
      </c>
      <c r="C1177" s="153" t="s">
        <v>107</v>
      </c>
      <c r="D1177" s="154">
        <v>15607</v>
      </c>
      <c r="E1177" s="231">
        <v>44845</v>
      </c>
      <c r="F1177" s="154">
        <v>15607</v>
      </c>
      <c r="G1177" s="197">
        <f>Tabla111[[#This Row],[Importe]]-Tabla111[[#This Row],[Pagado]]</f>
        <v>0</v>
      </c>
      <c r="H1177" s="153" t="s">
        <v>10</v>
      </c>
    </row>
    <row r="1178" spans="1:8" x14ac:dyDescent="0.25">
      <c r="A1178" s="73">
        <v>44845</v>
      </c>
      <c r="B1178" s="74" t="s">
        <v>32769</v>
      </c>
      <c r="C1178" s="75" t="s">
        <v>214</v>
      </c>
      <c r="D1178" s="81">
        <v>3750</v>
      </c>
      <c r="E1178" s="230">
        <v>44845</v>
      </c>
      <c r="F1178" s="81">
        <v>3750</v>
      </c>
      <c r="G1178" s="197">
        <f>Tabla111[[#This Row],[Importe]]-Tabla111[[#This Row],[Pagado]]</f>
        <v>0</v>
      </c>
      <c r="H1178" s="75" t="s">
        <v>10</v>
      </c>
    </row>
    <row r="1179" spans="1:8" x14ac:dyDescent="0.25">
      <c r="A1179" s="148">
        <v>44845</v>
      </c>
      <c r="B1179" s="149" t="s">
        <v>32770</v>
      </c>
      <c r="C1179" s="153" t="s">
        <v>421</v>
      </c>
      <c r="D1179" s="154">
        <v>9970.7000000000007</v>
      </c>
      <c r="E1179" s="231">
        <v>44851</v>
      </c>
      <c r="F1179" s="154">
        <v>9970.7000000000007</v>
      </c>
      <c r="G1179" s="197">
        <f>Tabla111[[#This Row],[Importe]]-Tabla111[[#This Row],[Pagado]]</f>
        <v>0</v>
      </c>
      <c r="H1179" s="153" t="s">
        <v>10</v>
      </c>
    </row>
    <row r="1180" spans="1:8" x14ac:dyDescent="0.25">
      <c r="A1180" s="73">
        <v>44845</v>
      </c>
      <c r="B1180" s="74" t="s">
        <v>32771</v>
      </c>
      <c r="C1180" s="75" t="s">
        <v>31</v>
      </c>
      <c r="D1180" s="81">
        <v>240</v>
      </c>
      <c r="E1180" s="230">
        <v>44845</v>
      </c>
      <c r="F1180" s="81">
        <v>240</v>
      </c>
      <c r="G1180" s="197">
        <f>Tabla111[[#This Row],[Importe]]-Tabla111[[#This Row],[Pagado]]</f>
        <v>0</v>
      </c>
      <c r="H1180" s="75" t="s">
        <v>10</v>
      </c>
    </row>
    <row r="1181" spans="1:8" x14ac:dyDescent="0.25">
      <c r="A1181" s="148">
        <v>44845</v>
      </c>
      <c r="B1181" s="149" t="s">
        <v>32772</v>
      </c>
      <c r="C1181" s="153" t="s">
        <v>421</v>
      </c>
      <c r="D1181" s="154">
        <v>3526.4</v>
      </c>
      <c r="E1181" s="231">
        <v>44856</v>
      </c>
      <c r="F1181" s="154">
        <v>3526.4</v>
      </c>
      <c r="G1181" s="197">
        <f>Tabla111[[#This Row],[Importe]]-Tabla111[[#This Row],[Pagado]]</f>
        <v>0</v>
      </c>
      <c r="H1181" s="153" t="s">
        <v>10</v>
      </c>
    </row>
    <row r="1182" spans="1:8" x14ac:dyDescent="0.25">
      <c r="A1182" s="73">
        <v>44845</v>
      </c>
      <c r="B1182" s="74" t="s">
        <v>32773</v>
      </c>
      <c r="C1182" s="75" t="s">
        <v>200</v>
      </c>
      <c r="D1182" s="81">
        <v>1177.5</v>
      </c>
      <c r="E1182" s="230">
        <v>44845</v>
      </c>
      <c r="F1182" s="81">
        <v>1177.5</v>
      </c>
      <c r="G1182" s="197">
        <f>Tabla111[[#This Row],[Importe]]-Tabla111[[#This Row],[Pagado]]</f>
        <v>0</v>
      </c>
      <c r="H1182" s="75" t="s">
        <v>10</v>
      </c>
    </row>
    <row r="1183" spans="1:8" x14ac:dyDescent="0.25">
      <c r="A1183" s="148">
        <v>44845</v>
      </c>
      <c r="B1183" s="149" t="s">
        <v>32774</v>
      </c>
      <c r="C1183" s="153" t="s">
        <v>426</v>
      </c>
      <c r="D1183" s="154">
        <v>8561.7999999999993</v>
      </c>
      <c r="E1183" s="231">
        <v>44845</v>
      </c>
      <c r="F1183" s="154">
        <v>8561.7999999999993</v>
      </c>
      <c r="G1183" s="197">
        <f>Tabla111[[#This Row],[Importe]]-Tabla111[[#This Row],[Pagado]]</f>
        <v>0</v>
      </c>
      <c r="H1183" s="153" t="s">
        <v>10</v>
      </c>
    </row>
    <row r="1184" spans="1:8" x14ac:dyDescent="0.25">
      <c r="A1184" s="73">
        <v>44845</v>
      </c>
      <c r="B1184" s="74" t="s">
        <v>32775</v>
      </c>
      <c r="C1184" s="75" t="s">
        <v>359</v>
      </c>
      <c r="D1184" s="81">
        <v>1401.6</v>
      </c>
      <c r="E1184" s="230">
        <v>44845</v>
      </c>
      <c r="F1184" s="81">
        <v>1401.6</v>
      </c>
      <c r="G1184" s="197">
        <f>Tabla111[[#This Row],[Importe]]-Tabla111[[#This Row],[Pagado]]</f>
        <v>0</v>
      </c>
      <c r="H1184" s="75" t="s">
        <v>10</v>
      </c>
    </row>
    <row r="1185" spans="1:8" x14ac:dyDescent="0.25">
      <c r="A1185" s="148">
        <v>44845</v>
      </c>
      <c r="B1185" s="149" t="s">
        <v>32776</v>
      </c>
      <c r="C1185" s="153" t="s">
        <v>1313</v>
      </c>
      <c r="D1185" s="154">
        <v>3672</v>
      </c>
      <c r="E1185" s="231">
        <v>44845</v>
      </c>
      <c r="F1185" s="154">
        <v>3672</v>
      </c>
      <c r="G1185" s="197">
        <f>Tabla111[[#This Row],[Importe]]-Tabla111[[#This Row],[Pagado]]</f>
        <v>0</v>
      </c>
      <c r="H1185" s="153" t="s">
        <v>10</v>
      </c>
    </row>
    <row r="1186" spans="1:8" x14ac:dyDescent="0.25">
      <c r="A1186" s="73">
        <v>44845</v>
      </c>
      <c r="B1186" s="74" t="s">
        <v>32777</v>
      </c>
      <c r="C1186" s="75" t="s">
        <v>296</v>
      </c>
      <c r="D1186" s="81">
        <v>3867.6</v>
      </c>
      <c r="E1186" s="230">
        <v>44845</v>
      </c>
      <c r="F1186" s="81">
        <v>3867.6</v>
      </c>
      <c r="G1186" s="197">
        <f>Tabla111[[#This Row],[Importe]]-Tabla111[[#This Row],[Pagado]]</f>
        <v>0</v>
      </c>
      <c r="H1186" s="75" t="s">
        <v>10</v>
      </c>
    </row>
    <row r="1187" spans="1:8" x14ac:dyDescent="0.25">
      <c r="A1187" s="148">
        <v>44845</v>
      </c>
      <c r="B1187" s="149" t="s">
        <v>32778</v>
      </c>
      <c r="C1187" s="153" t="s">
        <v>204</v>
      </c>
      <c r="D1187" s="154">
        <v>1368.8</v>
      </c>
      <c r="E1187" s="231">
        <v>44845</v>
      </c>
      <c r="F1187" s="154">
        <v>1368.8</v>
      </c>
      <c r="G1187" s="197">
        <f>Tabla111[[#This Row],[Importe]]-Tabla111[[#This Row],[Pagado]]</f>
        <v>0</v>
      </c>
      <c r="H1187" s="153" t="s">
        <v>10</v>
      </c>
    </row>
    <row r="1188" spans="1:8" x14ac:dyDescent="0.25">
      <c r="A1188" s="73">
        <v>44845</v>
      </c>
      <c r="B1188" s="74" t="s">
        <v>32779</v>
      </c>
      <c r="C1188" s="75" t="s">
        <v>31</v>
      </c>
      <c r="D1188" s="81">
        <v>6776</v>
      </c>
      <c r="E1188" s="230">
        <v>44845</v>
      </c>
      <c r="F1188" s="81">
        <v>6776</v>
      </c>
      <c r="G1188" s="197">
        <f>Tabla111[[#This Row],[Importe]]-Tabla111[[#This Row],[Pagado]]</f>
        <v>0</v>
      </c>
      <c r="H1188" s="75" t="s">
        <v>10</v>
      </c>
    </row>
    <row r="1189" spans="1:8" x14ac:dyDescent="0.25">
      <c r="A1189" s="148">
        <v>44845</v>
      </c>
      <c r="B1189" s="149" t="s">
        <v>32780</v>
      </c>
      <c r="C1189" s="153" t="s">
        <v>31</v>
      </c>
      <c r="D1189" s="154">
        <v>127.5</v>
      </c>
      <c r="E1189" s="231">
        <v>44845</v>
      </c>
      <c r="F1189" s="154">
        <v>127.5</v>
      </c>
      <c r="G1189" s="197">
        <f>Tabla111[[#This Row],[Importe]]-Tabla111[[#This Row],[Pagado]]</f>
        <v>0</v>
      </c>
      <c r="H1189" s="153" t="s">
        <v>10</v>
      </c>
    </row>
    <row r="1190" spans="1:8" x14ac:dyDescent="0.25">
      <c r="A1190" s="73">
        <v>44845</v>
      </c>
      <c r="B1190" s="74" t="s">
        <v>32781</v>
      </c>
      <c r="C1190" s="75" t="s">
        <v>196</v>
      </c>
      <c r="D1190" s="81">
        <v>134724.47</v>
      </c>
      <c r="E1190" s="230">
        <v>44848</v>
      </c>
      <c r="F1190" s="81">
        <v>134724.47</v>
      </c>
      <c r="G1190" s="197">
        <f>Tabla111[[#This Row],[Importe]]-Tabla111[[#This Row],[Pagado]]</f>
        <v>0</v>
      </c>
      <c r="H1190" s="75" t="s">
        <v>10</v>
      </c>
    </row>
    <row r="1191" spans="1:8" x14ac:dyDescent="0.25">
      <c r="A1191" s="148">
        <v>44845</v>
      </c>
      <c r="B1191" s="149" t="s">
        <v>32782</v>
      </c>
      <c r="C1191" s="153" t="s">
        <v>10678</v>
      </c>
      <c r="D1191" s="154">
        <v>2109.6999999999998</v>
      </c>
      <c r="E1191" s="231">
        <v>44845</v>
      </c>
      <c r="F1191" s="154">
        <v>2109.6999999999998</v>
      </c>
      <c r="G1191" s="197">
        <f>Tabla111[[#This Row],[Importe]]-Tabla111[[#This Row],[Pagado]]</f>
        <v>0</v>
      </c>
      <c r="H1191" s="153" t="s">
        <v>10</v>
      </c>
    </row>
    <row r="1192" spans="1:8" x14ac:dyDescent="0.25">
      <c r="A1192" s="73">
        <v>44845</v>
      </c>
      <c r="B1192" s="74" t="s">
        <v>32783</v>
      </c>
      <c r="C1192" s="75" t="s">
        <v>414</v>
      </c>
      <c r="D1192" s="81">
        <v>22425</v>
      </c>
      <c r="E1192" s="230">
        <v>44852</v>
      </c>
      <c r="F1192" s="81">
        <v>22425</v>
      </c>
      <c r="G1192" s="197">
        <f>Tabla111[[#This Row],[Importe]]-Tabla111[[#This Row],[Pagado]]</f>
        <v>0</v>
      </c>
      <c r="H1192" s="75" t="s">
        <v>10</v>
      </c>
    </row>
    <row r="1193" spans="1:8" x14ac:dyDescent="0.25">
      <c r="A1193" s="148">
        <v>44845</v>
      </c>
      <c r="B1193" s="149" t="s">
        <v>32784</v>
      </c>
      <c r="C1193" s="153" t="s">
        <v>433</v>
      </c>
      <c r="D1193" s="154">
        <v>22500</v>
      </c>
      <c r="E1193" s="231">
        <v>44845</v>
      </c>
      <c r="F1193" s="154">
        <v>22500</v>
      </c>
      <c r="G1193" s="197">
        <f>Tabla111[[#This Row],[Importe]]-Tabla111[[#This Row],[Pagado]]</f>
        <v>0</v>
      </c>
      <c r="H1193" s="153" t="s">
        <v>10</v>
      </c>
    </row>
    <row r="1194" spans="1:8" x14ac:dyDescent="0.25">
      <c r="A1194" s="73">
        <v>44845</v>
      </c>
      <c r="B1194" s="74" t="s">
        <v>32785</v>
      </c>
      <c r="C1194" s="75" t="s">
        <v>67</v>
      </c>
      <c r="D1194" s="81">
        <v>2370</v>
      </c>
      <c r="E1194" s="230">
        <v>44845</v>
      </c>
      <c r="F1194" s="81">
        <v>2370</v>
      </c>
      <c r="G1194" s="197">
        <f>Tabla111[[#This Row],[Importe]]-Tabla111[[#This Row],[Pagado]]</f>
        <v>0</v>
      </c>
      <c r="H1194" s="75" t="s">
        <v>10</v>
      </c>
    </row>
    <row r="1195" spans="1:8" x14ac:dyDescent="0.25">
      <c r="A1195" s="148">
        <v>44845</v>
      </c>
      <c r="B1195" s="149" t="s">
        <v>32786</v>
      </c>
      <c r="C1195" s="153" t="s">
        <v>284</v>
      </c>
      <c r="D1195" s="154">
        <v>9000</v>
      </c>
      <c r="E1195" s="231">
        <v>44846</v>
      </c>
      <c r="F1195" s="154">
        <v>9000</v>
      </c>
      <c r="G1195" s="197">
        <f>Tabla111[[#This Row],[Importe]]-Tabla111[[#This Row],[Pagado]]</f>
        <v>0</v>
      </c>
      <c r="H1195" s="153" t="s">
        <v>10</v>
      </c>
    </row>
    <row r="1196" spans="1:8" x14ac:dyDescent="0.25">
      <c r="A1196" s="73">
        <v>44845</v>
      </c>
      <c r="B1196" s="74" t="s">
        <v>32787</v>
      </c>
      <c r="C1196" s="75" t="s">
        <v>282</v>
      </c>
      <c r="D1196" s="81">
        <v>1837.5</v>
      </c>
      <c r="E1196" s="230">
        <v>44846</v>
      </c>
      <c r="F1196" s="81">
        <v>1837.5</v>
      </c>
      <c r="G1196" s="197">
        <f>Tabla111[[#This Row],[Importe]]-Tabla111[[#This Row],[Pagado]]</f>
        <v>0</v>
      </c>
      <c r="H1196" s="75" t="s">
        <v>10</v>
      </c>
    </row>
    <row r="1197" spans="1:8" x14ac:dyDescent="0.25">
      <c r="A1197" s="148">
        <v>44845</v>
      </c>
      <c r="B1197" s="149" t="s">
        <v>32788</v>
      </c>
      <c r="C1197" s="153" t="s">
        <v>280</v>
      </c>
      <c r="D1197" s="154">
        <v>705</v>
      </c>
      <c r="E1197" s="231">
        <v>44846</v>
      </c>
      <c r="F1197" s="154">
        <v>705</v>
      </c>
      <c r="G1197" s="197">
        <f>Tabla111[[#This Row],[Importe]]-Tabla111[[#This Row],[Pagado]]</f>
        <v>0</v>
      </c>
      <c r="H1197" s="153" t="s">
        <v>10</v>
      </c>
    </row>
    <row r="1198" spans="1:8" x14ac:dyDescent="0.25">
      <c r="A1198" s="73">
        <v>44845</v>
      </c>
      <c r="B1198" s="74" t="s">
        <v>32789</v>
      </c>
      <c r="C1198" s="75" t="s">
        <v>10819</v>
      </c>
      <c r="D1198" s="81">
        <v>2002.5</v>
      </c>
      <c r="E1198" s="230">
        <v>44846</v>
      </c>
      <c r="F1198" s="81">
        <v>2002.5</v>
      </c>
      <c r="G1198" s="197">
        <f>Tabla111[[#This Row],[Importe]]-Tabla111[[#This Row],[Pagado]]</f>
        <v>0</v>
      </c>
      <c r="H1198" s="75" t="s">
        <v>10</v>
      </c>
    </row>
    <row r="1199" spans="1:8" x14ac:dyDescent="0.25">
      <c r="A1199" s="148">
        <v>44845</v>
      </c>
      <c r="B1199" s="149" t="s">
        <v>32790</v>
      </c>
      <c r="C1199" s="153" t="s">
        <v>1008</v>
      </c>
      <c r="D1199" s="154">
        <v>3192</v>
      </c>
      <c r="E1199" s="231">
        <v>44845</v>
      </c>
      <c r="F1199" s="154">
        <v>3192</v>
      </c>
      <c r="G1199" s="197">
        <f>Tabla111[[#This Row],[Importe]]-Tabla111[[#This Row],[Pagado]]</f>
        <v>0</v>
      </c>
      <c r="H1199" s="153" t="s">
        <v>10</v>
      </c>
    </row>
    <row r="1200" spans="1:8" x14ac:dyDescent="0.25">
      <c r="A1200" s="73">
        <v>44845</v>
      </c>
      <c r="B1200" s="74" t="s">
        <v>32791</v>
      </c>
      <c r="C1200" s="75" t="s">
        <v>296</v>
      </c>
      <c r="D1200" s="81">
        <v>4940</v>
      </c>
      <c r="E1200" s="230">
        <v>44845</v>
      </c>
      <c r="F1200" s="81">
        <v>4940</v>
      </c>
      <c r="G1200" s="197">
        <f>Tabla111[[#This Row],[Importe]]-Tabla111[[#This Row],[Pagado]]</f>
        <v>0</v>
      </c>
      <c r="H1200" s="75" t="s">
        <v>10</v>
      </c>
    </row>
    <row r="1201" spans="1:8" x14ac:dyDescent="0.25">
      <c r="A1201" s="148">
        <v>44845</v>
      </c>
      <c r="B1201" s="149" t="s">
        <v>32792</v>
      </c>
      <c r="C1201" s="153" t="s">
        <v>10190</v>
      </c>
      <c r="D1201" s="154">
        <v>20619</v>
      </c>
      <c r="E1201" s="231">
        <v>44846</v>
      </c>
      <c r="F1201" s="154">
        <v>20619</v>
      </c>
      <c r="G1201" s="197">
        <f>Tabla111[[#This Row],[Importe]]-Tabla111[[#This Row],[Pagado]]</f>
        <v>0</v>
      </c>
      <c r="H1201" s="153" t="s">
        <v>10</v>
      </c>
    </row>
    <row r="1202" spans="1:8" x14ac:dyDescent="0.25">
      <c r="A1202" s="73">
        <v>44845</v>
      </c>
      <c r="B1202" s="74" t="s">
        <v>32793</v>
      </c>
      <c r="C1202" s="75" t="s">
        <v>409</v>
      </c>
      <c r="D1202" s="81">
        <v>1356</v>
      </c>
      <c r="E1202" s="230">
        <v>44847</v>
      </c>
      <c r="F1202" s="81">
        <v>1356</v>
      </c>
      <c r="G1202" s="197">
        <f>Tabla111[[#This Row],[Importe]]-Tabla111[[#This Row],[Pagado]]</f>
        <v>0</v>
      </c>
      <c r="H1202" s="75" t="s">
        <v>10</v>
      </c>
    </row>
    <row r="1203" spans="1:8" x14ac:dyDescent="0.25">
      <c r="A1203" s="148">
        <v>44845</v>
      </c>
      <c r="B1203" s="149" t="s">
        <v>32794</v>
      </c>
      <c r="C1203" s="153" t="s">
        <v>53</v>
      </c>
      <c r="D1203" s="154">
        <v>1193.2</v>
      </c>
      <c r="E1203" s="231">
        <v>44846</v>
      </c>
      <c r="F1203" s="154">
        <v>1193.2</v>
      </c>
      <c r="G1203" s="197">
        <f>Tabla111[[#This Row],[Importe]]-Tabla111[[#This Row],[Pagado]]</f>
        <v>0</v>
      </c>
      <c r="H1203" s="153" t="s">
        <v>10</v>
      </c>
    </row>
    <row r="1204" spans="1:8" x14ac:dyDescent="0.25">
      <c r="A1204" s="73">
        <v>44845</v>
      </c>
      <c r="B1204" s="74" t="s">
        <v>32795</v>
      </c>
      <c r="C1204" s="75" t="s">
        <v>69</v>
      </c>
      <c r="D1204" s="81">
        <v>2452.5</v>
      </c>
      <c r="E1204" s="230">
        <v>44846</v>
      </c>
      <c r="F1204" s="81">
        <v>2452.5</v>
      </c>
      <c r="G1204" s="197">
        <f>Tabla111[[#This Row],[Importe]]-Tabla111[[#This Row],[Pagado]]</f>
        <v>0</v>
      </c>
      <c r="H1204" s="75" t="s">
        <v>10</v>
      </c>
    </row>
    <row r="1205" spans="1:8" x14ac:dyDescent="0.25">
      <c r="A1205" s="148">
        <v>44846</v>
      </c>
      <c r="B1205" s="149" t="s">
        <v>32796</v>
      </c>
      <c r="C1205" s="153" t="s">
        <v>475</v>
      </c>
      <c r="D1205" s="154">
        <v>39516.6</v>
      </c>
      <c r="E1205" s="231">
        <v>44847</v>
      </c>
      <c r="F1205" s="154">
        <v>39516.6</v>
      </c>
      <c r="G1205" s="197">
        <f>Tabla111[[#This Row],[Importe]]-Tabla111[[#This Row],[Pagado]]</f>
        <v>0</v>
      </c>
      <c r="H1205" s="153" t="s">
        <v>10</v>
      </c>
    </row>
    <row r="1206" spans="1:8" x14ac:dyDescent="0.25">
      <c r="A1206" s="73">
        <v>44846</v>
      </c>
      <c r="B1206" s="74" t="s">
        <v>32797</v>
      </c>
      <c r="C1206" s="75" t="s">
        <v>83</v>
      </c>
      <c r="D1206" s="81">
        <v>7735.28</v>
      </c>
      <c r="E1206" s="230">
        <v>44846</v>
      </c>
      <c r="F1206" s="81">
        <v>7735.28</v>
      </c>
      <c r="G1206" s="197">
        <f>Tabla111[[#This Row],[Importe]]-Tabla111[[#This Row],[Pagado]]</f>
        <v>0</v>
      </c>
      <c r="H1206" s="75" t="s">
        <v>10</v>
      </c>
    </row>
    <row r="1207" spans="1:8" x14ac:dyDescent="0.25">
      <c r="A1207" s="148">
        <v>44846</v>
      </c>
      <c r="B1207" s="149" t="s">
        <v>32798</v>
      </c>
      <c r="C1207" s="153" t="s">
        <v>12</v>
      </c>
      <c r="D1207" s="154">
        <v>15321.9</v>
      </c>
      <c r="E1207" s="231">
        <v>44846</v>
      </c>
      <c r="F1207" s="154">
        <v>15321.9</v>
      </c>
      <c r="G1207" s="197">
        <f>Tabla111[[#This Row],[Importe]]-Tabla111[[#This Row],[Pagado]]</f>
        <v>0</v>
      </c>
      <c r="H1207" s="153" t="s">
        <v>10</v>
      </c>
    </row>
    <row r="1208" spans="1:8" x14ac:dyDescent="0.25">
      <c r="A1208" s="73">
        <v>44846</v>
      </c>
      <c r="B1208" s="74" t="s">
        <v>32799</v>
      </c>
      <c r="C1208" s="75" t="s">
        <v>12</v>
      </c>
      <c r="D1208" s="81">
        <v>2271.8000000000002</v>
      </c>
      <c r="E1208" s="230">
        <v>44846</v>
      </c>
      <c r="F1208" s="81">
        <v>2271.8000000000002</v>
      </c>
      <c r="G1208" s="197">
        <f>Tabla111[[#This Row],[Importe]]-Tabla111[[#This Row],[Pagado]]</f>
        <v>0</v>
      </c>
      <c r="H1208" s="75" t="s">
        <v>10</v>
      </c>
    </row>
    <row r="1209" spans="1:8" x14ac:dyDescent="0.25">
      <c r="A1209" s="148">
        <v>44846</v>
      </c>
      <c r="B1209" s="149" t="s">
        <v>32800</v>
      </c>
      <c r="C1209" s="153" t="s">
        <v>16</v>
      </c>
      <c r="D1209" s="154">
        <v>3468.6</v>
      </c>
      <c r="E1209" s="231">
        <v>44846</v>
      </c>
      <c r="F1209" s="154">
        <v>3468.6</v>
      </c>
      <c r="G1209" s="197">
        <f>Tabla111[[#This Row],[Importe]]-Tabla111[[#This Row],[Pagado]]</f>
        <v>0</v>
      </c>
      <c r="H1209" s="153" t="s">
        <v>10</v>
      </c>
    </row>
    <row r="1210" spans="1:8" x14ac:dyDescent="0.25">
      <c r="A1210" s="73">
        <v>44846</v>
      </c>
      <c r="B1210" s="74" t="s">
        <v>32801</v>
      </c>
      <c r="C1210" s="75" t="s">
        <v>16</v>
      </c>
      <c r="D1210" s="81">
        <v>6231.3</v>
      </c>
      <c r="E1210" s="230">
        <v>44846</v>
      </c>
      <c r="F1210" s="81">
        <v>6231.3</v>
      </c>
      <c r="G1210" s="197">
        <f>Tabla111[[#This Row],[Importe]]-Tabla111[[#This Row],[Pagado]]</f>
        <v>0</v>
      </c>
      <c r="H1210" s="75" t="s">
        <v>10</v>
      </c>
    </row>
    <row r="1211" spans="1:8" x14ac:dyDescent="0.25">
      <c r="A1211" s="148">
        <v>44846</v>
      </c>
      <c r="B1211" s="149" t="s">
        <v>32802</v>
      </c>
      <c r="C1211" s="153" t="s">
        <v>87</v>
      </c>
      <c r="D1211" s="154">
        <v>2522.5</v>
      </c>
      <c r="E1211" s="231">
        <v>44846</v>
      </c>
      <c r="F1211" s="154">
        <v>2522.5</v>
      </c>
      <c r="G1211" s="197">
        <f>Tabla111[[#This Row],[Importe]]-Tabla111[[#This Row],[Pagado]]</f>
        <v>0</v>
      </c>
      <c r="H1211" s="153" t="s">
        <v>10</v>
      </c>
    </row>
    <row r="1212" spans="1:8" x14ac:dyDescent="0.25">
      <c r="A1212" s="73">
        <v>44846</v>
      </c>
      <c r="B1212" s="74" t="s">
        <v>32803</v>
      </c>
      <c r="C1212" s="75" t="s">
        <v>31323</v>
      </c>
      <c r="D1212" s="81">
        <v>3840</v>
      </c>
      <c r="E1212" s="230">
        <v>44846</v>
      </c>
      <c r="F1212" s="81">
        <v>3840</v>
      </c>
      <c r="G1212" s="197">
        <f>Tabla111[[#This Row],[Importe]]-Tabla111[[#This Row],[Pagado]]</f>
        <v>0</v>
      </c>
      <c r="H1212" s="75" t="s">
        <v>10</v>
      </c>
    </row>
    <row r="1213" spans="1:8" x14ac:dyDescent="0.25">
      <c r="A1213" s="148">
        <v>44846</v>
      </c>
      <c r="B1213" s="149" t="s">
        <v>32804</v>
      </c>
      <c r="C1213" s="153" t="s">
        <v>481</v>
      </c>
      <c r="D1213" s="154">
        <v>577.6</v>
      </c>
      <c r="E1213" s="231">
        <v>44846</v>
      </c>
      <c r="F1213" s="154">
        <v>577.6</v>
      </c>
      <c r="G1213" s="197">
        <f>Tabla111[[#This Row],[Importe]]-Tabla111[[#This Row],[Pagado]]</f>
        <v>0</v>
      </c>
      <c r="H1213" s="153" t="s">
        <v>10</v>
      </c>
    </row>
    <row r="1214" spans="1:8" x14ac:dyDescent="0.25">
      <c r="A1214" s="73">
        <v>44846</v>
      </c>
      <c r="B1214" s="74" t="s">
        <v>32805</v>
      </c>
      <c r="C1214" s="75" t="s">
        <v>414</v>
      </c>
      <c r="D1214" s="81">
        <v>202.1</v>
      </c>
      <c r="E1214" s="230">
        <v>44846</v>
      </c>
      <c r="F1214" s="81">
        <v>202.1</v>
      </c>
      <c r="G1214" s="197">
        <f>Tabla111[[#This Row],[Importe]]-Tabla111[[#This Row],[Pagado]]</f>
        <v>0</v>
      </c>
      <c r="H1214" s="75" t="s">
        <v>10</v>
      </c>
    </row>
    <row r="1215" spans="1:8" x14ac:dyDescent="0.25">
      <c r="A1215" s="148">
        <v>44846</v>
      </c>
      <c r="B1215" s="149" t="s">
        <v>32806</v>
      </c>
      <c r="C1215" s="153" t="s">
        <v>9993</v>
      </c>
      <c r="D1215" s="154">
        <v>41999.88</v>
      </c>
      <c r="E1215" s="231">
        <v>44846</v>
      </c>
      <c r="F1215" s="154">
        <v>41999.88</v>
      </c>
      <c r="G1215" s="197">
        <f>Tabla111[[#This Row],[Importe]]-Tabla111[[#This Row],[Pagado]]</f>
        <v>0</v>
      </c>
      <c r="H1215" s="153" t="s">
        <v>10</v>
      </c>
    </row>
    <row r="1216" spans="1:8" x14ac:dyDescent="0.25">
      <c r="A1216" s="73">
        <v>44846</v>
      </c>
      <c r="B1216" s="74" t="s">
        <v>32807</v>
      </c>
      <c r="C1216" s="75" t="s">
        <v>64</v>
      </c>
      <c r="D1216" s="81">
        <v>5765.5</v>
      </c>
      <c r="E1216" s="230">
        <v>44848</v>
      </c>
      <c r="F1216" s="81">
        <v>5765.5</v>
      </c>
      <c r="G1216" s="197">
        <f>Tabla111[[#This Row],[Importe]]-Tabla111[[#This Row],[Pagado]]</f>
        <v>0</v>
      </c>
      <c r="H1216" s="75" t="s">
        <v>10</v>
      </c>
    </row>
    <row r="1217" spans="1:8" x14ac:dyDescent="0.25">
      <c r="A1217" s="148">
        <v>44846</v>
      </c>
      <c r="B1217" s="149" t="s">
        <v>32808</v>
      </c>
      <c r="C1217" s="153" t="s">
        <v>60</v>
      </c>
      <c r="D1217" s="154">
        <v>5596.5</v>
      </c>
      <c r="E1217" s="231">
        <v>44848</v>
      </c>
      <c r="F1217" s="154">
        <v>5596.5</v>
      </c>
      <c r="G1217" s="197">
        <f>Tabla111[[#This Row],[Importe]]-Tabla111[[#This Row],[Pagado]]</f>
        <v>0</v>
      </c>
      <c r="H1217" s="153" t="s">
        <v>10</v>
      </c>
    </row>
    <row r="1218" spans="1:8" x14ac:dyDescent="0.25">
      <c r="A1218" s="73">
        <v>44846</v>
      </c>
      <c r="B1218" s="74" t="s">
        <v>32809</v>
      </c>
      <c r="C1218" s="75" t="s">
        <v>105</v>
      </c>
      <c r="D1218" s="81">
        <v>9324.6</v>
      </c>
      <c r="E1218" s="230">
        <v>44846</v>
      </c>
      <c r="F1218" s="81">
        <v>9324.6</v>
      </c>
      <c r="G1218" s="197">
        <f>Tabla111[[#This Row],[Importe]]-Tabla111[[#This Row],[Pagado]]</f>
        <v>0</v>
      </c>
      <c r="H1218" s="75" t="s">
        <v>10</v>
      </c>
    </row>
    <row r="1219" spans="1:8" x14ac:dyDescent="0.25">
      <c r="A1219" s="148">
        <v>44846</v>
      </c>
      <c r="B1219" s="149" t="s">
        <v>32810</v>
      </c>
      <c r="C1219" s="153" t="s">
        <v>111</v>
      </c>
      <c r="D1219" s="154">
        <v>4953</v>
      </c>
      <c r="E1219" s="231">
        <v>44847</v>
      </c>
      <c r="F1219" s="154">
        <v>4953</v>
      </c>
      <c r="G1219" s="197">
        <f>Tabla111[[#This Row],[Importe]]-Tabla111[[#This Row],[Pagado]]</f>
        <v>0</v>
      </c>
      <c r="H1219" s="153" t="s">
        <v>10</v>
      </c>
    </row>
    <row r="1220" spans="1:8" x14ac:dyDescent="0.25">
      <c r="A1220" s="73">
        <v>44846</v>
      </c>
      <c r="B1220" s="74" t="s">
        <v>32811</v>
      </c>
      <c r="C1220" s="75" t="s">
        <v>97</v>
      </c>
      <c r="D1220" s="81">
        <v>4407</v>
      </c>
      <c r="E1220" s="230">
        <v>44847</v>
      </c>
      <c r="F1220" s="81">
        <v>4407</v>
      </c>
      <c r="G1220" s="197">
        <f>Tabla111[[#This Row],[Importe]]-Tabla111[[#This Row],[Pagado]]</f>
        <v>0</v>
      </c>
      <c r="H1220" s="75" t="s">
        <v>10</v>
      </c>
    </row>
    <row r="1221" spans="1:8" x14ac:dyDescent="0.25">
      <c r="A1221" s="148">
        <v>44846</v>
      </c>
      <c r="B1221" s="149" t="s">
        <v>32812</v>
      </c>
      <c r="C1221" s="153" t="s">
        <v>326</v>
      </c>
      <c r="D1221" s="154">
        <v>4757</v>
      </c>
      <c r="E1221" s="231">
        <v>44847</v>
      </c>
      <c r="F1221" s="154">
        <v>4757</v>
      </c>
      <c r="G1221" s="197">
        <f>Tabla111[[#This Row],[Importe]]-Tabla111[[#This Row],[Pagado]]</f>
        <v>0</v>
      </c>
      <c r="H1221" s="153" t="s">
        <v>10</v>
      </c>
    </row>
    <row r="1222" spans="1:8" x14ac:dyDescent="0.25">
      <c r="A1222" s="73">
        <v>44846</v>
      </c>
      <c r="B1222" s="74" t="s">
        <v>32813</v>
      </c>
      <c r="C1222" s="75" t="s">
        <v>114</v>
      </c>
      <c r="D1222" s="81">
        <v>7033</v>
      </c>
      <c r="E1222" s="230">
        <v>44847</v>
      </c>
      <c r="F1222" s="81">
        <v>7033</v>
      </c>
      <c r="G1222" s="197">
        <f>Tabla111[[#This Row],[Importe]]-Tabla111[[#This Row],[Pagado]]</f>
        <v>0</v>
      </c>
      <c r="H1222" s="75" t="s">
        <v>10</v>
      </c>
    </row>
    <row r="1223" spans="1:8" x14ac:dyDescent="0.25">
      <c r="A1223" s="148">
        <v>44846</v>
      </c>
      <c r="B1223" s="149" t="s">
        <v>32814</v>
      </c>
      <c r="C1223" s="153" t="s">
        <v>89</v>
      </c>
      <c r="D1223" s="154">
        <v>10550.2</v>
      </c>
      <c r="E1223" s="231">
        <v>44847</v>
      </c>
      <c r="F1223" s="154">
        <v>10550.2</v>
      </c>
      <c r="G1223" s="197">
        <f>Tabla111[[#This Row],[Importe]]-Tabla111[[#This Row],[Pagado]]</f>
        <v>0</v>
      </c>
      <c r="H1223" s="153" t="s">
        <v>10</v>
      </c>
    </row>
    <row r="1224" spans="1:8" x14ac:dyDescent="0.25">
      <c r="A1224" s="73">
        <v>44846</v>
      </c>
      <c r="B1224" s="74" t="s">
        <v>32815</v>
      </c>
      <c r="C1224" s="75" t="s">
        <v>2151</v>
      </c>
      <c r="D1224" s="81">
        <v>11238.2</v>
      </c>
      <c r="E1224" s="230">
        <v>44846</v>
      </c>
      <c r="F1224" s="81">
        <v>11238.2</v>
      </c>
      <c r="G1224" s="197">
        <f>Tabla111[[#This Row],[Importe]]-Tabla111[[#This Row],[Pagado]]</f>
        <v>0</v>
      </c>
      <c r="H1224" s="75" t="s">
        <v>10</v>
      </c>
    </row>
    <row r="1225" spans="1:8" x14ac:dyDescent="0.25">
      <c r="A1225" s="148">
        <v>44846</v>
      </c>
      <c r="B1225" s="149" t="s">
        <v>32816</v>
      </c>
      <c r="C1225" s="153" t="s">
        <v>131</v>
      </c>
      <c r="D1225" s="154">
        <v>4699</v>
      </c>
      <c r="E1225" s="231">
        <v>44846</v>
      </c>
      <c r="F1225" s="154">
        <v>4699</v>
      </c>
      <c r="G1225" s="197">
        <f>Tabla111[[#This Row],[Importe]]-Tabla111[[#This Row],[Pagado]]</f>
        <v>0</v>
      </c>
      <c r="H1225" s="153" t="s">
        <v>10</v>
      </c>
    </row>
    <row r="1226" spans="1:8" x14ac:dyDescent="0.25">
      <c r="A1226" s="73">
        <v>44846</v>
      </c>
      <c r="B1226" s="74" t="s">
        <v>32817</v>
      </c>
      <c r="C1226" s="75" t="s">
        <v>9993</v>
      </c>
      <c r="D1226" s="81">
        <v>15013.8</v>
      </c>
      <c r="E1226" s="230">
        <v>44846</v>
      </c>
      <c r="F1226" s="81">
        <v>15013.8</v>
      </c>
      <c r="G1226" s="197">
        <f>Tabla111[[#This Row],[Importe]]-Tabla111[[#This Row],[Pagado]]</f>
        <v>0</v>
      </c>
      <c r="H1226" s="75" t="s">
        <v>10</v>
      </c>
    </row>
    <row r="1227" spans="1:8" x14ac:dyDescent="0.25">
      <c r="A1227" s="148">
        <v>44846</v>
      </c>
      <c r="B1227" s="149" t="s">
        <v>32818</v>
      </c>
      <c r="C1227" s="153" t="s">
        <v>348</v>
      </c>
      <c r="D1227" s="154">
        <v>4925.3999999999996</v>
      </c>
      <c r="E1227" s="231">
        <v>44846</v>
      </c>
      <c r="F1227" s="154">
        <v>4925.3999999999996</v>
      </c>
      <c r="G1227" s="197">
        <f>Tabla111[[#This Row],[Importe]]-Tabla111[[#This Row],[Pagado]]</f>
        <v>0</v>
      </c>
      <c r="H1227" s="153" t="s">
        <v>10</v>
      </c>
    </row>
    <row r="1228" spans="1:8" x14ac:dyDescent="0.25">
      <c r="A1228" s="73">
        <v>44846</v>
      </c>
      <c r="B1228" s="74" t="s">
        <v>32819</v>
      </c>
      <c r="C1228" s="75" t="s">
        <v>9</v>
      </c>
      <c r="D1228" s="81">
        <v>7811</v>
      </c>
      <c r="E1228" s="230">
        <v>44846</v>
      </c>
      <c r="F1228" s="81">
        <v>7811</v>
      </c>
      <c r="G1228" s="197">
        <f>Tabla111[[#This Row],[Importe]]-Tabla111[[#This Row],[Pagado]]</f>
        <v>0</v>
      </c>
      <c r="H1228" s="75" t="s">
        <v>10</v>
      </c>
    </row>
    <row r="1229" spans="1:8" x14ac:dyDescent="0.25">
      <c r="A1229" s="148">
        <v>44846</v>
      </c>
      <c r="B1229" s="149" t="s">
        <v>32820</v>
      </c>
      <c r="C1229" s="153" t="s">
        <v>9993</v>
      </c>
      <c r="D1229" s="154">
        <v>3248</v>
      </c>
      <c r="E1229" s="231">
        <v>44846</v>
      </c>
      <c r="F1229" s="154">
        <v>3248</v>
      </c>
      <c r="G1229" s="197">
        <f>Tabla111[[#This Row],[Importe]]-Tabla111[[#This Row],[Pagado]]</f>
        <v>0</v>
      </c>
      <c r="H1229" s="153" t="s">
        <v>10</v>
      </c>
    </row>
    <row r="1230" spans="1:8" x14ac:dyDescent="0.25">
      <c r="A1230" s="73">
        <v>44846</v>
      </c>
      <c r="B1230" s="74" t="s">
        <v>32821</v>
      </c>
      <c r="C1230" s="75" t="s">
        <v>31</v>
      </c>
      <c r="D1230" s="81">
        <v>1016.4</v>
      </c>
      <c r="E1230" s="230">
        <v>44846</v>
      </c>
      <c r="F1230" s="81">
        <v>1016.4</v>
      </c>
      <c r="G1230" s="197">
        <f>Tabla111[[#This Row],[Importe]]-Tabla111[[#This Row],[Pagado]]</f>
        <v>0</v>
      </c>
      <c r="H1230" s="75" t="s">
        <v>10</v>
      </c>
    </row>
    <row r="1231" spans="1:8" x14ac:dyDescent="0.25">
      <c r="A1231" s="148">
        <v>44846</v>
      </c>
      <c r="B1231" s="149" t="s">
        <v>32822</v>
      </c>
      <c r="C1231" s="153" t="s">
        <v>31</v>
      </c>
      <c r="D1231" s="154">
        <v>3323.1</v>
      </c>
      <c r="E1231" s="231">
        <v>44846</v>
      </c>
      <c r="F1231" s="154">
        <v>3323.1</v>
      </c>
      <c r="G1231" s="197">
        <f>Tabla111[[#This Row],[Importe]]-Tabla111[[#This Row],[Pagado]]</f>
        <v>0</v>
      </c>
      <c r="H1231" s="153" t="s">
        <v>10</v>
      </c>
    </row>
    <row r="1232" spans="1:8" x14ac:dyDescent="0.25">
      <c r="A1232" s="73">
        <v>44846</v>
      </c>
      <c r="B1232" s="74" t="s">
        <v>32823</v>
      </c>
      <c r="C1232" s="75" t="s">
        <v>27</v>
      </c>
      <c r="D1232" s="81">
        <v>1025</v>
      </c>
      <c r="E1232" s="230">
        <v>44846</v>
      </c>
      <c r="F1232" s="81">
        <v>1025</v>
      </c>
      <c r="G1232" s="197">
        <f>Tabla111[[#This Row],[Importe]]-Tabla111[[#This Row],[Pagado]]</f>
        <v>0</v>
      </c>
      <c r="H1232" s="75" t="s">
        <v>10</v>
      </c>
    </row>
    <row r="1233" spans="1:8" x14ac:dyDescent="0.25">
      <c r="A1233" s="148">
        <v>44846</v>
      </c>
      <c r="B1233" s="149" t="s">
        <v>32824</v>
      </c>
      <c r="C1233" s="153" t="s">
        <v>365</v>
      </c>
      <c r="D1233" s="154">
        <v>1209.5999999999999</v>
      </c>
      <c r="E1233" s="231">
        <v>44846</v>
      </c>
      <c r="F1233" s="154">
        <v>1209.5999999999999</v>
      </c>
      <c r="G1233" s="197">
        <f>Tabla111[[#This Row],[Importe]]-Tabla111[[#This Row],[Pagado]]</f>
        <v>0</v>
      </c>
      <c r="H1233" s="153" t="s">
        <v>10</v>
      </c>
    </row>
    <row r="1234" spans="1:8" x14ac:dyDescent="0.25">
      <c r="A1234" s="73">
        <v>44846</v>
      </c>
      <c r="B1234" s="74" t="s">
        <v>32825</v>
      </c>
      <c r="C1234" s="75" t="s">
        <v>181</v>
      </c>
      <c r="D1234" s="81">
        <v>12551.8</v>
      </c>
      <c r="E1234" s="230">
        <v>44846</v>
      </c>
      <c r="F1234" s="81">
        <v>12551.8</v>
      </c>
      <c r="G1234" s="197">
        <f>Tabla111[[#This Row],[Importe]]-Tabla111[[#This Row],[Pagado]]</f>
        <v>0</v>
      </c>
      <c r="H1234" s="75" t="s">
        <v>10</v>
      </c>
    </row>
    <row r="1235" spans="1:8" x14ac:dyDescent="0.25">
      <c r="A1235" s="148">
        <v>44846</v>
      </c>
      <c r="B1235" s="149" t="s">
        <v>32826</v>
      </c>
      <c r="C1235" s="153" t="s">
        <v>49</v>
      </c>
      <c r="D1235" s="154">
        <v>3977.2</v>
      </c>
      <c r="E1235" s="231">
        <v>44846</v>
      </c>
      <c r="F1235" s="154">
        <v>3977.2</v>
      </c>
      <c r="G1235" s="197">
        <f>Tabla111[[#This Row],[Importe]]-Tabla111[[#This Row],[Pagado]]</f>
        <v>0</v>
      </c>
      <c r="H1235" s="153" t="s">
        <v>10</v>
      </c>
    </row>
    <row r="1236" spans="1:8" x14ac:dyDescent="0.25">
      <c r="A1236" s="73">
        <v>44846</v>
      </c>
      <c r="B1236" s="74" t="s">
        <v>32827</v>
      </c>
      <c r="C1236" s="75" t="s">
        <v>426</v>
      </c>
      <c r="D1236" s="81">
        <v>2858.9</v>
      </c>
      <c r="E1236" s="230">
        <v>44846</v>
      </c>
      <c r="F1236" s="81">
        <v>2858.9</v>
      </c>
      <c r="G1236" s="197">
        <f>Tabla111[[#This Row],[Importe]]-Tabla111[[#This Row],[Pagado]]</f>
        <v>0</v>
      </c>
      <c r="H1236" s="75" t="s">
        <v>10</v>
      </c>
    </row>
    <row r="1237" spans="1:8" x14ac:dyDescent="0.25">
      <c r="A1237" s="148">
        <v>44846</v>
      </c>
      <c r="B1237" s="149" t="s">
        <v>32828</v>
      </c>
      <c r="C1237" s="153" t="s">
        <v>127</v>
      </c>
      <c r="D1237" s="154">
        <v>1578</v>
      </c>
      <c r="E1237" s="231">
        <v>44846</v>
      </c>
      <c r="F1237" s="154">
        <v>1578</v>
      </c>
      <c r="G1237" s="197">
        <f>Tabla111[[#This Row],[Importe]]-Tabla111[[#This Row],[Pagado]]</f>
        <v>0</v>
      </c>
      <c r="H1237" s="153" t="s">
        <v>10</v>
      </c>
    </row>
    <row r="1238" spans="1:8" x14ac:dyDescent="0.25">
      <c r="A1238" s="73">
        <v>44846</v>
      </c>
      <c r="B1238" s="74" t="s">
        <v>32829</v>
      </c>
      <c r="C1238" s="75" t="s">
        <v>357</v>
      </c>
      <c r="D1238" s="81">
        <v>4476.3999999999996</v>
      </c>
      <c r="E1238" s="230">
        <v>44846</v>
      </c>
      <c r="F1238" s="81">
        <v>4476.3999999999996</v>
      </c>
      <c r="G1238" s="197">
        <f>Tabla111[[#This Row],[Importe]]-Tabla111[[#This Row],[Pagado]]</f>
        <v>0</v>
      </c>
      <c r="H1238" s="75" t="s">
        <v>10</v>
      </c>
    </row>
    <row r="1239" spans="1:8" x14ac:dyDescent="0.25">
      <c r="A1239" s="148">
        <v>44846</v>
      </c>
      <c r="B1239" s="149" t="s">
        <v>32830</v>
      </c>
      <c r="C1239" s="153" t="s">
        <v>129</v>
      </c>
      <c r="D1239" s="154">
        <v>1132.4000000000001</v>
      </c>
      <c r="E1239" s="231">
        <v>44846</v>
      </c>
      <c r="F1239" s="154">
        <v>1132.4000000000001</v>
      </c>
      <c r="G1239" s="197">
        <f>Tabla111[[#This Row],[Importe]]-Tabla111[[#This Row],[Pagado]]</f>
        <v>0</v>
      </c>
      <c r="H1239" s="153" t="s">
        <v>10</v>
      </c>
    </row>
    <row r="1240" spans="1:8" x14ac:dyDescent="0.25">
      <c r="A1240" s="73">
        <v>44846</v>
      </c>
      <c r="B1240" s="74" t="s">
        <v>32831</v>
      </c>
      <c r="C1240" s="75" t="s">
        <v>333</v>
      </c>
      <c r="D1240" s="81">
        <v>313.26</v>
      </c>
      <c r="E1240" s="230">
        <v>44846</v>
      </c>
      <c r="F1240" s="81">
        <v>313.26</v>
      </c>
      <c r="G1240" s="197">
        <f>Tabla111[[#This Row],[Importe]]-Tabla111[[#This Row],[Pagado]]</f>
        <v>0</v>
      </c>
      <c r="H1240" s="75" t="s">
        <v>10</v>
      </c>
    </row>
    <row r="1241" spans="1:8" x14ac:dyDescent="0.25">
      <c r="A1241" s="148">
        <v>44846</v>
      </c>
      <c r="B1241" s="149" t="s">
        <v>32832</v>
      </c>
      <c r="C1241" s="153" t="s">
        <v>196</v>
      </c>
      <c r="D1241" s="154">
        <v>17827.759999999998</v>
      </c>
      <c r="E1241" s="231">
        <v>44848</v>
      </c>
      <c r="F1241" s="154">
        <v>17827.759999999998</v>
      </c>
      <c r="G1241" s="197">
        <f>Tabla111[[#This Row],[Importe]]-Tabla111[[#This Row],[Pagado]]</f>
        <v>0</v>
      </c>
      <c r="H1241" s="153" t="s">
        <v>10</v>
      </c>
    </row>
    <row r="1242" spans="1:8" x14ac:dyDescent="0.25">
      <c r="A1242" s="73">
        <v>44846</v>
      </c>
      <c r="B1242" s="74" t="s">
        <v>32833</v>
      </c>
      <c r="C1242" s="75" t="s">
        <v>804</v>
      </c>
      <c r="D1242" s="81">
        <v>15762</v>
      </c>
      <c r="E1242" s="230">
        <v>44846</v>
      </c>
      <c r="F1242" s="81">
        <v>15762</v>
      </c>
      <c r="G1242" s="197">
        <f>Tabla111[[#This Row],[Importe]]-Tabla111[[#This Row],[Pagado]]</f>
        <v>0</v>
      </c>
      <c r="H1242" s="75" t="s">
        <v>10</v>
      </c>
    </row>
    <row r="1243" spans="1:8" x14ac:dyDescent="0.25">
      <c r="A1243" s="148">
        <v>44846</v>
      </c>
      <c r="B1243" s="149" t="s">
        <v>32834</v>
      </c>
      <c r="C1243" s="153" t="s">
        <v>175</v>
      </c>
      <c r="D1243" s="154">
        <v>15928.9</v>
      </c>
      <c r="E1243" s="231">
        <v>44846</v>
      </c>
      <c r="F1243" s="154">
        <v>15928.9</v>
      </c>
      <c r="G1243" s="197">
        <f>Tabla111[[#This Row],[Importe]]-Tabla111[[#This Row],[Pagado]]</f>
        <v>0</v>
      </c>
      <c r="H1243" s="153" t="s">
        <v>10</v>
      </c>
    </row>
    <row r="1244" spans="1:8" x14ac:dyDescent="0.25">
      <c r="A1244" s="73">
        <v>44846</v>
      </c>
      <c r="B1244" s="74" t="s">
        <v>32835</v>
      </c>
      <c r="C1244" s="75" t="s">
        <v>45</v>
      </c>
      <c r="D1244" s="81">
        <v>10242.4</v>
      </c>
      <c r="E1244" s="230">
        <v>44846</v>
      </c>
      <c r="F1244" s="81">
        <v>10242.4</v>
      </c>
      <c r="G1244" s="197">
        <f>Tabla111[[#This Row],[Importe]]-Tabla111[[#This Row],[Pagado]]</f>
        <v>0</v>
      </c>
      <c r="H1244" s="75" t="s">
        <v>10</v>
      </c>
    </row>
    <row r="1245" spans="1:8" x14ac:dyDescent="0.25">
      <c r="A1245" s="148">
        <v>44846</v>
      </c>
      <c r="B1245" s="149" t="s">
        <v>32836</v>
      </c>
      <c r="C1245" s="153" t="s">
        <v>154</v>
      </c>
      <c r="D1245" s="154">
        <v>20427</v>
      </c>
      <c r="E1245" s="231">
        <v>44849</v>
      </c>
      <c r="F1245" s="154">
        <v>20427</v>
      </c>
      <c r="G1245" s="197">
        <f>Tabla111[[#This Row],[Importe]]-Tabla111[[#This Row],[Pagado]]</f>
        <v>0</v>
      </c>
      <c r="H1245" s="153" t="s">
        <v>10</v>
      </c>
    </row>
    <row r="1246" spans="1:8" x14ac:dyDescent="0.25">
      <c r="A1246" s="73">
        <v>44846</v>
      </c>
      <c r="B1246" s="74" t="s">
        <v>32837</v>
      </c>
      <c r="C1246" s="75" t="s">
        <v>218</v>
      </c>
      <c r="D1246" s="81">
        <v>19485.599999999999</v>
      </c>
      <c r="E1246" s="230">
        <v>44852</v>
      </c>
      <c r="F1246" s="81">
        <v>19485.599999999999</v>
      </c>
      <c r="G1246" s="197">
        <f>Tabla111[[#This Row],[Importe]]-Tabla111[[#This Row],[Pagado]]</f>
        <v>0</v>
      </c>
      <c r="H1246" s="75" t="s">
        <v>10</v>
      </c>
    </row>
    <row r="1247" spans="1:8" x14ac:dyDescent="0.25">
      <c r="A1247" s="148">
        <v>44846</v>
      </c>
      <c r="B1247" s="149" t="s">
        <v>32838</v>
      </c>
      <c r="C1247" s="153" t="s">
        <v>212</v>
      </c>
      <c r="D1247" s="154">
        <v>33666.720000000001</v>
      </c>
      <c r="E1247" s="231">
        <v>44849</v>
      </c>
      <c r="F1247" s="154">
        <v>33666.720000000001</v>
      </c>
      <c r="G1247" s="197">
        <f>Tabla111[[#This Row],[Importe]]-Tabla111[[#This Row],[Pagado]]</f>
        <v>0</v>
      </c>
      <c r="H1247" s="153" t="s">
        <v>10</v>
      </c>
    </row>
    <row r="1248" spans="1:8" x14ac:dyDescent="0.25">
      <c r="A1248" s="73">
        <v>44846</v>
      </c>
      <c r="B1248" s="74" t="s">
        <v>32839</v>
      </c>
      <c r="C1248" s="75" t="s">
        <v>31</v>
      </c>
      <c r="D1248" s="81">
        <v>735</v>
      </c>
      <c r="E1248" s="230">
        <v>44846</v>
      </c>
      <c r="F1248" s="81">
        <v>735</v>
      </c>
      <c r="G1248" s="197">
        <f>Tabla111[[#This Row],[Importe]]-Tabla111[[#This Row],[Pagado]]</f>
        <v>0</v>
      </c>
      <c r="H1248" s="75" t="s">
        <v>10</v>
      </c>
    </row>
    <row r="1249" spans="1:8" x14ac:dyDescent="0.25">
      <c r="A1249" s="148">
        <v>44846</v>
      </c>
      <c r="B1249" s="149" t="s">
        <v>32840</v>
      </c>
      <c r="C1249" s="153" t="s">
        <v>53</v>
      </c>
      <c r="D1249" s="154">
        <v>2895.6</v>
      </c>
      <c r="E1249" s="231">
        <v>44846</v>
      </c>
      <c r="F1249" s="154">
        <v>2895.6</v>
      </c>
      <c r="G1249" s="197">
        <f>Tabla111[[#This Row],[Importe]]-Tabla111[[#This Row],[Pagado]]</f>
        <v>0</v>
      </c>
      <c r="H1249" s="153" t="s">
        <v>10</v>
      </c>
    </row>
    <row r="1250" spans="1:8" x14ac:dyDescent="0.25">
      <c r="A1250" s="73">
        <v>44846</v>
      </c>
      <c r="B1250" s="74" t="s">
        <v>32841</v>
      </c>
      <c r="C1250" s="75" t="s">
        <v>56</v>
      </c>
      <c r="D1250" s="81">
        <v>8674.7999999999993</v>
      </c>
      <c r="E1250" s="230">
        <v>44846</v>
      </c>
      <c r="F1250" s="81">
        <v>8674.7999999999993</v>
      </c>
      <c r="G1250" s="197">
        <f>Tabla111[[#This Row],[Importe]]-Tabla111[[#This Row],[Pagado]]</f>
        <v>0</v>
      </c>
      <c r="H1250" s="75" t="s">
        <v>10</v>
      </c>
    </row>
    <row r="1251" spans="1:8" x14ac:dyDescent="0.25">
      <c r="A1251" s="148">
        <v>44846</v>
      </c>
      <c r="B1251" s="149" t="s">
        <v>32842</v>
      </c>
      <c r="C1251" s="153" t="s">
        <v>142</v>
      </c>
      <c r="D1251" s="154">
        <v>16980.2</v>
      </c>
      <c r="E1251" s="231">
        <v>44883</v>
      </c>
      <c r="F1251" s="154">
        <v>16980.2</v>
      </c>
      <c r="G1251" s="197">
        <f>Tabla111[[#This Row],[Importe]]-Tabla111[[#This Row],[Pagado]]</f>
        <v>0</v>
      </c>
      <c r="H1251" s="153" t="s">
        <v>10</v>
      </c>
    </row>
    <row r="1252" spans="1:8" x14ac:dyDescent="0.25">
      <c r="A1252" s="73">
        <v>44846</v>
      </c>
      <c r="B1252" s="74" t="s">
        <v>32843</v>
      </c>
      <c r="C1252" s="75" t="s">
        <v>206</v>
      </c>
      <c r="D1252" s="81">
        <v>30151.24</v>
      </c>
      <c r="E1252" s="230">
        <v>44847</v>
      </c>
      <c r="F1252" s="81">
        <v>30151.24</v>
      </c>
      <c r="G1252" s="197">
        <f>Tabla111[[#This Row],[Importe]]-Tabla111[[#This Row],[Pagado]]</f>
        <v>0</v>
      </c>
      <c r="H1252" s="75" t="s">
        <v>10</v>
      </c>
    </row>
    <row r="1253" spans="1:8" x14ac:dyDescent="0.25">
      <c r="A1253" s="148">
        <v>44846</v>
      </c>
      <c r="B1253" s="149" t="s">
        <v>32844</v>
      </c>
      <c r="C1253" s="153" t="s">
        <v>208</v>
      </c>
      <c r="D1253" s="154">
        <v>31765.06</v>
      </c>
      <c r="E1253" s="231">
        <v>44847</v>
      </c>
      <c r="F1253" s="154">
        <v>31765.06</v>
      </c>
      <c r="G1253" s="197">
        <f>Tabla111[[#This Row],[Importe]]-Tabla111[[#This Row],[Pagado]]</f>
        <v>0</v>
      </c>
      <c r="H1253" s="153" t="s">
        <v>10</v>
      </c>
    </row>
    <row r="1254" spans="1:8" x14ac:dyDescent="0.25">
      <c r="A1254" s="73">
        <v>44846</v>
      </c>
      <c r="B1254" s="74" t="s">
        <v>32845</v>
      </c>
      <c r="C1254" s="75" t="s">
        <v>240</v>
      </c>
      <c r="D1254" s="81">
        <v>2704.5</v>
      </c>
      <c r="E1254" s="230">
        <v>44846</v>
      </c>
      <c r="F1254" s="81">
        <v>2704.5</v>
      </c>
      <c r="G1254" s="197">
        <f>Tabla111[[#This Row],[Importe]]-Tabla111[[#This Row],[Pagado]]</f>
        <v>0</v>
      </c>
      <c r="H1254" s="75" t="s">
        <v>10</v>
      </c>
    </row>
    <row r="1255" spans="1:8" x14ac:dyDescent="0.25">
      <c r="A1255" s="148">
        <v>44846</v>
      </c>
      <c r="B1255" s="149" t="s">
        <v>32846</v>
      </c>
      <c r="C1255" s="153" t="s">
        <v>31</v>
      </c>
      <c r="D1255" s="154">
        <v>676.8</v>
      </c>
      <c r="E1255" s="231">
        <v>44846</v>
      </c>
      <c r="F1255" s="154">
        <v>676.8</v>
      </c>
      <c r="G1255" s="197">
        <f>Tabla111[[#This Row],[Importe]]-Tabla111[[#This Row],[Pagado]]</f>
        <v>0</v>
      </c>
      <c r="H1255" s="153" t="s">
        <v>10</v>
      </c>
    </row>
    <row r="1256" spans="1:8" x14ac:dyDescent="0.25">
      <c r="A1256" s="73">
        <v>44846</v>
      </c>
      <c r="B1256" s="74" t="s">
        <v>32847</v>
      </c>
      <c r="C1256" s="75" t="s">
        <v>79</v>
      </c>
      <c r="D1256" s="81">
        <v>8212.5</v>
      </c>
      <c r="E1256" s="230">
        <v>44846</v>
      </c>
      <c r="F1256" s="81">
        <v>8212.5</v>
      </c>
      <c r="G1256" s="197">
        <f>Tabla111[[#This Row],[Importe]]-Tabla111[[#This Row],[Pagado]]</f>
        <v>0</v>
      </c>
      <c r="H1256" s="75" t="s">
        <v>10</v>
      </c>
    </row>
    <row r="1257" spans="1:8" x14ac:dyDescent="0.25">
      <c r="A1257" s="148">
        <v>44846</v>
      </c>
      <c r="B1257" s="149" t="s">
        <v>32848</v>
      </c>
      <c r="C1257" s="153" t="s">
        <v>224</v>
      </c>
      <c r="D1257" s="154">
        <v>230.4</v>
      </c>
      <c r="E1257" s="231">
        <v>44846</v>
      </c>
      <c r="F1257" s="154">
        <v>230.4</v>
      </c>
      <c r="G1257" s="197">
        <f>Tabla111[[#This Row],[Importe]]-Tabla111[[#This Row],[Pagado]]</f>
        <v>0</v>
      </c>
      <c r="H1257" s="153" t="s">
        <v>10</v>
      </c>
    </row>
    <row r="1258" spans="1:8" x14ac:dyDescent="0.25">
      <c r="A1258" s="73">
        <v>44846</v>
      </c>
      <c r="B1258" s="74" t="s">
        <v>32849</v>
      </c>
      <c r="C1258" s="75" t="s">
        <v>133</v>
      </c>
      <c r="D1258" s="81">
        <v>14970</v>
      </c>
      <c r="E1258" s="230">
        <v>44847</v>
      </c>
      <c r="F1258" s="81">
        <v>14970</v>
      </c>
      <c r="G1258" s="197">
        <f>Tabla111[[#This Row],[Importe]]-Tabla111[[#This Row],[Pagado]]</f>
        <v>0</v>
      </c>
      <c r="H1258" s="75" t="s">
        <v>10</v>
      </c>
    </row>
    <row r="1259" spans="1:8" x14ac:dyDescent="0.25">
      <c r="A1259" s="148">
        <v>44846</v>
      </c>
      <c r="B1259" s="149" t="s">
        <v>32850</v>
      </c>
      <c r="C1259" s="153" t="s">
        <v>857</v>
      </c>
      <c r="D1259" s="154">
        <v>594.70000000000005</v>
      </c>
      <c r="E1259" s="231">
        <v>44846</v>
      </c>
      <c r="F1259" s="154">
        <v>594.70000000000005</v>
      </c>
      <c r="G1259" s="197">
        <f>Tabla111[[#This Row],[Importe]]-Tabla111[[#This Row],[Pagado]]</f>
        <v>0</v>
      </c>
      <c r="H1259" s="153" t="s">
        <v>10</v>
      </c>
    </row>
    <row r="1260" spans="1:8" x14ac:dyDescent="0.25">
      <c r="A1260" s="73">
        <v>44846</v>
      </c>
      <c r="B1260" s="74" t="s">
        <v>32851</v>
      </c>
      <c r="C1260" s="75" t="s">
        <v>10157</v>
      </c>
      <c r="D1260" s="81">
        <v>5625</v>
      </c>
      <c r="E1260" s="230">
        <v>44848</v>
      </c>
      <c r="F1260" s="81">
        <v>5625</v>
      </c>
      <c r="G1260" s="197">
        <f>Tabla111[[#This Row],[Importe]]-Tabla111[[#This Row],[Pagado]]</f>
        <v>0</v>
      </c>
      <c r="H1260" s="75" t="s">
        <v>10</v>
      </c>
    </row>
    <row r="1261" spans="1:8" x14ac:dyDescent="0.25">
      <c r="A1261" s="148">
        <v>44846</v>
      </c>
      <c r="B1261" s="149" t="s">
        <v>32852</v>
      </c>
      <c r="C1261" s="153" t="s">
        <v>555</v>
      </c>
      <c r="D1261" s="154">
        <v>41000.26</v>
      </c>
      <c r="E1261" s="231">
        <v>44846</v>
      </c>
      <c r="F1261" s="154">
        <v>41000.26</v>
      </c>
      <c r="G1261" s="197">
        <f>Tabla111[[#This Row],[Importe]]-Tabla111[[#This Row],[Pagado]]</f>
        <v>0</v>
      </c>
      <c r="H1261" s="153" t="s">
        <v>10</v>
      </c>
    </row>
    <row r="1262" spans="1:8" x14ac:dyDescent="0.25">
      <c r="A1262" s="73">
        <v>44846</v>
      </c>
      <c r="B1262" s="74" t="s">
        <v>32853</v>
      </c>
      <c r="C1262" s="75" t="s">
        <v>191</v>
      </c>
      <c r="D1262" s="81">
        <v>1583.4</v>
      </c>
      <c r="E1262" s="230">
        <v>44846</v>
      </c>
      <c r="F1262" s="81">
        <v>1583.4</v>
      </c>
      <c r="G1262" s="197">
        <f>Tabla111[[#This Row],[Importe]]-Tabla111[[#This Row],[Pagado]]</f>
        <v>0</v>
      </c>
      <c r="H1262" s="75" t="s">
        <v>10</v>
      </c>
    </row>
    <row r="1263" spans="1:8" x14ac:dyDescent="0.25">
      <c r="A1263" s="148">
        <v>44846</v>
      </c>
      <c r="B1263" s="149" t="s">
        <v>32854</v>
      </c>
      <c r="C1263" s="153" t="s">
        <v>1644</v>
      </c>
      <c r="D1263" s="154">
        <v>15472.8</v>
      </c>
      <c r="E1263" s="231">
        <v>44847</v>
      </c>
      <c r="F1263" s="154">
        <v>15472.8</v>
      </c>
      <c r="G1263" s="197">
        <f>Tabla111[[#This Row],[Importe]]-Tabla111[[#This Row],[Pagado]]</f>
        <v>0</v>
      </c>
      <c r="H1263" s="153" t="s">
        <v>10</v>
      </c>
    </row>
    <row r="1264" spans="1:8" x14ac:dyDescent="0.25">
      <c r="A1264" s="73">
        <v>44846</v>
      </c>
      <c r="B1264" s="74" t="s">
        <v>32855</v>
      </c>
      <c r="C1264" s="75" t="s">
        <v>24</v>
      </c>
      <c r="D1264" s="81">
        <v>1653.7</v>
      </c>
      <c r="E1264" s="230">
        <v>44846</v>
      </c>
      <c r="F1264" s="81">
        <v>1653.7</v>
      </c>
      <c r="G1264" s="197">
        <f>Tabla111[[#This Row],[Importe]]-Tabla111[[#This Row],[Pagado]]</f>
        <v>0</v>
      </c>
      <c r="H1264" s="75" t="s">
        <v>10</v>
      </c>
    </row>
    <row r="1265" spans="1:8" x14ac:dyDescent="0.25">
      <c r="A1265" s="148">
        <v>44846</v>
      </c>
      <c r="B1265" s="149" t="s">
        <v>32856</v>
      </c>
      <c r="C1265" s="153" t="s">
        <v>875</v>
      </c>
      <c r="D1265" s="154">
        <v>52769.46</v>
      </c>
      <c r="E1265" s="231">
        <v>44846</v>
      </c>
      <c r="F1265" s="154">
        <v>52769.46</v>
      </c>
      <c r="G1265" s="197">
        <f>Tabla111[[#This Row],[Importe]]-Tabla111[[#This Row],[Pagado]]</f>
        <v>0</v>
      </c>
      <c r="H1265" s="153" t="s">
        <v>10</v>
      </c>
    </row>
    <row r="1266" spans="1:8" x14ac:dyDescent="0.25">
      <c r="A1266" s="73">
        <v>44846</v>
      </c>
      <c r="B1266" s="74" t="s">
        <v>32857</v>
      </c>
      <c r="C1266" s="75" t="s">
        <v>173</v>
      </c>
      <c r="D1266" s="81">
        <v>42290.8</v>
      </c>
      <c r="E1266" s="230">
        <v>44846</v>
      </c>
      <c r="F1266" s="81">
        <v>42290.8</v>
      </c>
      <c r="G1266" s="197">
        <f>Tabla111[[#This Row],[Importe]]-Tabla111[[#This Row],[Pagado]]</f>
        <v>0</v>
      </c>
      <c r="H1266" s="75" t="s">
        <v>10</v>
      </c>
    </row>
    <row r="1267" spans="1:8" x14ac:dyDescent="0.25">
      <c r="A1267" s="148">
        <v>44846</v>
      </c>
      <c r="B1267" s="149" t="s">
        <v>32858</v>
      </c>
      <c r="C1267" s="153" t="s">
        <v>587</v>
      </c>
      <c r="D1267" s="154">
        <v>7306.68</v>
      </c>
      <c r="E1267" s="231">
        <v>44846</v>
      </c>
      <c r="F1267" s="154">
        <v>7306.68</v>
      </c>
      <c r="G1267" s="197">
        <f>Tabla111[[#This Row],[Importe]]-Tabla111[[#This Row],[Pagado]]</f>
        <v>0</v>
      </c>
      <c r="H1267" s="153" t="s">
        <v>10</v>
      </c>
    </row>
    <row r="1268" spans="1:8" x14ac:dyDescent="0.25">
      <c r="A1268" s="73">
        <v>44846</v>
      </c>
      <c r="B1268" s="74" t="s">
        <v>32859</v>
      </c>
      <c r="C1268" s="75" t="s">
        <v>31</v>
      </c>
      <c r="D1268" s="81">
        <v>1178</v>
      </c>
      <c r="E1268" s="230">
        <v>44846</v>
      </c>
      <c r="F1268" s="81">
        <v>1178</v>
      </c>
      <c r="G1268" s="197">
        <f>Tabla111[[#This Row],[Importe]]-Tabla111[[#This Row],[Pagado]]</f>
        <v>0</v>
      </c>
      <c r="H1268" s="75" t="s">
        <v>10</v>
      </c>
    </row>
    <row r="1269" spans="1:8" x14ac:dyDescent="0.25">
      <c r="A1269" s="148">
        <v>44846</v>
      </c>
      <c r="B1269" s="149" t="s">
        <v>32860</v>
      </c>
      <c r="C1269" s="153" t="s">
        <v>3747</v>
      </c>
      <c r="D1269" s="154">
        <v>24571.8</v>
      </c>
      <c r="E1269" s="231" t="s">
        <v>32589</v>
      </c>
      <c r="F1269" s="154">
        <f>22000+2571.8</f>
        <v>24571.8</v>
      </c>
      <c r="G1269" s="197">
        <f>Tabla111[[#This Row],[Importe]]-Tabla111[[#This Row],[Pagado]]</f>
        <v>0</v>
      </c>
      <c r="H1269" s="153" t="s">
        <v>10</v>
      </c>
    </row>
    <row r="1270" spans="1:8" x14ac:dyDescent="0.25">
      <c r="A1270" s="73">
        <v>44846</v>
      </c>
      <c r="B1270" s="74" t="s">
        <v>32861</v>
      </c>
      <c r="C1270" s="75" t="s">
        <v>28087</v>
      </c>
      <c r="D1270" s="81">
        <v>126104.96000000001</v>
      </c>
      <c r="E1270" s="230" t="s">
        <v>32710</v>
      </c>
      <c r="F1270" s="81">
        <f>7879.75+118225.21</f>
        <v>126104.96000000001</v>
      </c>
      <c r="G1270" s="197">
        <f>Tabla111[[#This Row],[Importe]]-Tabla111[[#This Row],[Pagado]]</f>
        <v>0</v>
      </c>
      <c r="H1270" s="75" t="s">
        <v>10</v>
      </c>
    </row>
    <row r="1271" spans="1:8" x14ac:dyDescent="0.25">
      <c r="A1271" s="148">
        <v>44846</v>
      </c>
      <c r="B1271" s="149" t="s">
        <v>32862</v>
      </c>
      <c r="C1271" s="153" t="s">
        <v>670</v>
      </c>
      <c r="D1271" s="154">
        <v>1167.3</v>
      </c>
      <c r="E1271" s="231">
        <v>44846</v>
      </c>
      <c r="F1271" s="154">
        <v>1167.3</v>
      </c>
      <c r="G1271" s="197">
        <f>Tabla111[[#This Row],[Importe]]-Tabla111[[#This Row],[Pagado]]</f>
        <v>0</v>
      </c>
      <c r="H1271" s="153" t="s">
        <v>10</v>
      </c>
    </row>
    <row r="1272" spans="1:8" x14ac:dyDescent="0.25">
      <c r="A1272" s="73">
        <v>44846</v>
      </c>
      <c r="B1272" s="74" t="s">
        <v>32863</v>
      </c>
      <c r="C1272" s="75" t="s">
        <v>31</v>
      </c>
      <c r="D1272" s="81">
        <v>637.5</v>
      </c>
      <c r="E1272" s="230">
        <v>44846</v>
      </c>
      <c r="F1272" s="81">
        <v>637.5</v>
      </c>
      <c r="G1272" s="197">
        <f>Tabla111[[#This Row],[Importe]]-Tabla111[[#This Row],[Pagado]]</f>
        <v>0</v>
      </c>
      <c r="H1272" s="75" t="s">
        <v>10</v>
      </c>
    </row>
    <row r="1273" spans="1:8" x14ac:dyDescent="0.25">
      <c r="A1273" s="148">
        <v>44846</v>
      </c>
      <c r="B1273" s="149" t="s">
        <v>32864</v>
      </c>
      <c r="C1273" s="153" t="s">
        <v>698</v>
      </c>
      <c r="D1273" s="154">
        <v>10849.4</v>
      </c>
      <c r="E1273" s="231">
        <v>44846</v>
      </c>
      <c r="F1273" s="154">
        <v>10849.4</v>
      </c>
      <c r="G1273" s="197">
        <f>Tabla111[[#This Row],[Importe]]-Tabla111[[#This Row],[Pagado]]</f>
        <v>0</v>
      </c>
      <c r="H1273" s="153" t="s">
        <v>10</v>
      </c>
    </row>
    <row r="1274" spans="1:8" x14ac:dyDescent="0.25">
      <c r="A1274" s="73">
        <v>44846</v>
      </c>
      <c r="B1274" s="74" t="s">
        <v>32865</v>
      </c>
      <c r="C1274" s="75" t="s">
        <v>31</v>
      </c>
      <c r="D1274" s="81">
        <v>1920</v>
      </c>
      <c r="E1274" s="230">
        <v>44846</v>
      </c>
      <c r="F1274" s="81">
        <v>1920</v>
      </c>
      <c r="G1274" s="197">
        <f>Tabla111[[#This Row],[Importe]]-Tabla111[[#This Row],[Pagado]]</f>
        <v>0</v>
      </c>
      <c r="H1274" s="75" t="s">
        <v>10</v>
      </c>
    </row>
    <row r="1275" spans="1:8" x14ac:dyDescent="0.25">
      <c r="A1275" s="148">
        <v>44846</v>
      </c>
      <c r="B1275" s="149" t="s">
        <v>32866</v>
      </c>
      <c r="C1275" s="153" t="s">
        <v>214</v>
      </c>
      <c r="D1275" s="154">
        <v>1492.5</v>
      </c>
      <c r="E1275" s="231">
        <v>44846</v>
      </c>
      <c r="F1275" s="154">
        <v>1492.5</v>
      </c>
      <c r="G1275" s="197">
        <f>Tabla111[[#This Row],[Importe]]-Tabla111[[#This Row],[Pagado]]</f>
        <v>0</v>
      </c>
      <c r="H1275" s="153" t="s">
        <v>10</v>
      </c>
    </row>
    <row r="1276" spans="1:8" x14ac:dyDescent="0.25">
      <c r="A1276" s="73">
        <v>44846</v>
      </c>
      <c r="B1276" s="74" t="s">
        <v>32867</v>
      </c>
      <c r="C1276" s="75" t="s">
        <v>216</v>
      </c>
      <c r="D1276" s="81">
        <v>2377.5</v>
      </c>
      <c r="E1276" s="230">
        <v>44846</v>
      </c>
      <c r="F1276" s="81">
        <v>2377.5</v>
      </c>
      <c r="G1276" s="197">
        <f>Tabla111[[#This Row],[Importe]]-Tabla111[[#This Row],[Pagado]]</f>
        <v>0</v>
      </c>
      <c r="H1276" s="75" t="s">
        <v>10</v>
      </c>
    </row>
    <row r="1277" spans="1:8" x14ac:dyDescent="0.25">
      <c r="A1277" s="148">
        <v>44846</v>
      </c>
      <c r="B1277" s="149" t="s">
        <v>32868</v>
      </c>
      <c r="C1277" s="153" t="s">
        <v>142</v>
      </c>
      <c r="D1277" s="154">
        <v>105790.02</v>
      </c>
      <c r="E1277" s="231" t="s">
        <v>35004</v>
      </c>
      <c r="F1277" s="154">
        <f>101800.55+3989.47</f>
        <v>105790.02</v>
      </c>
      <c r="G1277" s="197">
        <f>Tabla111[[#This Row],[Importe]]-Tabla111[[#This Row],[Pagado]]</f>
        <v>0</v>
      </c>
      <c r="H1277" s="153" t="s">
        <v>10</v>
      </c>
    </row>
    <row r="1278" spans="1:8" x14ac:dyDescent="0.25">
      <c r="A1278" s="73">
        <v>44846</v>
      </c>
      <c r="B1278" s="74" t="s">
        <v>32869</v>
      </c>
      <c r="C1278" s="75" t="s">
        <v>419</v>
      </c>
      <c r="D1278" s="81">
        <v>7777.1</v>
      </c>
      <c r="E1278" s="230">
        <v>44846</v>
      </c>
      <c r="F1278" s="81">
        <v>7777.1</v>
      </c>
      <c r="G1278" s="197">
        <f>Tabla111[[#This Row],[Importe]]-Tabla111[[#This Row],[Pagado]]</f>
        <v>0</v>
      </c>
      <c r="H1278" s="75" t="s">
        <v>10</v>
      </c>
    </row>
    <row r="1279" spans="1:8" x14ac:dyDescent="0.25">
      <c r="A1279" s="148">
        <v>44846</v>
      </c>
      <c r="B1279" s="149" t="s">
        <v>32870</v>
      </c>
      <c r="C1279" s="153" t="s">
        <v>296</v>
      </c>
      <c r="D1279" s="154">
        <v>1360.4</v>
      </c>
      <c r="E1279" s="231">
        <v>44846</v>
      </c>
      <c r="F1279" s="154">
        <v>1360.4</v>
      </c>
      <c r="G1279" s="197">
        <f>Tabla111[[#This Row],[Importe]]-Tabla111[[#This Row],[Pagado]]</f>
        <v>0</v>
      </c>
      <c r="H1279" s="153" t="s">
        <v>10</v>
      </c>
    </row>
    <row r="1280" spans="1:8" x14ac:dyDescent="0.25">
      <c r="A1280" s="73">
        <v>44846</v>
      </c>
      <c r="B1280" s="74" t="s">
        <v>32871</v>
      </c>
      <c r="C1280" s="75" t="s">
        <v>214</v>
      </c>
      <c r="D1280" s="81">
        <v>5236.3999999999996</v>
      </c>
      <c r="E1280" s="230">
        <v>44846</v>
      </c>
      <c r="F1280" s="81">
        <v>5236.3999999999996</v>
      </c>
      <c r="G1280" s="197">
        <f>Tabla111[[#This Row],[Importe]]-Tabla111[[#This Row],[Pagado]]</f>
        <v>0</v>
      </c>
      <c r="H1280" s="75" t="s">
        <v>10</v>
      </c>
    </row>
    <row r="1281" spans="1:8" x14ac:dyDescent="0.25">
      <c r="A1281" s="148">
        <v>44846</v>
      </c>
      <c r="B1281" s="149" t="s">
        <v>32872</v>
      </c>
      <c r="C1281" s="153" t="s">
        <v>9827</v>
      </c>
      <c r="D1281" s="154">
        <v>3615</v>
      </c>
      <c r="E1281" s="231">
        <v>44846</v>
      </c>
      <c r="F1281" s="154">
        <v>3615</v>
      </c>
      <c r="G1281" s="197">
        <f>Tabla111[[#This Row],[Importe]]-Tabla111[[#This Row],[Pagado]]</f>
        <v>0</v>
      </c>
      <c r="H1281" s="153" t="s">
        <v>10</v>
      </c>
    </row>
    <row r="1282" spans="1:8" x14ac:dyDescent="0.25">
      <c r="A1282" s="73">
        <v>44846</v>
      </c>
      <c r="B1282" s="74" t="s">
        <v>32873</v>
      </c>
      <c r="C1282" s="75" t="s">
        <v>107</v>
      </c>
      <c r="D1282" s="81">
        <v>9697.2000000000007</v>
      </c>
      <c r="E1282" s="230">
        <v>44846</v>
      </c>
      <c r="F1282" s="81">
        <v>9697.2000000000007</v>
      </c>
      <c r="G1282" s="197">
        <f>Tabla111[[#This Row],[Importe]]-Tabla111[[#This Row],[Pagado]]</f>
        <v>0</v>
      </c>
      <c r="H1282" s="75" t="s">
        <v>10</v>
      </c>
    </row>
    <row r="1283" spans="1:8" x14ac:dyDescent="0.25">
      <c r="A1283" s="148">
        <v>44846</v>
      </c>
      <c r="B1283" s="149" t="s">
        <v>32874</v>
      </c>
      <c r="C1283" s="153" t="s">
        <v>1421</v>
      </c>
      <c r="D1283" s="154">
        <v>66099</v>
      </c>
      <c r="E1283" s="231">
        <v>44846</v>
      </c>
      <c r="F1283" s="154">
        <v>66099</v>
      </c>
      <c r="G1283" s="197">
        <f>Tabla111[[#This Row],[Importe]]-Tabla111[[#This Row],[Pagado]]</f>
        <v>0</v>
      </c>
      <c r="H1283" s="153" t="s">
        <v>10</v>
      </c>
    </row>
    <row r="1284" spans="1:8" x14ac:dyDescent="0.25">
      <c r="A1284" s="73">
        <v>44846</v>
      </c>
      <c r="B1284" s="74" t="s">
        <v>32875</v>
      </c>
      <c r="C1284" s="75" t="s">
        <v>15306</v>
      </c>
      <c r="D1284" s="81">
        <v>12771</v>
      </c>
      <c r="E1284" s="230">
        <v>44846</v>
      </c>
      <c r="F1284" s="81">
        <v>12771</v>
      </c>
      <c r="G1284" s="197">
        <f>Tabla111[[#This Row],[Importe]]-Tabla111[[#This Row],[Pagado]]</f>
        <v>0</v>
      </c>
      <c r="H1284" s="75" t="s">
        <v>10</v>
      </c>
    </row>
    <row r="1285" spans="1:8" x14ac:dyDescent="0.25">
      <c r="A1285" s="148">
        <v>44846</v>
      </c>
      <c r="B1285" s="149" t="s">
        <v>32876</v>
      </c>
      <c r="C1285" s="153" t="s">
        <v>146</v>
      </c>
      <c r="D1285" s="154">
        <v>4944.6000000000004</v>
      </c>
      <c r="E1285" s="231">
        <v>44846</v>
      </c>
      <c r="F1285" s="154">
        <v>4944.6000000000004</v>
      </c>
      <c r="G1285" s="197">
        <f>Tabla111[[#This Row],[Importe]]-Tabla111[[#This Row],[Pagado]]</f>
        <v>0</v>
      </c>
      <c r="H1285" s="153" t="s">
        <v>10</v>
      </c>
    </row>
    <row r="1286" spans="1:8" x14ac:dyDescent="0.25">
      <c r="A1286" s="73">
        <v>44846</v>
      </c>
      <c r="B1286" s="74" t="s">
        <v>32877</v>
      </c>
      <c r="C1286" s="75" t="s">
        <v>1362</v>
      </c>
      <c r="D1286" s="81">
        <v>5633.4</v>
      </c>
      <c r="E1286" s="230">
        <v>44846</v>
      </c>
      <c r="F1286" s="81">
        <v>5633.4</v>
      </c>
      <c r="G1286" s="197">
        <f>Tabla111[[#This Row],[Importe]]-Tabla111[[#This Row],[Pagado]]</f>
        <v>0</v>
      </c>
      <c r="H1286" s="75" t="s">
        <v>10</v>
      </c>
    </row>
    <row r="1287" spans="1:8" x14ac:dyDescent="0.25">
      <c r="A1287" s="148">
        <v>44846</v>
      </c>
      <c r="B1287" s="149" t="s">
        <v>32878</v>
      </c>
      <c r="C1287" s="153" t="s">
        <v>31</v>
      </c>
      <c r="D1287" s="154">
        <v>7440.4</v>
      </c>
      <c r="E1287" s="231">
        <v>44846</v>
      </c>
      <c r="F1287" s="154">
        <v>7440.4</v>
      </c>
      <c r="G1287" s="197">
        <f>Tabla111[[#This Row],[Importe]]-Tabla111[[#This Row],[Pagado]]</f>
        <v>0</v>
      </c>
      <c r="H1287" s="153" t="s">
        <v>10</v>
      </c>
    </row>
    <row r="1288" spans="1:8" x14ac:dyDescent="0.25">
      <c r="A1288" s="73">
        <v>44846</v>
      </c>
      <c r="B1288" s="74" t="s">
        <v>32879</v>
      </c>
      <c r="C1288" s="75" t="s">
        <v>144</v>
      </c>
      <c r="D1288" s="81">
        <v>5112</v>
      </c>
      <c r="E1288" s="230">
        <v>44846</v>
      </c>
      <c r="F1288" s="81">
        <v>5112</v>
      </c>
      <c r="G1288" s="197">
        <f>Tabla111[[#This Row],[Importe]]-Tabla111[[#This Row],[Pagado]]</f>
        <v>0</v>
      </c>
      <c r="H1288" s="75" t="s">
        <v>10</v>
      </c>
    </row>
    <row r="1289" spans="1:8" x14ac:dyDescent="0.25">
      <c r="A1289" s="148">
        <v>44846</v>
      </c>
      <c r="B1289" s="149" t="s">
        <v>32880</v>
      </c>
      <c r="C1289" s="153" t="s">
        <v>664</v>
      </c>
      <c r="D1289" s="154">
        <v>6467.6</v>
      </c>
      <c r="E1289" s="231">
        <v>44846</v>
      </c>
      <c r="F1289" s="154">
        <v>6467.6</v>
      </c>
      <c r="G1289" s="197">
        <f>Tabla111[[#This Row],[Importe]]-Tabla111[[#This Row],[Pagado]]</f>
        <v>0</v>
      </c>
      <c r="H1289" s="153" t="s">
        <v>10</v>
      </c>
    </row>
    <row r="1290" spans="1:8" x14ac:dyDescent="0.25">
      <c r="A1290" s="73">
        <v>44846</v>
      </c>
      <c r="B1290" s="74" t="s">
        <v>32881</v>
      </c>
      <c r="C1290" s="75" t="s">
        <v>612</v>
      </c>
      <c r="D1290" s="81">
        <v>845.6</v>
      </c>
      <c r="E1290" s="230">
        <v>44846</v>
      </c>
      <c r="F1290" s="81">
        <v>845.6</v>
      </c>
      <c r="G1290" s="197">
        <f>Tabla111[[#This Row],[Importe]]-Tabla111[[#This Row],[Pagado]]</f>
        <v>0</v>
      </c>
      <c r="H1290" s="75" t="s">
        <v>10</v>
      </c>
    </row>
    <row r="1291" spans="1:8" x14ac:dyDescent="0.25">
      <c r="A1291" s="148">
        <v>44846</v>
      </c>
      <c r="B1291" s="149" t="s">
        <v>32882</v>
      </c>
      <c r="C1291" s="153" t="s">
        <v>612</v>
      </c>
      <c r="D1291" s="154">
        <v>24.4</v>
      </c>
      <c r="E1291" s="231">
        <v>44846</v>
      </c>
      <c r="F1291" s="154">
        <v>24.4</v>
      </c>
      <c r="G1291" s="197">
        <f>Tabla111[[#This Row],[Importe]]-Tabla111[[#This Row],[Pagado]]</f>
        <v>0</v>
      </c>
      <c r="H1291" s="153" t="s">
        <v>10</v>
      </c>
    </row>
    <row r="1292" spans="1:8" x14ac:dyDescent="0.25">
      <c r="A1292" s="73">
        <v>44846</v>
      </c>
      <c r="B1292" s="74" t="s">
        <v>32883</v>
      </c>
      <c r="C1292" s="75" t="s">
        <v>31</v>
      </c>
      <c r="D1292" s="81">
        <v>20377</v>
      </c>
      <c r="E1292" s="230">
        <v>44846</v>
      </c>
      <c r="F1292" s="81">
        <v>20377</v>
      </c>
      <c r="G1292" s="197">
        <f>Tabla111[[#This Row],[Importe]]-Tabla111[[#This Row],[Pagado]]</f>
        <v>0</v>
      </c>
      <c r="H1292" s="75" t="s">
        <v>10</v>
      </c>
    </row>
    <row r="1293" spans="1:8" x14ac:dyDescent="0.25">
      <c r="A1293" s="148">
        <v>44846</v>
      </c>
      <c r="B1293" s="149" t="s">
        <v>32884</v>
      </c>
      <c r="C1293" s="153" t="s">
        <v>58</v>
      </c>
      <c r="D1293" s="154">
        <v>2221.4</v>
      </c>
      <c r="E1293" s="231">
        <v>44846</v>
      </c>
      <c r="F1293" s="154">
        <v>2221.4</v>
      </c>
      <c r="G1293" s="197">
        <f>Tabla111[[#This Row],[Importe]]-Tabla111[[#This Row],[Pagado]]</f>
        <v>0</v>
      </c>
      <c r="H1293" s="153" t="s">
        <v>10</v>
      </c>
    </row>
    <row r="1294" spans="1:8" x14ac:dyDescent="0.25">
      <c r="A1294" s="73">
        <v>44846</v>
      </c>
      <c r="B1294" s="74" t="s">
        <v>32885</v>
      </c>
      <c r="C1294" s="75" t="s">
        <v>681</v>
      </c>
      <c r="D1294" s="81">
        <v>2.96</v>
      </c>
      <c r="E1294" s="230">
        <v>44851</v>
      </c>
      <c r="F1294" s="81">
        <v>2.96</v>
      </c>
      <c r="G1294" s="197">
        <f>Tabla111[[#This Row],[Importe]]-Tabla111[[#This Row],[Pagado]]</f>
        <v>0</v>
      </c>
      <c r="H1294" s="75" t="s">
        <v>10</v>
      </c>
    </row>
    <row r="1295" spans="1:8" x14ac:dyDescent="0.25">
      <c r="A1295" s="148">
        <v>44846</v>
      </c>
      <c r="B1295" s="149" t="s">
        <v>32886</v>
      </c>
      <c r="C1295" s="153" t="s">
        <v>1378</v>
      </c>
      <c r="D1295" s="154">
        <v>79980</v>
      </c>
      <c r="E1295" s="231">
        <v>44847</v>
      </c>
      <c r="F1295" s="154">
        <v>79980</v>
      </c>
      <c r="G1295" s="197">
        <f>Tabla111[[#This Row],[Importe]]-Tabla111[[#This Row],[Pagado]]</f>
        <v>0</v>
      </c>
      <c r="H1295" s="153" t="s">
        <v>10</v>
      </c>
    </row>
    <row r="1296" spans="1:8" x14ac:dyDescent="0.25">
      <c r="A1296" s="73">
        <v>44846</v>
      </c>
      <c r="B1296" s="74" t="s">
        <v>32887</v>
      </c>
      <c r="C1296" s="75" t="s">
        <v>10819</v>
      </c>
      <c r="D1296" s="81">
        <v>1440</v>
      </c>
      <c r="E1296" s="230">
        <v>44847</v>
      </c>
      <c r="F1296" s="81">
        <v>1440</v>
      </c>
      <c r="G1296" s="197">
        <f>Tabla111[[#This Row],[Importe]]-Tabla111[[#This Row],[Pagado]]</f>
        <v>0</v>
      </c>
      <c r="H1296" s="75" t="s">
        <v>10</v>
      </c>
    </row>
    <row r="1297" spans="1:8" x14ac:dyDescent="0.25">
      <c r="A1297" s="148">
        <v>44846</v>
      </c>
      <c r="B1297" s="149" t="s">
        <v>32888</v>
      </c>
      <c r="C1297" s="153" t="s">
        <v>284</v>
      </c>
      <c r="D1297" s="154">
        <v>4245</v>
      </c>
      <c r="E1297" s="231">
        <v>44847</v>
      </c>
      <c r="F1297" s="154">
        <v>4245</v>
      </c>
      <c r="G1297" s="197">
        <f>Tabla111[[#This Row],[Importe]]-Tabla111[[#This Row],[Pagado]]</f>
        <v>0</v>
      </c>
      <c r="H1297" s="153" t="s">
        <v>10</v>
      </c>
    </row>
    <row r="1298" spans="1:8" x14ac:dyDescent="0.25">
      <c r="A1298" s="73">
        <v>44846</v>
      </c>
      <c r="B1298" s="74" t="s">
        <v>32889</v>
      </c>
      <c r="C1298" s="75" t="s">
        <v>450</v>
      </c>
      <c r="D1298" s="81">
        <v>2072.6999999999998</v>
      </c>
      <c r="E1298" s="230">
        <v>44846</v>
      </c>
      <c r="F1298" s="81">
        <v>2072.6999999999998</v>
      </c>
      <c r="G1298" s="197">
        <f>Tabla111[[#This Row],[Importe]]-Tabla111[[#This Row],[Pagado]]</f>
        <v>0</v>
      </c>
      <c r="H1298" s="75" t="s">
        <v>10</v>
      </c>
    </row>
    <row r="1299" spans="1:8" x14ac:dyDescent="0.25">
      <c r="A1299" s="148">
        <v>44846</v>
      </c>
      <c r="B1299" s="149" t="s">
        <v>32890</v>
      </c>
      <c r="C1299" s="153" t="s">
        <v>301</v>
      </c>
      <c r="D1299" s="154">
        <v>14543</v>
      </c>
      <c r="E1299" s="231">
        <v>44846</v>
      </c>
      <c r="F1299" s="154">
        <v>14543</v>
      </c>
      <c r="G1299" s="197">
        <f>Tabla111[[#This Row],[Importe]]-Tabla111[[#This Row],[Pagado]]</f>
        <v>0</v>
      </c>
      <c r="H1299" s="153" t="s">
        <v>10</v>
      </c>
    </row>
    <row r="1300" spans="1:8" x14ac:dyDescent="0.25">
      <c r="A1300" s="73">
        <v>44846</v>
      </c>
      <c r="B1300" s="74" t="s">
        <v>32891</v>
      </c>
      <c r="C1300" s="75" t="s">
        <v>9577</v>
      </c>
      <c r="D1300" s="81">
        <v>26623.200000000001</v>
      </c>
      <c r="E1300" s="230">
        <v>44847</v>
      </c>
      <c r="F1300" s="81">
        <v>26623.200000000001</v>
      </c>
      <c r="G1300" s="197">
        <f>Tabla111[[#This Row],[Importe]]-Tabla111[[#This Row],[Pagado]]</f>
        <v>0</v>
      </c>
      <c r="H1300" s="75" t="s">
        <v>10</v>
      </c>
    </row>
    <row r="1301" spans="1:8" x14ac:dyDescent="0.25">
      <c r="A1301" s="148">
        <v>44846</v>
      </c>
      <c r="B1301" s="149" t="s">
        <v>32892</v>
      </c>
      <c r="C1301" s="153" t="s">
        <v>296</v>
      </c>
      <c r="D1301" s="154">
        <v>3290</v>
      </c>
      <c r="E1301" s="231">
        <v>44846</v>
      </c>
      <c r="F1301" s="154">
        <v>3290</v>
      </c>
      <c r="G1301" s="197">
        <f>Tabla111[[#This Row],[Importe]]-Tabla111[[#This Row],[Pagado]]</f>
        <v>0</v>
      </c>
      <c r="H1301" s="153" t="s">
        <v>10</v>
      </c>
    </row>
    <row r="1302" spans="1:8" x14ac:dyDescent="0.25">
      <c r="A1302" s="73">
        <v>44846</v>
      </c>
      <c r="B1302" s="74" t="s">
        <v>32893</v>
      </c>
      <c r="C1302" s="75" t="s">
        <v>31</v>
      </c>
      <c r="D1302" s="81">
        <v>132</v>
      </c>
      <c r="E1302" s="230">
        <v>44846</v>
      </c>
      <c r="F1302" s="81">
        <v>132</v>
      </c>
      <c r="G1302" s="197">
        <f>Tabla111[[#This Row],[Importe]]-Tabla111[[#This Row],[Pagado]]</f>
        <v>0</v>
      </c>
      <c r="H1302" s="75" t="s">
        <v>10</v>
      </c>
    </row>
    <row r="1303" spans="1:8" x14ac:dyDescent="0.25">
      <c r="A1303" s="148">
        <v>44846</v>
      </c>
      <c r="B1303" s="149" t="s">
        <v>32894</v>
      </c>
      <c r="C1303" s="153" t="s">
        <v>31</v>
      </c>
      <c r="D1303" s="154">
        <v>6566</v>
      </c>
      <c r="E1303" s="231">
        <v>44846</v>
      </c>
      <c r="F1303" s="154">
        <v>6566</v>
      </c>
      <c r="G1303" s="197">
        <f>Tabla111[[#This Row],[Importe]]-Tabla111[[#This Row],[Pagado]]</f>
        <v>0</v>
      </c>
      <c r="H1303" s="153" t="s">
        <v>10</v>
      </c>
    </row>
    <row r="1304" spans="1:8" x14ac:dyDescent="0.25">
      <c r="A1304" s="73">
        <v>44846</v>
      </c>
      <c r="B1304" s="74" t="s">
        <v>32895</v>
      </c>
      <c r="C1304" s="75" t="s">
        <v>31</v>
      </c>
      <c r="D1304" s="81">
        <v>357</v>
      </c>
      <c r="E1304" s="230">
        <v>44846</v>
      </c>
      <c r="F1304" s="81">
        <v>357</v>
      </c>
      <c r="G1304" s="197">
        <f>Tabla111[[#This Row],[Importe]]-Tabla111[[#This Row],[Pagado]]</f>
        <v>0</v>
      </c>
      <c r="H1304" s="75" t="s">
        <v>10</v>
      </c>
    </row>
    <row r="1305" spans="1:8" x14ac:dyDescent="0.25">
      <c r="A1305" s="148">
        <v>44846</v>
      </c>
      <c r="B1305" s="149" t="s">
        <v>32896</v>
      </c>
      <c r="C1305" s="153" t="s">
        <v>610</v>
      </c>
      <c r="D1305" s="154">
        <v>27197.9</v>
      </c>
      <c r="E1305" s="231">
        <v>44846</v>
      </c>
      <c r="F1305" s="154">
        <v>27197.9</v>
      </c>
      <c r="G1305" s="197">
        <f>Tabla111[[#This Row],[Importe]]-Tabla111[[#This Row],[Pagado]]</f>
        <v>0</v>
      </c>
      <c r="H1305" s="153" t="s">
        <v>10</v>
      </c>
    </row>
    <row r="1306" spans="1:8" x14ac:dyDescent="0.25">
      <c r="A1306" s="73">
        <v>44847</v>
      </c>
      <c r="B1306" s="74" t="s">
        <v>32897</v>
      </c>
      <c r="C1306" s="75" t="s">
        <v>75</v>
      </c>
      <c r="D1306" s="81">
        <v>7455</v>
      </c>
      <c r="E1306" s="230">
        <v>44847</v>
      </c>
      <c r="F1306" s="81">
        <v>7455</v>
      </c>
      <c r="G1306" s="197">
        <f>Tabla111[[#This Row],[Importe]]-Tabla111[[#This Row],[Pagado]]</f>
        <v>0</v>
      </c>
      <c r="H1306" s="75" t="s">
        <v>10</v>
      </c>
    </row>
    <row r="1307" spans="1:8" x14ac:dyDescent="0.25">
      <c r="A1307" s="148">
        <v>44847</v>
      </c>
      <c r="B1307" s="149" t="s">
        <v>32898</v>
      </c>
      <c r="C1307" s="153" t="s">
        <v>887</v>
      </c>
      <c r="D1307" s="154">
        <v>14210.7</v>
      </c>
      <c r="E1307" s="231">
        <v>44847</v>
      </c>
      <c r="F1307" s="154">
        <v>14210.7</v>
      </c>
      <c r="G1307" s="197">
        <f>Tabla111[[#This Row],[Importe]]-Tabla111[[#This Row],[Pagado]]</f>
        <v>0</v>
      </c>
      <c r="H1307" s="153" t="s">
        <v>10</v>
      </c>
    </row>
    <row r="1308" spans="1:8" x14ac:dyDescent="0.25">
      <c r="A1308" s="73">
        <v>44847</v>
      </c>
      <c r="B1308" s="74" t="s">
        <v>32899</v>
      </c>
      <c r="C1308" s="75" t="s">
        <v>473</v>
      </c>
      <c r="D1308" s="81">
        <v>9064</v>
      </c>
      <c r="E1308" s="230">
        <v>44847</v>
      </c>
      <c r="F1308" s="81">
        <v>9064</v>
      </c>
      <c r="G1308" s="197">
        <f>Tabla111[[#This Row],[Importe]]-Tabla111[[#This Row],[Pagado]]</f>
        <v>0</v>
      </c>
      <c r="H1308" s="75" t="s">
        <v>10</v>
      </c>
    </row>
    <row r="1309" spans="1:8" x14ac:dyDescent="0.25">
      <c r="A1309" s="148">
        <v>44847</v>
      </c>
      <c r="B1309" s="149" t="s">
        <v>32900</v>
      </c>
      <c r="C1309" s="153" t="s">
        <v>475</v>
      </c>
      <c r="D1309" s="154">
        <v>84707.6</v>
      </c>
      <c r="E1309" s="231">
        <v>44848</v>
      </c>
      <c r="F1309" s="154">
        <v>84707.6</v>
      </c>
      <c r="G1309" s="197">
        <f>Tabla111[[#This Row],[Importe]]-Tabla111[[#This Row],[Pagado]]</f>
        <v>0</v>
      </c>
      <c r="H1309" s="153" t="s">
        <v>10</v>
      </c>
    </row>
    <row r="1310" spans="1:8" x14ac:dyDescent="0.25">
      <c r="A1310" s="73">
        <v>44847</v>
      </c>
      <c r="B1310" s="74" t="s">
        <v>32901</v>
      </c>
      <c r="C1310" s="75" t="s">
        <v>1187</v>
      </c>
      <c r="D1310" s="81">
        <v>1723.8</v>
      </c>
      <c r="E1310" s="230">
        <v>44847</v>
      </c>
      <c r="F1310" s="81">
        <v>1723.8</v>
      </c>
      <c r="G1310" s="197">
        <f>Tabla111[[#This Row],[Importe]]-Tabla111[[#This Row],[Pagado]]</f>
        <v>0</v>
      </c>
      <c r="H1310" s="75" t="s">
        <v>10</v>
      </c>
    </row>
    <row r="1311" spans="1:8" x14ac:dyDescent="0.25">
      <c r="A1311" s="148">
        <v>44847</v>
      </c>
      <c r="B1311" s="149" t="s">
        <v>32902</v>
      </c>
      <c r="C1311" s="153" t="s">
        <v>12</v>
      </c>
      <c r="D1311" s="154">
        <v>24550.3</v>
      </c>
      <c r="E1311" s="231">
        <v>44847</v>
      </c>
      <c r="F1311" s="154">
        <v>24550.3</v>
      </c>
      <c r="G1311" s="197">
        <f>Tabla111[[#This Row],[Importe]]-Tabla111[[#This Row],[Pagado]]</f>
        <v>0</v>
      </c>
      <c r="H1311" s="153" t="s">
        <v>10</v>
      </c>
    </row>
    <row r="1312" spans="1:8" x14ac:dyDescent="0.25">
      <c r="A1312" s="73">
        <v>44847</v>
      </c>
      <c r="B1312" s="74" t="s">
        <v>32903</v>
      </c>
      <c r="C1312" s="75" t="s">
        <v>24</v>
      </c>
      <c r="D1312" s="81">
        <v>4385</v>
      </c>
      <c r="E1312" s="230">
        <v>44847</v>
      </c>
      <c r="F1312" s="81">
        <v>4385</v>
      </c>
      <c r="G1312" s="197">
        <f>Tabla111[[#This Row],[Importe]]-Tabla111[[#This Row],[Pagado]]</f>
        <v>0</v>
      </c>
      <c r="H1312" s="75" t="s">
        <v>10</v>
      </c>
    </row>
    <row r="1313" spans="1:8" x14ac:dyDescent="0.25">
      <c r="A1313" s="148">
        <v>44847</v>
      </c>
      <c r="B1313" s="149" t="s">
        <v>32904</v>
      </c>
      <c r="C1313" s="153" t="s">
        <v>12</v>
      </c>
      <c r="D1313" s="154">
        <v>410.4</v>
      </c>
      <c r="E1313" s="231">
        <v>44847</v>
      </c>
      <c r="F1313" s="154">
        <v>410.4</v>
      </c>
      <c r="G1313" s="197">
        <f>Tabla111[[#This Row],[Importe]]-Tabla111[[#This Row],[Pagado]]</f>
        <v>0</v>
      </c>
      <c r="H1313" s="153" t="s">
        <v>10</v>
      </c>
    </row>
    <row r="1314" spans="1:8" x14ac:dyDescent="0.25">
      <c r="A1314" s="73">
        <v>44847</v>
      </c>
      <c r="B1314" s="74" t="s">
        <v>32905</v>
      </c>
      <c r="C1314" s="75" t="s">
        <v>109</v>
      </c>
      <c r="D1314" s="81">
        <v>5317</v>
      </c>
      <c r="E1314" s="230">
        <v>44848</v>
      </c>
      <c r="F1314" s="81">
        <v>5317</v>
      </c>
      <c r="G1314" s="197">
        <f>Tabla111[[#This Row],[Importe]]-Tabla111[[#This Row],[Pagado]]</f>
        <v>0</v>
      </c>
      <c r="H1314" s="75" t="s">
        <v>10</v>
      </c>
    </row>
    <row r="1315" spans="1:8" x14ac:dyDescent="0.25">
      <c r="A1315" s="148">
        <v>44847</v>
      </c>
      <c r="B1315" s="149" t="s">
        <v>32906</v>
      </c>
      <c r="C1315" s="153" t="s">
        <v>120</v>
      </c>
      <c r="D1315" s="154">
        <v>1290</v>
      </c>
      <c r="E1315" s="231">
        <v>44848</v>
      </c>
      <c r="F1315" s="154">
        <v>1290</v>
      </c>
      <c r="G1315" s="197">
        <f>Tabla111[[#This Row],[Importe]]-Tabla111[[#This Row],[Pagado]]</f>
        <v>0</v>
      </c>
      <c r="H1315" s="153" t="s">
        <v>10</v>
      </c>
    </row>
    <row r="1316" spans="1:8" x14ac:dyDescent="0.25">
      <c r="A1316" s="73">
        <v>44847</v>
      </c>
      <c r="B1316" s="74" t="s">
        <v>32907</v>
      </c>
      <c r="C1316" s="75" t="s">
        <v>97</v>
      </c>
      <c r="D1316" s="81">
        <v>5540</v>
      </c>
      <c r="E1316" s="230">
        <v>44848</v>
      </c>
      <c r="F1316" s="81">
        <v>5540</v>
      </c>
      <c r="G1316" s="197">
        <f>Tabla111[[#This Row],[Importe]]-Tabla111[[#This Row],[Pagado]]</f>
        <v>0</v>
      </c>
      <c r="H1316" s="75" t="s">
        <v>10</v>
      </c>
    </row>
    <row r="1317" spans="1:8" x14ac:dyDescent="0.25">
      <c r="A1317" s="148">
        <v>44847</v>
      </c>
      <c r="B1317" s="149" t="s">
        <v>32908</v>
      </c>
      <c r="C1317" s="153" t="s">
        <v>326</v>
      </c>
      <c r="D1317" s="154">
        <v>8030.7</v>
      </c>
      <c r="E1317" s="231">
        <v>44849</v>
      </c>
      <c r="F1317" s="154">
        <v>8030.7</v>
      </c>
      <c r="G1317" s="197">
        <f>Tabla111[[#This Row],[Importe]]-Tabla111[[#This Row],[Pagado]]</f>
        <v>0</v>
      </c>
      <c r="H1317" s="153" t="s">
        <v>10</v>
      </c>
    </row>
    <row r="1318" spans="1:8" x14ac:dyDescent="0.25">
      <c r="A1318" s="73">
        <v>44847</v>
      </c>
      <c r="B1318" s="74" t="s">
        <v>32909</v>
      </c>
      <c r="C1318" s="75" t="s">
        <v>353</v>
      </c>
      <c r="D1318" s="81">
        <v>1739.4</v>
      </c>
      <c r="E1318" s="230">
        <v>44847</v>
      </c>
      <c r="F1318" s="81">
        <v>1739.4</v>
      </c>
      <c r="G1318" s="197">
        <f>Tabla111[[#This Row],[Importe]]-Tabla111[[#This Row],[Pagado]]</f>
        <v>0</v>
      </c>
      <c r="H1318" s="75" t="s">
        <v>10</v>
      </c>
    </row>
    <row r="1319" spans="1:8" x14ac:dyDescent="0.25">
      <c r="A1319" s="148">
        <v>44847</v>
      </c>
      <c r="B1319" s="149" t="s">
        <v>32910</v>
      </c>
      <c r="C1319" s="153" t="s">
        <v>31</v>
      </c>
      <c r="D1319" s="154">
        <v>4950.3999999999996</v>
      </c>
      <c r="E1319" s="231">
        <v>44847</v>
      </c>
      <c r="F1319" s="154">
        <v>4950.3999999999996</v>
      </c>
      <c r="G1319" s="197">
        <f>Tabla111[[#This Row],[Importe]]-Tabla111[[#This Row],[Pagado]]</f>
        <v>0</v>
      </c>
      <c r="H1319" s="153" t="s">
        <v>10</v>
      </c>
    </row>
    <row r="1320" spans="1:8" x14ac:dyDescent="0.25">
      <c r="A1320" s="73">
        <v>44847</v>
      </c>
      <c r="B1320" s="74" t="s">
        <v>32911</v>
      </c>
      <c r="C1320" s="75" t="s">
        <v>159</v>
      </c>
      <c r="D1320" s="81">
        <v>4559.6000000000004</v>
      </c>
      <c r="E1320" s="230">
        <v>44847</v>
      </c>
      <c r="F1320" s="81">
        <v>4559.6000000000004</v>
      </c>
      <c r="G1320" s="197">
        <f>Tabla111[[#This Row],[Importe]]-Tabla111[[#This Row],[Pagado]]</f>
        <v>0</v>
      </c>
      <c r="H1320" s="75" t="s">
        <v>10</v>
      </c>
    </row>
    <row r="1321" spans="1:8" x14ac:dyDescent="0.25">
      <c r="A1321" s="148">
        <v>44847</v>
      </c>
      <c r="B1321" s="149" t="s">
        <v>32912</v>
      </c>
      <c r="C1321" s="153" t="s">
        <v>161</v>
      </c>
      <c r="D1321" s="154">
        <v>3480.8</v>
      </c>
      <c r="E1321" s="231">
        <v>44847</v>
      </c>
      <c r="F1321" s="154">
        <v>3480.8</v>
      </c>
      <c r="G1321" s="197">
        <f>Tabla111[[#This Row],[Importe]]-Tabla111[[#This Row],[Pagado]]</f>
        <v>0</v>
      </c>
      <c r="H1321" s="153" t="s">
        <v>10</v>
      </c>
    </row>
    <row r="1322" spans="1:8" x14ac:dyDescent="0.25">
      <c r="A1322" s="73">
        <v>44847</v>
      </c>
      <c r="B1322" s="74" t="s">
        <v>32913</v>
      </c>
      <c r="C1322" s="75" t="s">
        <v>9</v>
      </c>
      <c r="D1322" s="81">
        <v>7857</v>
      </c>
      <c r="E1322" s="230">
        <v>44847</v>
      </c>
      <c r="F1322" s="81">
        <v>7857</v>
      </c>
      <c r="G1322" s="197">
        <f>Tabla111[[#This Row],[Importe]]-Tabla111[[#This Row],[Pagado]]</f>
        <v>0</v>
      </c>
      <c r="H1322" s="75" t="s">
        <v>10</v>
      </c>
    </row>
    <row r="1323" spans="1:8" x14ac:dyDescent="0.25">
      <c r="A1323" s="148">
        <v>44847</v>
      </c>
      <c r="B1323" s="149" t="s">
        <v>32914</v>
      </c>
      <c r="C1323" s="153" t="s">
        <v>296</v>
      </c>
      <c r="D1323" s="154">
        <v>1336.5</v>
      </c>
      <c r="E1323" s="231">
        <v>44847</v>
      </c>
      <c r="F1323" s="154">
        <v>1336.5</v>
      </c>
      <c r="G1323" s="197">
        <f>Tabla111[[#This Row],[Importe]]-Tabla111[[#This Row],[Pagado]]</f>
        <v>0</v>
      </c>
      <c r="H1323" s="153" t="s">
        <v>10</v>
      </c>
    </row>
    <row r="1324" spans="1:8" x14ac:dyDescent="0.25">
      <c r="A1324" s="73">
        <v>44847</v>
      </c>
      <c r="B1324" s="74" t="s">
        <v>32915</v>
      </c>
      <c r="C1324" s="75" t="s">
        <v>9</v>
      </c>
      <c r="D1324" s="81">
        <v>281.3</v>
      </c>
      <c r="E1324" s="230">
        <v>44847</v>
      </c>
      <c r="F1324" s="81">
        <v>281.3</v>
      </c>
      <c r="G1324" s="197">
        <f>Tabla111[[#This Row],[Importe]]-Tabla111[[#This Row],[Pagado]]</f>
        <v>0</v>
      </c>
      <c r="H1324" s="75" t="s">
        <v>10</v>
      </c>
    </row>
    <row r="1325" spans="1:8" x14ac:dyDescent="0.25">
      <c r="A1325" s="148">
        <v>44847</v>
      </c>
      <c r="B1325" s="149" t="s">
        <v>32916</v>
      </c>
      <c r="C1325" s="153" t="s">
        <v>157</v>
      </c>
      <c r="D1325" s="154">
        <v>3288</v>
      </c>
      <c r="E1325" s="231">
        <v>44847</v>
      </c>
      <c r="F1325" s="154">
        <v>3288</v>
      </c>
      <c r="G1325" s="197">
        <f>Tabla111[[#This Row],[Importe]]-Tabla111[[#This Row],[Pagado]]</f>
        <v>0</v>
      </c>
      <c r="H1325" s="153" t="s">
        <v>10</v>
      </c>
    </row>
    <row r="1326" spans="1:8" x14ac:dyDescent="0.25">
      <c r="A1326" s="73">
        <v>44847</v>
      </c>
      <c r="B1326" s="74" t="s">
        <v>32917</v>
      </c>
      <c r="C1326" s="75" t="s">
        <v>450</v>
      </c>
      <c r="D1326" s="81">
        <v>8411.7000000000007</v>
      </c>
      <c r="E1326" s="230">
        <v>44847</v>
      </c>
      <c r="F1326" s="81">
        <v>8411.7000000000007</v>
      </c>
      <c r="G1326" s="197">
        <f>Tabla111[[#This Row],[Importe]]-Tabla111[[#This Row],[Pagado]]</f>
        <v>0</v>
      </c>
      <c r="H1326" s="75" t="s">
        <v>10</v>
      </c>
    </row>
    <row r="1327" spans="1:8" x14ac:dyDescent="0.25">
      <c r="A1327" s="148">
        <v>44847</v>
      </c>
      <c r="B1327" s="149" t="s">
        <v>32918</v>
      </c>
      <c r="C1327" s="153" t="s">
        <v>518</v>
      </c>
      <c r="D1327" s="154">
        <v>307.39999999999998</v>
      </c>
      <c r="E1327" s="231">
        <v>44847</v>
      </c>
      <c r="F1327" s="154">
        <v>307.39999999999998</v>
      </c>
      <c r="G1327" s="197">
        <f>Tabla111[[#This Row],[Importe]]-Tabla111[[#This Row],[Pagado]]</f>
        <v>0</v>
      </c>
      <c r="H1327" s="153" t="s">
        <v>10</v>
      </c>
    </row>
    <row r="1328" spans="1:8" x14ac:dyDescent="0.25">
      <c r="A1328" s="73">
        <v>44847</v>
      </c>
      <c r="B1328" s="74" t="s">
        <v>32919</v>
      </c>
      <c r="C1328" s="75" t="s">
        <v>520</v>
      </c>
      <c r="D1328" s="81">
        <v>8461</v>
      </c>
      <c r="E1328" s="230">
        <v>44847</v>
      </c>
      <c r="F1328" s="81">
        <v>8461</v>
      </c>
      <c r="G1328" s="197">
        <f>Tabla111[[#This Row],[Importe]]-Tabla111[[#This Row],[Pagado]]</f>
        <v>0</v>
      </c>
      <c r="H1328" s="75" t="s">
        <v>10</v>
      </c>
    </row>
    <row r="1329" spans="1:8" x14ac:dyDescent="0.25">
      <c r="A1329" s="148">
        <v>44847</v>
      </c>
      <c r="B1329" s="149" t="s">
        <v>32920</v>
      </c>
      <c r="C1329" s="153" t="s">
        <v>22</v>
      </c>
      <c r="D1329" s="154">
        <v>39169.1</v>
      </c>
      <c r="E1329" s="231">
        <v>44848</v>
      </c>
      <c r="F1329" s="154">
        <v>39169.1</v>
      </c>
      <c r="G1329" s="197">
        <f>Tabla111[[#This Row],[Importe]]-Tabla111[[#This Row],[Pagado]]</f>
        <v>0</v>
      </c>
      <c r="H1329" s="153" t="s">
        <v>10</v>
      </c>
    </row>
    <row r="1330" spans="1:8" x14ac:dyDescent="0.25">
      <c r="A1330" s="73">
        <v>44847</v>
      </c>
      <c r="B1330" s="74" t="s">
        <v>32921</v>
      </c>
      <c r="C1330" s="75" t="s">
        <v>2151</v>
      </c>
      <c r="D1330" s="81">
        <v>12661.3</v>
      </c>
      <c r="E1330" s="230">
        <v>44847</v>
      </c>
      <c r="F1330" s="81">
        <v>12661.3</v>
      </c>
      <c r="G1330" s="197">
        <f>Tabla111[[#This Row],[Importe]]-Tabla111[[#This Row],[Pagado]]</f>
        <v>0</v>
      </c>
      <c r="H1330" s="75" t="s">
        <v>10</v>
      </c>
    </row>
    <row r="1331" spans="1:8" x14ac:dyDescent="0.25">
      <c r="A1331" s="148">
        <v>44847</v>
      </c>
      <c r="B1331" s="149" t="s">
        <v>32922</v>
      </c>
      <c r="C1331" s="153" t="s">
        <v>105</v>
      </c>
      <c r="D1331" s="154">
        <v>7909.3</v>
      </c>
      <c r="E1331" s="231">
        <v>44848</v>
      </c>
      <c r="F1331" s="154">
        <v>7909.3</v>
      </c>
      <c r="G1331" s="197">
        <f>Tabla111[[#This Row],[Importe]]-Tabla111[[#This Row],[Pagado]]</f>
        <v>0</v>
      </c>
      <c r="H1331" s="153" t="s">
        <v>10</v>
      </c>
    </row>
    <row r="1332" spans="1:8" x14ac:dyDescent="0.25">
      <c r="A1332" s="73">
        <v>44847</v>
      </c>
      <c r="B1332" s="74" t="s">
        <v>32923</v>
      </c>
      <c r="C1332" s="75" t="s">
        <v>64</v>
      </c>
      <c r="D1332" s="81">
        <v>5310.5</v>
      </c>
      <c r="E1332" s="230">
        <v>44849</v>
      </c>
      <c r="F1332" s="81">
        <v>5310.5</v>
      </c>
      <c r="G1332" s="197">
        <f>Tabla111[[#This Row],[Importe]]-Tabla111[[#This Row],[Pagado]]</f>
        <v>0</v>
      </c>
      <c r="H1332" s="75" t="s">
        <v>10</v>
      </c>
    </row>
    <row r="1333" spans="1:8" x14ac:dyDescent="0.25">
      <c r="A1333" s="148">
        <v>44847</v>
      </c>
      <c r="B1333" s="149" t="s">
        <v>32924</v>
      </c>
      <c r="C1333" s="153" t="s">
        <v>114</v>
      </c>
      <c r="D1333" s="154">
        <v>6497.1</v>
      </c>
      <c r="E1333" s="231">
        <v>44848</v>
      </c>
      <c r="F1333" s="154">
        <v>6497.1</v>
      </c>
      <c r="G1333" s="197">
        <f>Tabla111[[#This Row],[Importe]]-Tabla111[[#This Row],[Pagado]]</f>
        <v>0</v>
      </c>
      <c r="H1333" s="153" t="s">
        <v>10</v>
      </c>
    </row>
    <row r="1334" spans="1:8" x14ac:dyDescent="0.25">
      <c r="A1334" s="73">
        <v>44847</v>
      </c>
      <c r="B1334" s="74" t="s">
        <v>32925</v>
      </c>
      <c r="C1334" s="75" t="s">
        <v>111</v>
      </c>
      <c r="D1334" s="81">
        <v>5655</v>
      </c>
      <c r="E1334" s="230">
        <v>44848</v>
      </c>
      <c r="F1334" s="81">
        <v>5655</v>
      </c>
      <c r="G1334" s="197">
        <f>Tabla111[[#This Row],[Importe]]-Tabla111[[#This Row],[Pagado]]</f>
        <v>0</v>
      </c>
      <c r="H1334" s="75" t="s">
        <v>10</v>
      </c>
    </row>
    <row r="1335" spans="1:8" x14ac:dyDescent="0.25">
      <c r="A1335" s="148">
        <v>44847</v>
      </c>
      <c r="B1335" s="149" t="s">
        <v>32926</v>
      </c>
      <c r="C1335" s="153" t="s">
        <v>89</v>
      </c>
      <c r="D1335" s="154">
        <v>10051.4</v>
      </c>
      <c r="E1335" s="231">
        <v>44848</v>
      </c>
      <c r="F1335" s="154">
        <v>10051.4</v>
      </c>
      <c r="G1335" s="197">
        <f>Tabla111[[#This Row],[Importe]]-Tabla111[[#This Row],[Pagado]]</f>
        <v>0</v>
      </c>
      <c r="H1335" s="153" t="s">
        <v>10</v>
      </c>
    </row>
    <row r="1336" spans="1:8" x14ac:dyDescent="0.25">
      <c r="A1336" s="73">
        <v>44847</v>
      </c>
      <c r="B1336" s="74" t="s">
        <v>32927</v>
      </c>
      <c r="C1336" s="75" t="s">
        <v>348</v>
      </c>
      <c r="D1336" s="81">
        <v>4057.4</v>
      </c>
      <c r="E1336" s="230">
        <v>44847</v>
      </c>
      <c r="F1336" s="81">
        <v>4057.4</v>
      </c>
      <c r="G1336" s="197">
        <f>Tabla111[[#This Row],[Importe]]-Tabla111[[#This Row],[Pagado]]</f>
        <v>0</v>
      </c>
      <c r="H1336" s="75" t="s">
        <v>10</v>
      </c>
    </row>
    <row r="1337" spans="1:8" x14ac:dyDescent="0.25">
      <c r="A1337" s="148">
        <v>44847</v>
      </c>
      <c r="B1337" s="149" t="s">
        <v>32928</v>
      </c>
      <c r="C1337" s="153" t="s">
        <v>79</v>
      </c>
      <c r="D1337" s="154">
        <v>14707.5</v>
      </c>
      <c r="E1337" s="231">
        <v>44847</v>
      </c>
      <c r="F1337" s="154">
        <v>14707.5</v>
      </c>
      <c r="G1337" s="197">
        <f>Tabla111[[#This Row],[Importe]]-Tabla111[[#This Row],[Pagado]]</f>
        <v>0</v>
      </c>
      <c r="H1337" s="153" t="s">
        <v>10</v>
      </c>
    </row>
    <row r="1338" spans="1:8" x14ac:dyDescent="0.25">
      <c r="A1338" s="73">
        <v>44847</v>
      </c>
      <c r="B1338" s="74" t="s">
        <v>32929</v>
      </c>
      <c r="C1338" s="75" t="s">
        <v>647</v>
      </c>
      <c r="D1338" s="81">
        <v>5784.6</v>
      </c>
      <c r="E1338" s="230">
        <v>44847</v>
      </c>
      <c r="F1338" s="81">
        <v>5784.6</v>
      </c>
      <c r="G1338" s="197">
        <f>Tabla111[[#This Row],[Importe]]-Tabla111[[#This Row],[Pagado]]</f>
        <v>0</v>
      </c>
      <c r="H1338" s="75" t="s">
        <v>10</v>
      </c>
    </row>
    <row r="1339" spans="1:8" x14ac:dyDescent="0.25">
      <c r="A1339" s="148">
        <v>44847</v>
      </c>
      <c r="B1339" s="149" t="s">
        <v>32930</v>
      </c>
      <c r="C1339" s="153" t="s">
        <v>31</v>
      </c>
      <c r="D1339" s="154">
        <v>5707.6</v>
      </c>
      <c r="E1339" s="231">
        <v>44847</v>
      </c>
      <c r="F1339" s="154">
        <v>5707.6</v>
      </c>
      <c r="G1339" s="197">
        <f>Tabla111[[#This Row],[Importe]]-Tabla111[[#This Row],[Pagado]]</f>
        <v>0</v>
      </c>
      <c r="H1339" s="153" t="s">
        <v>10</v>
      </c>
    </row>
    <row r="1340" spans="1:8" x14ac:dyDescent="0.25">
      <c r="A1340" s="73">
        <v>44847</v>
      </c>
      <c r="B1340" s="74" t="s">
        <v>32931</v>
      </c>
      <c r="C1340" s="75" t="s">
        <v>45</v>
      </c>
      <c r="D1340" s="81">
        <v>14479.2</v>
      </c>
      <c r="E1340" s="230">
        <v>44847</v>
      </c>
      <c r="F1340" s="81">
        <v>14479.2</v>
      </c>
      <c r="G1340" s="197">
        <f>Tabla111[[#This Row],[Importe]]-Tabla111[[#This Row],[Pagado]]</f>
        <v>0</v>
      </c>
      <c r="H1340" s="75" t="s">
        <v>10</v>
      </c>
    </row>
    <row r="1341" spans="1:8" x14ac:dyDescent="0.25">
      <c r="A1341" s="148">
        <v>44847</v>
      </c>
      <c r="B1341" s="149" t="s">
        <v>32932</v>
      </c>
      <c r="C1341" s="153" t="s">
        <v>49</v>
      </c>
      <c r="D1341" s="154">
        <v>4192.6000000000004</v>
      </c>
      <c r="E1341" s="231">
        <v>44847</v>
      </c>
      <c r="F1341" s="154">
        <v>4192.6000000000004</v>
      </c>
      <c r="G1341" s="197">
        <f>Tabla111[[#This Row],[Importe]]-Tabla111[[#This Row],[Pagado]]</f>
        <v>0</v>
      </c>
      <c r="H1341" s="153" t="s">
        <v>10</v>
      </c>
    </row>
    <row r="1342" spans="1:8" x14ac:dyDescent="0.25">
      <c r="A1342" s="73">
        <v>44847</v>
      </c>
      <c r="B1342" s="74" t="s">
        <v>32933</v>
      </c>
      <c r="C1342" s="75" t="s">
        <v>131</v>
      </c>
      <c r="D1342" s="81">
        <v>6568.4</v>
      </c>
      <c r="E1342" s="230">
        <v>44847</v>
      </c>
      <c r="F1342" s="81">
        <v>6568.4</v>
      </c>
      <c r="G1342" s="197">
        <f>Tabla111[[#This Row],[Importe]]-Tabla111[[#This Row],[Pagado]]</f>
        <v>0</v>
      </c>
      <c r="H1342" s="75" t="s">
        <v>10</v>
      </c>
    </row>
    <row r="1343" spans="1:8" x14ac:dyDescent="0.25">
      <c r="A1343" s="148">
        <v>44847</v>
      </c>
      <c r="B1343" s="149" t="s">
        <v>32934</v>
      </c>
      <c r="C1343" s="153" t="s">
        <v>95</v>
      </c>
      <c r="D1343" s="154">
        <v>29433.599999999999</v>
      </c>
      <c r="E1343" s="231">
        <v>44847</v>
      </c>
      <c r="F1343" s="154">
        <v>29433.599999999999</v>
      </c>
      <c r="G1343" s="197">
        <f>Tabla111[[#This Row],[Importe]]-Tabla111[[#This Row],[Pagado]]</f>
        <v>0</v>
      </c>
      <c r="H1343" s="153" t="s">
        <v>10</v>
      </c>
    </row>
    <row r="1344" spans="1:8" x14ac:dyDescent="0.25">
      <c r="A1344" s="73">
        <v>44847</v>
      </c>
      <c r="B1344" s="74" t="s">
        <v>32935</v>
      </c>
      <c r="C1344" s="75" t="s">
        <v>698</v>
      </c>
      <c r="D1344" s="81">
        <v>4651.2</v>
      </c>
      <c r="E1344" s="230">
        <v>44847</v>
      </c>
      <c r="F1344" s="81">
        <v>4651.2</v>
      </c>
      <c r="G1344" s="197">
        <f>Tabla111[[#This Row],[Importe]]-Tabla111[[#This Row],[Pagado]]</f>
        <v>0</v>
      </c>
      <c r="H1344" s="75" t="s">
        <v>10</v>
      </c>
    </row>
    <row r="1345" spans="1:8" x14ac:dyDescent="0.25">
      <c r="A1345" s="148">
        <v>44847</v>
      </c>
      <c r="B1345" s="149" t="s">
        <v>32936</v>
      </c>
      <c r="C1345" s="153" t="s">
        <v>698</v>
      </c>
      <c r="D1345" s="154">
        <v>2239.5</v>
      </c>
      <c r="E1345" s="231">
        <v>44847</v>
      </c>
      <c r="F1345" s="154">
        <v>2239.5</v>
      </c>
      <c r="G1345" s="197">
        <f>Tabla111[[#This Row],[Importe]]-Tabla111[[#This Row],[Pagado]]</f>
        <v>0</v>
      </c>
      <c r="H1345" s="153" t="s">
        <v>10</v>
      </c>
    </row>
    <row r="1346" spans="1:8" x14ac:dyDescent="0.25">
      <c r="A1346" s="73">
        <v>44847</v>
      </c>
      <c r="B1346" s="74" t="s">
        <v>32937</v>
      </c>
      <c r="C1346" s="75" t="s">
        <v>31</v>
      </c>
      <c r="D1346" s="81">
        <v>3907.3</v>
      </c>
      <c r="E1346" s="230">
        <v>44847</v>
      </c>
      <c r="F1346" s="81">
        <v>3907.3</v>
      </c>
      <c r="G1346" s="197">
        <f>Tabla111[[#This Row],[Importe]]-Tabla111[[#This Row],[Pagado]]</f>
        <v>0</v>
      </c>
      <c r="H1346" s="75" t="s">
        <v>10</v>
      </c>
    </row>
    <row r="1347" spans="1:8" x14ac:dyDescent="0.25">
      <c r="A1347" s="148">
        <v>44847</v>
      </c>
      <c r="B1347" s="149" t="s">
        <v>32938</v>
      </c>
      <c r="C1347" s="153" t="s">
        <v>17556</v>
      </c>
      <c r="D1347" s="154">
        <v>4288.8999999999996</v>
      </c>
      <c r="E1347" s="231">
        <v>44847</v>
      </c>
      <c r="F1347" s="154">
        <v>4288.8999999999996</v>
      </c>
      <c r="G1347" s="197">
        <f>Tabla111[[#This Row],[Importe]]-Tabla111[[#This Row],[Pagado]]</f>
        <v>0</v>
      </c>
      <c r="H1347" s="153" t="s">
        <v>10</v>
      </c>
    </row>
    <row r="1348" spans="1:8" x14ac:dyDescent="0.25">
      <c r="A1348" s="73">
        <v>44847</v>
      </c>
      <c r="B1348" s="74" t="s">
        <v>32939</v>
      </c>
      <c r="C1348" s="75" t="s">
        <v>17556</v>
      </c>
      <c r="D1348" s="81">
        <v>1508.8</v>
      </c>
      <c r="E1348" s="230">
        <v>44847</v>
      </c>
      <c r="F1348" s="81">
        <v>1508.8</v>
      </c>
      <c r="G1348" s="197">
        <f>Tabla111[[#This Row],[Importe]]-Tabla111[[#This Row],[Pagado]]</f>
        <v>0</v>
      </c>
      <c r="H1348" s="75" t="s">
        <v>10</v>
      </c>
    </row>
    <row r="1349" spans="1:8" x14ac:dyDescent="0.25">
      <c r="A1349" s="148">
        <v>44847</v>
      </c>
      <c r="B1349" s="149" t="s">
        <v>32940</v>
      </c>
      <c r="C1349" s="153" t="s">
        <v>11383</v>
      </c>
      <c r="D1349" s="154">
        <v>37583</v>
      </c>
      <c r="E1349" s="231">
        <v>44847</v>
      </c>
      <c r="F1349" s="154">
        <v>37583</v>
      </c>
      <c r="G1349" s="197">
        <f>Tabla111[[#This Row],[Importe]]-Tabla111[[#This Row],[Pagado]]</f>
        <v>0</v>
      </c>
      <c r="H1349" s="153" t="s">
        <v>10</v>
      </c>
    </row>
    <row r="1350" spans="1:8" x14ac:dyDescent="0.25">
      <c r="A1350" s="73">
        <v>44847</v>
      </c>
      <c r="B1350" s="74" t="s">
        <v>32941</v>
      </c>
      <c r="C1350" s="75" t="s">
        <v>196</v>
      </c>
      <c r="D1350" s="81">
        <v>187517.07</v>
      </c>
      <c r="E1350" s="230">
        <v>44848</v>
      </c>
      <c r="F1350" s="81">
        <v>187517.07</v>
      </c>
      <c r="G1350" s="197">
        <f>Tabla111[[#This Row],[Importe]]-Tabla111[[#This Row],[Pagado]]</f>
        <v>0</v>
      </c>
      <c r="H1350" s="75" t="s">
        <v>10</v>
      </c>
    </row>
    <row r="1351" spans="1:8" x14ac:dyDescent="0.25">
      <c r="A1351" s="148">
        <v>44847</v>
      </c>
      <c r="B1351" s="149" t="s">
        <v>32942</v>
      </c>
      <c r="C1351" s="153" t="s">
        <v>127</v>
      </c>
      <c r="D1351" s="154">
        <v>6070.6</v>
      </c>
      <c r="E1351" s="231">
        <v>44847</v>
      </c>
      <c r="F1351" s="154">
        <v>6070.6</v>
      </c>
      <c r="G1351" s="197">
        <f>Tabla111[[#This Row],[Importe]]-Tabla111[[#This Row],[Pagado]]</f>
        <v>0</v>
      </c>
      <c r="H1351" s="153" t="s">
        <v>10</v>
      </c>
    </row>
    <row r="1352" spans="1:8" x14ac:dyDescent="0.25">
      <c r="A1352" s="73">
        <v>44847</v>
      </c>
      <c r="B1352" s="74" t="s">
        <v>32943</v>
      </c>
      <c r="C1352" s="75" t="s">
        <v>339</v>
      </c>
      <c r="D1352" s="81">
        <v>1166.3</v>
      </c>
      <c r="E1352" s="230">
        <v>44847</v>
      </c>
      <c r="F1352" s="81">
        <v>1166.3</v>
      </c>
      <c r="G1352" s="197">
        <f>Tabla111[[#This Row],[Importe]]-Tabla111[[#This Row],[Pagado]]</f>
        <v>0</v>
      </c>
      <c r="H1352" s="75" t="s">
        <v>10</v>
      </c>
    </row>
    <row r="1353" spans="1:8" x14ac:dyDescent="0.25">
      <c r="A1353" s="148">
        <v>44847</v>
      </c>
      <c r="B1353" s="149" t="s">
        <v>32944</v>
      </c>
      <c r="C1353" s="153" t="s">
        <v>37</v>
      </c>
      <c r="D1353" s="154">
        <v>3359.6</v>
      </c>
      <c r="E1353" s="231">
        <v>44847</v>
      </c>
      <c r="F1353" s="154">
        <v>3359.6</v>
      </c>
      <c r="G1353" s="197">
        <f>Tabla111[[#This Row],[Importe]]-Tabla111[[#This Row],[Pagado]]</f>
        <v>0</v>
      </c>
      <c r="H1353" s="153" t="s">
        <v>10</v>
      </c>
    </row>
    <row r="1354" spans="1:8" x14ac:dyDescent="0.25">
      <c r="A1354" s="73">
        <v>44847</v>
      </c>
      <c r="B1354" s="74" t="s">
        <v>32945</v>
      </c>
      <c r="C1354" s="75" t="s">
        <v>28087</v>
      </c>
      <c r="D1354" s="81">
        <v>102844.6</v>
      </c>
      <c r="E1354" s="230" t="s">
        <v>32946</v>
      </c>
      <c r="F1354" s="81">
        <f>19030.79+83813.81</f>
        <v>102844.6</v>
      </c>
      <c r="G1354" s="197">
        <f>Tabla111[[#This Row],[Importe]]-Tabla111[[#This Row],[Pagado]]</f>
        <v>0</v>
      </c>
      <c r="H1354" s="75" t="s">
        <v>10</v>
      </c>
    </row>
    <row r="1355" spans="1:8" x14ac:dyDescent="0.25">
      <c r="A1355" s="148">
        <v>44847</v>
      </c>
      <c r="B1355" s="149" t="s">
        <v>32947</v>
      </c>
      <c r="C1355" s="153" t="s">
        <v>228</v>
      </c>
      <c r="D1355" s="154">
        <v>6286.4</v>
      </c>
      <c r="E1355" s="231">
        <v>44847</v>
      </c>
      <c r="F1355" s="154">
        <v>6286.4</v>
      </c>
      <c r="G1355" s="197">
        <f>Tabla111[[#This Row],[Importe]]-Tabla111[[#This Row],[Pagado]]</f>
        <v>0</v>
      </c>
      <c r="H1355" s="153" t="s">
        <v>10</v>
      </c>
    </row>
    <row r="1356" spans="1:8" x14ac:dyDescent="0.25">
      <c r="A1356" s="73">
        <v>44847</v>
      </c>
      <c r="B1356" s="74" t="s">
        <v>32948</v>
      </c>
      <c r="C1356" s="75" t="s">
        <v>135</v>
      </c>
      <c r="D1356" s="81">
        <v>2751.9</v>
      </c>
      <c r="E1356" s="230">
        <v>44847</v>
      </c>
      <c r="F1356" s="81">
        <v>2751.9</v>
      </c>
      <c r="G1356" s="197">
        <f>Tabla111[[#This Row],[Importe]]-Tabla111[[#This Row],[Pagado]]</f>
        <v>0</v>
      </c>
      <c r="H1356" s="75" t="s">
        <v>10</v>
      </c>
    </row>
    <row r="1357" spans="1:8" x14ac:dyDescent="0.25">
      <c r="A1357" s="148">
        <v>44847</v>
      </c>
      <c r="B1357" s="149" t="s">
        <v>32949</v>
      </c>
      <c r="C1357" s="153" t="s">
        <v>31</v>
      </c>
      <c r="D1357" s="154">
        <v>747</v>
      </c>
      <c r="E1357" s="231">
        <v>44847</v>
      </c>
      <c r="F1357" s="154">
        <v>747</v>
      </c>
      <c r="G1357" s="197">
        <f>Tabla111[[#This Row],[Importe]]-Tabla111[[#This Row],[Pagado]]</f>
        <v>0</v>
      </c>
      <c r="H1357" s="153" t="s">
        <v>10</v>
      </c>
    </row>
    <row r="1358" spans="1:8" x14ac:dyDescent="0.25">
      <c r="A1358" s="73">
        <v>44847</v>
      </c>
      <c r="B1358" s="74" t="s">
        <v>32950</v>
      </c>
      <c r="C1358" s="75" t="s">
        <v>407</v>
      </c>
      <c r="D1358" s="81">
        <v>23287.5</v>
      </c>
      <c r="E1358" s="230">
        <v>44865</v>
      </c>
      <c r="F1358" s="81">
        <v>23287.5</v>
      </c>
      <c r="G1358" s="197">
        <f>Tabla111[[#This Row],[Importe]]-Tabla111[[#This Row],[Pagado]]</f>
        <v>0</v>
      </c>
      <c r="H1358" s="75" t="s">
        <v>10</v>
      </c>
    </row>
    <row r="1359" spans="1:8" x14ac:dyDescent="0.25">
      <c r="A1359" s="148">
        <v>44847</v>
      </c>
      <c r="B1359" s="149" t="s">
        <v>32951</v>
      </c>
      <c r="C1359" s="153" t="s">
        <v>24284</v>
      </c>
      <c r="D1359" s="154">
        <v>1522.5</v>
      </c>
      <c r="E1359" s="231">
        <v>44847</v>
      </c>
      <c r="F1359" s="154">
        <v>1522.5</v>
      </c>
      <c r="G1359" s="197">
        <f>Tabla111[[#This Row],[Importe]]-Tabla111[[#This Row],[Pagado]]</f>
        <v>0</v>
      </c>
      <c r="H1359" s="153" t="s">
        <v>10</v>
      </c>
    </row>
    <row r="1360" spans="1:8" x14ac:dyDescent="0.25">
      <c r="A1360" s="73">
        <v>44847</v>
      </c>
      <c r="B1360" s="74" t="s">
        <v>32952</v>
      </c>
      <c r="C1360" s="75" t="s">
        <v>58</v>
      </c>
      <c r="D1360" s="81">
        <v>1482</v>
      </c>
      <c r="E1360" s="230">
        <v>44847</v>
      </c>
      <c r="F1360" s="81">
        <v>1482</v>
      </c>
      <c r="G1360" s="197">
        <f>Tabla111[[#This Row],[Importe]]-Tabla111[[#This Row],[Pagado]]</f>
        <v>0</v>
      </c>
      <c r="H1360" s="75" t="s">
        <v>10</v>
      </c>
    </row>
    <row r="1361" spans="1:8" x14ac:dyDescent="0.25">
      <c r="A1361" s="148">
        <v>44847</v>
      </c>
      <c r="B1361" s="149" t="s">
        <v>32953</v>
      </c>
      <c r="C1361" s="153" t="s">
        <v>56</v>
      </c>
      <c r="D1361" s="154">
        <v>5624</v>
      </c>
      <c r="E1361" s="231">
        <v>44847</v>
      </c>
      <c r="F1361" s="154">
        <v>5624</v>
      </c>
      <c r="G1361" s="197">
        <f>Tabla111[[#This Row],[Importe]]-Tabla111[[#This Row],[Pagado]]</f>
        <v>0</v>
      </c>
      <c r="H1361" s="153" t="s">
        <v>10</v>
      </c>
    </row>
    <row r="1362" spans="1:8" x14ac:dyDescent="0.25">
      <c r="A1362" s="73">
        <v>44847</v>
      </c>
      <c r="B1362" s="74" t="s">
        <v>32954</v>
      </c>
      <c r="C1362" s="75" t="s">
        <v>29</v>
      </c>
      <c r="D1362" s="81">
        <v>4057.5</v>
      </c>
      <c r="E1362" s="230">
        <v>44847</v>
      </c>
      <c r="F1362" s="81">
        <v>4057.5</v>
      </c>
      <c r="G1362" s="197">
        <f>Tabla111[[#This Row],[Importe]]-Tabla111[[#This Row],[Pagado]]</f>
        <v>0</v>
      </c>
      <c r="H1362" s="75" t="s">
        <v>10</v>
      </c>
    </row>
    <row r="1363" spans="1:8" x14ac:dyDescent="0.25">
      <c r="A1363" s="148">
        <v>44847</v>
      </c>
      <c r="B1363" s="149" t="s">
        <v>32955</v>
      </c>
      <c r="C1363" s="153" t="s">
        <v>53</v>
      </c>
      <c r="D1363" s="154">
        <v>2808.8</v>
      </c>
      <c r="E1363" s="231">
        <v>44847</v>
      </c>
      <c r="F1363" s="154">
        <v>2808.8</v>
      </c>
      <c r="G1363" s="197">
        <f>Tabla111[[#This Row],[Importe]]-Tabla111[[#This Row],[Pagado]]</f>
        <v>0</v>
      </c>
      <c r="H1363" s="153" t="s">
        <v>10</v>
      </c>
    </row>
    <row r="1364" spans="1:8" x14ac:dyDescent="0.25">
      <c r="A1364" s="73">
        <v>44847</v>
      </c>
      <c r="B1364" s="74" t="s">
        <v>32956</v>
      </c>
      <c r="C1364" s="75" t="s">
        <v>1505</v>
      </c>
      <c r="D1364" s="81">
        <v>3222</v>
      </c>
      <c r="E1364" s="230">
        <v>44847</v>
      </c>
      <c r="F1364" s="81">
        <v>3222</v>
      </c>
      <c r="G1364" s="197">
        <f>Tabla111[[#This Row],[Importe]]-Tabla111[[#This Row],[Pagado]]</f>
        <v>0</v>
      </c>
      <c r="H1364" s="75" t="s">
        <v>10</v>
      </c>
    </row>
    <row r="1365" spans="1:8" x14ac:dyDescent="0.25">
      <c r="A1365" s="148">
        <v>44847</v>
      </c>
      <c r="B1365" s="149" t="s">
        <v>32957</v>
      </c>
      <c r="C1365" s="153" t="s">
        <v>222</v>
      </c>
      <c r="D1365" s="154">
        <v>13376.6</v>
      </c>
      <c r="E1365" s="231">
        <v>44847</v>
      </c>
      <c r="F1365" s="154">
        <v>13376.6</v>
      </c>
      <c r="G1365" s="197">
        <f>Tabla111[[#This Row],[Importe]]-Tabla111[[#This Row],[Pagado]]</f>
        <v>0</v>
      </c>
      <c r="H1365" s="153" t="s">
        <v>10</v>
      </c>
    </row>
    <row r="1366" spans="1:8" x14ac:dyDescent="0.25">
      <c r="A1366" s="73">
        <v>44847</v>
      </c>
      <c r="B1366" s="74" t="s">
        <v>32958</v>
      </c>
      <c r="C1366" s="75" t="s">
        <v>1003</v>
      </c>
      <c r="D1366" s="81">
        <v>6199.2</v>
      </c>
      <c r="E1366" s="230">
        <v>44848</v>
      </c>
      <c r="F1366" s="81">
        <v>6199.2</v>
      </c>
      <c r="G1366" s="197">
        <f>Tabla111[[#This Row],[Importe]]-Tabla111[[#This Row],[Pagado]]</f>
        <v>0</v>
      </c>
      <c r="H1366" s="75" t="s">
        <v>10</v>
      </c>
    </row>
    <row r="1367" spans="1:8" x14ac:dyDescent="0.25">
      <c r="A1367" s="148">
        <v>44847</v>
      </c>
      <c r="B1367" s="149" t="s">
        <v>32959</v>
      </c>
      <c r="C1367" s="153" t="s">
        <v>216</v>
      </c>
      <c r="D1367" s="154">
        <v>1390.8</v>
      </c>
      <c r="E1367" s="231">
        <v>44847</v>
      </c>
      <c r="F1367" s="154">
        <v>1390.8</v>
      </c>
      <c r="G1367" s="197">
        <f>Tabla111[[#This Row],[Importe]]-Tabla111[[#This Row],[Pagado]]</f>
        <v>0</v>
      </c>
      <c r="H1367" s="153" t="s">
        <v>10</v>
      </c>
    </row>
    <row r="1368" spans="1:8" x14ac:dyDescent="0.25">
      <c r="A1368" s="73">
        <v>44847</v>
      </c>
      <c r="B1368" s="74" t="s">
        <v>32960</v>
      </c>
      <c r="C1368" s="75" t="s">
        <v>31</v>
      </c>
      <c r="D1368" s="81">
        <v>2916.1</v>
      </c>
      <c r="E1368" s="230">
        <v>44847</v>
      </c>
      <c r="F1368" s="81">
        <v>2916.1</v>
      </c>
      <c r="G1368" s="197">
        <f>Tabla111[[#This Row],[Importe]]-Tabla111[[#This Row],[Pagado]]</f>
        <v>0</v>
      </c>
      <c r="H1368" s="75" t="s">
        <v>10</v>
      </c>
    </row>
    <row r="1369" spans="1:8" x14ac:dyDescent="0.25">
      <c r="A1369" s="148">
        <v>44847</v>
      </c>
      <c r="B1369" s="149" t="s">
        <v>32961</v>
      </c>
      <c r="C1369" s="153" t="s">
        <v>83</v>
      </c>
      <c r="D1369" s="154">
        <v>13074.1</v>
      </c>
      <c r="E1369" s="231">
        <v>44847</v>
      </c>
      <c r="F1369" s="154">
        <v>13074.1</v>
      </c>
      <c r="G1369" s="197">
        <f>Tabla111[[#This Row],[Importe]]-Tabla111[[#This Row],[Pagado]]</f>
        <v>0</v>
      </c>
      <c r="H1369" s="153" t="s">
        <v>10</v>
      </c>
    </row>
    <row r="1370" spans="1:8" x14ac:dyDescent="0.25">
      <c r="A1370" s="73">
        <v>44847</v>
      </c>
      <c r="B1370" s="74" t="s">
        <v>32962</v>
      </c>
      <c r="C1370" s="75" t="s">
        <v>87</v>
      </c>
      <c r="D1370" s="81">
        <v>4415.2</v>
      </c>
      <c r="E1370" s="230">
        <v>44847</v>
      </c>
      <c r="F1370" s="81">
        <v>4415.2</v>
      </c>
      <c r="G1370" s="197">
        <f>Tabla111[[#This Row],[Importe]]-Tabla111[[#This Row],[Pagado]]</f>
        <v>0</v>
      </c>
      <c r="H1370" s="75" t="s">
        <v>10</v>
      </c>
    </row>
    <row r="1371" spans="1:8" x14ac:dyDescent="0.25">
      <c r="A1371" s="148">
        <v>44847</v>
      </c>
      <c r="B1371" s="149" t="s">
        <v>32963</v>
      </c>
      <c r="C1371" s="153" t="s">
        <v>296</v>
      </c>
      <c r="D1371" s="154">
        <v>4589.2</v>
      </c>
      <c r="E1371" s="231">
        <v>44847</v>
      </c>
      <c r="F1371" s="154">
        <v>4589.2</v>
      </c>
      <c r="G1371" s="197">
        <f>Tabla111[[#This Row],[Importe]]-Tabla111[[#This Row],[Pagado]]</f>
        <v>0</v>
      </c>
      <c r="H1371" s="153" t="s">
        <v>10</v>
      </c>
    </row>
    <row r="1372" spans="1:8" x14ac:dyDescent="0.25">
      <c r="A1372" s="73">
        <v>44847</v>
      </c>
      <c r="B1372" s="74" t="s">
        <v>32964</v>
      </c>
      <c r="C1372" s="75" t="s">
        <v>107</v>
      </c>
      <c r="D1372" s="81">
        <v>10083.5</v>
      </c>
      <c r="E1372" s="230">
        <v>44847</v>
      </c>
      <c r="F1372" s="81">
        <v>10083.5</v>
      </c>
      <c r="G1372" s="197">
        <f>Tabla111[[#This Row],[Importe]]-Tabla111[[#This Row],[Pagado]]</f>
        <v>0</v>
      </c>
      <c r="H1372" s="75" t="s">
        <v>10</v>
      </c>
    </row>
    <row r="1373" spans="1:8" x14ac:dyDescent="0.25">
      <c r="A1373" s="148">
        <v>44847</v>
      </c>
      <c r="B1373" s="149" t="s">
        <v>32965</v>
      </c>
      <c r="C1373" s="153" t="s">
        <v>146</v>
      </c>
      <c r="D1373" s="154">
        <v>5986</v>
      </c>
      <c r="E1373" s="231">
        <v>44847</v>
      </c>
      <c r="F1373" s="154">
        <v>5986</v>
      </c>
      <c r="G1373" s="197">
        <f>Tabla111[[#This Row],[Importe]]-Tabla111[[#This Row],[Pagado]]</f>
        <v>0</v>
      </c>
      <c r="H1373" s="153" t="s">
        <v>10</v>
      </c>
    </row>
    <row r="1374" spans="1:8" x14ac:dyDescent="0.25">
      <c r="A1374" s="73">
        <v>44847</v>
      </c>
      <c r="B1374" s="74" t="s">
        <v>32966</v>
      </c>
      <c r="C1374" s="75" t="s">
        <v>35</v>
      </c>
      <c r="D1374" s="81">
        <v>4382.7</v>
      </c>
      <c r="E1374" s="230">
        <v>44847</v>
      </c>
      <c r="F1374" s="81">
        <v>4382.7</v>
      </c>
      <c r="G1374" s="197">
        <f>Tabla111[[#This Row],[Importe]]-Tabla111[[#This Row],[Pagado]]</f>
        <v>0</v>
      </c>
      <c r="H1374" s="75" t="s">
        <v>10</v>
      </c>
    </row>
    <row r="1375" spans="1:8" x14ac:dyDescent="0.25">
      <c r="A1375" s="148">
        <v>44847</v>
      </c>
      <c r="B1375" s="149" t="s">
        <v>32967</v>
      </c>
      <c r="C1375" s="153" t="s">
        <v>857</v>
      </c>
      <c r="D1375" s="154">
        <v>534.5</v>
      </c>
      <c r="E1375" s="231">
        <v>44847</v>
      </c>
      <c r="F1375" s="154">
        <v>534.5</v>
      </c>
      <c r="G1375" s="197">
        <f>Tabla111[[#This Row],[Importe]]-Tabla111[[#This Row],[Pagado]]</f>
        <v>0</v>
      </c>
      <c r="H1375" s="153" t="s">
        <v>10</v>
      </c>
    </row>
    <row r="1376" spans="1:8" x14ac:dyDescent="0.25">
      <c r="A1376" s="73">
        <v>44847</v>
      </c>
      <c r="B1376" s="74" t="s">
        <v>32968</v>
      </c>
      <c r="C1376" s="75" t="s">
        <v>142</v>
      </c>
      <c r="D1376" s="81">
        <v>24981.4</v>
      </c>
      <c r="E1376" s="230">
        <v>44884</v>
      </c>
      <c r="F1376" s="81">
        <v>24981.4</v>
      </c>
      <c r="G1376" s="197">
        <f>Tabla111[[#This Row],[Importe]]-Tabla111[[#This Row],[Pagado]]</f>
        <v>0</v>
      </c>
      <c r="H1376" s="75" t="s">
        <v>10</v>
      </c>
    </row>
    <row r="1377" spans="1:8" x14ac:dyDescent="0.25">
      <c r="A1377" s="148">
        <v>44847</v>
      </c>
      <c r="B1377" s="149" t="s">
        <v>32969</v>
      </c>
      <c r="C1377" s="153" t="s">
        <v>9827</v>
      </c>
      <c r="D1377" s="154">
        <v>3929.2</v>
      </c>
      <c r="E1377" s="231">
        <v>44847</v>
      </c>
      <c r="F1377" s="154">
        <v>3929.2</v>
      </c>
      <c r="G1377" s="197">
        <f>Tabla111[[#This Row],[Importe]]-Tabla111[[#This Row],[Pagado]]</f>
        <v>0</v>
      </c>
      <c r="H1377" s="153" t="s">
        <v>10</v>
      </c>
    </row>
    <row r="1378" spans="1:8" x14ac:dyDescent="0.25">
      <c r="A1378" s="73">
        <v>44847</v>
      </c>
      <c r="B1378" s="74" t="s">
        <v>32970</v>
      </c>
      <c r="C1378" s="75" t="s">
        <v>31</v>
      </c>
      <c r="D1378" s="81">
        <v>8305.6</v>
      </c>
      <c r="E1378" s="230">
        <v>44847</v>
      </c>
      <c r="F1378" s="81">
        <v>8305.6</v>
      </c>
      <c r="G1378" s="197">
        <f>Tabla111[[#This Row],[Importe]]-Tabla111[[#This Row],[Pagado]]</f>
        <v>0</v>
      </c>
      <c r="H1378" s="75" t="s">
        <v>10</v>
      </c>
    </row>
    <row r="1379" spans="1:8" x14ac:dyDescent="0.25">
      <c r="A1379" s="148">
        <v>44847</v>
      </c>
      <c r="B1379" s="149" t="s">
        <v>32971</v>
      </c>
      <c r="C1379" s="153" t="s">
        <v>670</v>
      </c>
      <c r="D1379" s="154">
        <v>7164</v>
      </c>
      <c r="E1379" s="231">
        <v>44847</v>
      </c>
      <c r="F1379" s="154">
        <v>7164</v>
      </c>
      <c r="G1379" s="197">
        <f>Tabla111[[#This Row],[Importe]]-Tabla111[[#This Row],[Pagado]]</f>
        <v>0</v>
      </c>
      <c r="H1379" s="153" t="s">
        <v>10</v>
      </c>
    </row>
    <row r="1380" spans="1:8" x14ac:dyDescent="0.25">
      <c r="A1380" s="73">
        <v>44847</v>
      </c>
      <c r="B1380" s="74" t="s">
        <v>32972</v>
      </c>
      <c r="C1380" s="75" t="s">
        <v>10190</v>
      </c>
      <c r="D1380" s="81">
        <v>19053</v>
      </c>
      <c r="E1380" s="230">
        <v>44847</v>
      </c>
      <c r="F1380" s="81">
        <v>19053</v>
      </c>
      <c r="G1380" s="197">
        <f>Tabla111[[#This Row],[Importe]]-Tabla111[[#This Row],[Pagado]]</f>
        <v>0</v>
      </c>
      <c r="H1380" s="75" t="s">
        <v>10</v>
      </c>
    </row>
    <row r="1381" spans="1:8" x14ac:dyDescent="0.25">
      <c r="A1381" s="148">
        <v>44847</v>
      </c>
      <c r="B1381" s="149" t="s">
        <v>32973</v>
      </c>
      <c r="C1381" s="153" t="s">
        <v>67</v>
      </c>
      <c r="D1381" s="154">
        <v>2612</v>
      </c>
      <c r="E1381" s="231">
        <v>44847</v>
      </c>
      <c r="F1381" s="154">
        <v>2612</v>
      </c>
      <c r="G1381" s="197">
        <f>Tabla111[[#This Row],[Importe]]-Tabla111[[#This Row],[Pagado]]</f>
        <v>0</v>
      </c>
      <c r="H1381" s="153" t="s">
        <v>10</v>
      </c>
    </row>
    <row r="1382" spans="1:8" x14ac:dyDescent="0.25">
      <c r="A1382" s="73">
        <v>44847</v>
      </c>
      <c r="B1382" s="74" t="s">
        <v>32974</v>
      </c>
      <c r="C1382" s="75" t="s">
        <v>157</v>
      </c>
      <c r="D1382" s="81">
        <v>4674</v>
      </c>
      <c r="E1382" s="230">
        <v>44848</v>
      </c>
      <c r="F1382" s="81">
        <v>4674</v>
      </c>
      <c r="G1382" s="197">
        <f>Tabla111[[#This Row],[Importe]]-Tabla111[[#This Row],[Pagado]]</f>
        <v>0</v>
      </c>
      <c r="H1382" s="75" t="s">
        <v>10</v>
      </c>
    </row>
    <row r="1383" spans="1:8" x14ac:dyDescent="0.25">
      <c r="A1383" s="148">
        <v>44847</v>
      </c>
      <c r="B1383" s="149" t="s">
        <v>32975</v>
      </c>
      <c r="C1383" s="153" t="s">
        <v>1302</v>
      </c>
      <c r="D1383" s="154">
        <v>50519.1</v>
      </c>
      <c r="E1383" s="231">
        <v>44847</v>
      </c>
      <c r="F1383" s="154">
        <v>50519.1</v>
      </c>
      <c r="G1383" s="197">
        <f>Tabla111[[#This Row],[Importe]]-Tabla111[[#This Row],[Pagado]]</f>
        <v>0</v>
      </c>
      <c r="H1383" s="153" t="s">
        <v>10</v>
      </c>
    </row>
    <row r="1384" spans="1:8" x14ac:dyDescent="0.25">
      <c r="A1384" s="73">
        <v>44847</v>
      </c>
      <c r="B1384" s="74" t="s">
        <v>32976</v>
      </c>
      <c r="C1384" s="75" t="s">
        <v>21176</v>
      </c>
      <c r="D1384" s="81">
        <v>0</v>
      </c>
      <c r="E1384" s="232" t="s">
        <v>189</v>
      </c>
      <c r="F1384" s="81">
        <v>0</v>
      </c>
      <c r="G1384" s="197">
        <f>Tabla111[[#This Row],[Importe]]-Tabla111[[#This Row],[Pagado]]</f>
        <v>0</v>
      </c>
      <c r="H1384" s="161" t="s">
        <v>32977</v>
      </c>
    </row>
    <row r="1385" spans="1:8" x14ac:dyDescent="0.25">
      <c r="A1385" s="148">
        <v>44847</v>
      </c>
      <c r="B1385" s="149" t="s">
        <v>32978</v>
      </c>
      <c r="C1385" s="153" t="s">
        <v>647</v>
      </c>
      <c r="D1385" s="154">
        <v>2010.3</v>
      </c>
      <c r="E1385" s="231">
        <v>44847</v>
      </c>
      <c r="F1385" s="154">
        <v>2010.3</v>
      </c>
      <c r="G1385" s="197">
        <f>Tabla111[[#This Row],[Importe]]-Tabla111[[#This Row],[Pagado]]</f>
        <v>0</v>
      </c>
      <c r="H1385" s="153" t="s">
        <v>10</v>
      </c>
    </row>
    <row r="1386" spans="1:8" x14ac:dyDescent="0.25">
      <c r="A1386" s="73">
        <v>44847</v>
      </c>
      <c r="B1386" s="74" t="s">
        <v>32979</v>
      </c>
      <c r="C1386" s="75" t="s">
        <v>396</v>
      </c>
      <c r="D1386" s="81">
        <v>11422.1</v>
      </c>
      <c r="E1386" s="230">
        <v>44853</v>
      </c>
      <c r="F1386" s="81">
        <v>11422.1</v>
      </c>
      <c r="G1386" s="197">
        <f>Tabla111[[#This Row],[Importe]]-Tabla111[[#This Row],[Pagado]]</f>
        <v>0</v>
      </c>
      <c r="H1386" s="75" t="s">
        <v>10</v>
      </c>
    </row>
    <row r="1387" spans="1:8" x14ac:dyDescent="0.25">
      <c r="A1387" s="148">
        <v>44847</v>
      </c>
      <c r="B1387" s="149" t="s">
        <v>32980</v>
      </c>
      <c r="C1387" s="153" t="s">
        <v>151</v>
      </c>
      <c r="D1387" s="154">
        <v>23868.2</v>
      </c>
      <c r="E1387" s="231">
        <v>44848</v>
      </c>
      <c r="F1387" s="154">
        <v>23868.2</v>
      </c>
      <c r="G1387" s="197">
        <f>Tabla111[[#This Row],[Importe]]-Tabla111[[#This Row],[Pagado]]</f>
        <v>0</v>
      </c>
      <c r="H1387" s="153" t="s">
        <v>10</v>
      </c>
    </row>
    <row r="1388" spans="1:8" x14ac:dyDescent="0.25">
      <c r="A1388" s="73">
        <v>44847</v>
      </c>
      <c r="B1388" s="74" t="s">
        <v>32981</v>
      </c>
      <c r="C1388" s="75" t="s">
        <v>32982</v>
      </c>
      <c r="D1388" s="81">
        <v>0</v>
      </c>
      <c r="E1388" s="232" t="s">
        <v>189</v>
      </c>
      <c r="F1388" s="81">
        <v>0</v>
      </c>
      <c r="G1388" s="197">
        <f>Tabla111[[#This Row],[Importe]]-Tabla111[[#This Row],[Pagado]]</f>
        <v>0</v>
      </c>
      <c r="H1388" s="75" t="s">
        <v>189</v>
      </c>
    </row>
    <row r="1389" spans="1:8" x14ac:dyDescent="0.25">
      <c r="A1389" s="148">
        <v>44847</v>
      </c>
      <c r="B1389" s="149" t="s">
        <v>32983</v>
      </c>
      <c r="C1389" s="153" t="s">
        <v>670</v>
      </c>
      <c r="D1389" s="154">
        <v>693</v>
      </c>
      <c r="E1389" s="231">
        <v>44847</v>
      </c>
      <c r="F1389" s="154">
        <v>693</v>
      </c>
      <c r="G1389" s="197">
        <f>Tabla111[[#This Row],[Importe]]-Tabla111[[#This Row],[Pagado]]</f>
        <v>0</v>
      </c>
      <c r="H1389" s="153" t="s">
        <v>10</v>
      </c>
    </row>
    <row r="1390" spans="1:8" x14ac:dyDescent="0.25">
      <c r="A1390" s="73">
        <v>44847</v>
      </c>
      <c r="B1390" s="74" t="s">
        <v>32984</v>
      </c>
      <c r="C1390" s="75" t="s">
        <v>31</v>
      </c>
      <c r="D1390" s="81">
        <v>5023.6000000000004</v>
      </c>
      <c r="E1390" s="230">
        <v>44847</v>
      </c>
      <c r="F1390" s="81">
        <v>5023.6000000000004</v>
      </c>
      <c r="G1390" s="197">
        <f>Tabla111[[#This Row],[Importe]]-Tabla111[[#This Row],[Pagado]]</f>
        <v>0</v>
      </c>
      <c r="H1390" s="75" t="s">
        <v>10</v>
      </c>
    </row>
    <row r="1391" spans="1:8" x14ac:dyDescent="0.25">
      <c r="A1391" s="148">
        <v>44847</v>
      </c>
      <c r="B1391" s="149" t="s">
        <v>32985</v>
      </c>
      <c r="C1391" s="153" t="s">
        <v>414</v>
      </c>
      <c r="D1391" s="154">
        <v>113790.9</v>
      </c>
      <c r="E1391" s="231">
        <v>44860</v>
      </c>
      <c r="F1391" s="154">
        <v>113790.9</v>
      </c>
      <c r="G1391" s="197">
        <f>Tabla111[[#This Row],[Importe]]-Tabla111[[#This Row],[Pagado]]</f>
        <v>0</v>
      </c>
      <c r="H1391" s="153" t="s">
        <v>10</v>
      </c>
    </row>
    <row r="1392" spans="1:8" x14ac:dyDescent="0.25">
      <c r="A1392" s="73">
        <v>44847</v>
      </c>
      <c r="B1392" s="74" t="s">
        <v>32986</v>
      </c>
      <c r="C1392" s="75" t="s">
        <v>31</v>
      </c>
      <c r="D1392" s="81">
        <v>7725.2</v>
      </c>
      <c r="E1392" s="230">
        <v>44847</v>
      </c>
      <c r="F1392" s="81">
        <v>7725.2</v>
      </c>
      <c r="G1392" s="197">
        <f>Tabla111[[#This Row],[Importe]]-Tabla111[[#This Row],[Pagado]]</f>
        <v>0</v>
      </c>
      <c r="H1392" s="75" t="s">
        <v>10</v>
      </c>
    </row>
    <row r="1393" spans="1:8" x14ac:dyDescent="0.25">
      <c r="A1393" s="148">
        <v>44847</v>
      </c>
      <c r="B1393" s="149" t="s">
        <v>32987</v>
      </c>
      <c r="C1393" s="153" t="s">
        <v>31</v>
      </c>
      <c r="D1393" s="154">
        <v>10640</v>
      </c>
      <c r="E1393" s="231">
        <v>44847</v>
      </c>
      <c r="F1393" s="154">
        <v>10640</v>
      </c>
      <c r="G1393" s="197">
        <f>Tabla111[[#This Row],[Importe]]-Tabla111[[#This Row],[Pagado]]</f>
        <v>0</v>
      </c>
      <c r="H1393" s="153" t="s">
        <v>10</v>
      </c>
    </row>
    <row r="1394" spans="1:8" x14ac:dyDescent="0.25">
      <c r="A1394" s="73">
        <v>44847</v>
      </c>
      <c r="B1394" s="74" t="s">
        <v>32988</v>
      </c>
      <c r="C1394" s="75" t="s">
        <v>296</v>
      </c>
      <c r="D1394" s="81">
        <v>3772.4</v>
      </c>
      <c r="E1394" s="230">
        <v>44847</v>
      </c>
      <c r="F1394" s="81">
        <v>3772.4</v>
      </c>
      <c r="G1394" s="197">
        <f>Tabla111[[#This Row],[Importe]]-Tabla111[[#This Row],[Pagado]]</f>
        <v>0</v>
      </c>
      <c r="H1394" s="75" t="s">
        <v>10</v>
      </c>
    </row>
    <row r="1395" spans="1:8" x14ac:dyDescent="0.25">
      <c r="A1395" s="148">
        <v>44847</v>
      </c>
      <c r="B1395" s="149" t="s">
        <v>32989</v>
      </c>
      <c r="C1395" s="153" t="s">
        <v>31</v>
      </c>
      <c r="D1395" s="154">
        <v>623.20000000000005</v>
      </c>
      <c r="E1395" s="231">
        <v>44847</v>
      </c>
      <c r="F1395" s="154">
        <v>623.20000000000005</v>
      </c>
      <c r="G1395" s="197">
        <f>Tabla111[[#This Row],[Importe]]-Tabla111[[#This Row],[Pagado]]</f>
        <v>0</v>
      </c>
      <c r="H1395" s="153" t="s">
        <v>10</v>
      </c>
    </row>
    <row r="1396" spans="1:8" x14ac:dyDescent="0.25">
      <c r="A1396" s="73">
        <v>44847</v>
      </c>
      <c r="B1396" s="74" t="s">
        <v>32990</v>
      </c>
      <c r="C1396" s="75" t="s">
        <v>31</v>
      </c>
      <c r="D1396" s="81">
        <v>300</v>
      </c>
      <c r="E1396" s="230">
        <v>44847</v>
      </c>
      <c r="F1396" s="81">
        <v>300</v>
      </c>
      <c r="G1396" s="197">
        <f>Tabla111[[#This Row],[Importe]]-Tabla111[[#This Row],[Pagado]]</f>
        <v>0</v>
      </c>
      <c r="H1396" s="75" t="s">
        <v>10</v>
      </c>
    </row>
    <row r="1397" spans="1:8" x14ac:dyDescent="0.25">
      <c r="A1397" s="148">
        <v>44847</v>
      </c>
      <c r="B1397" s="149" t="s">
        <v>32991</v>
      </c>
      <c r="C1397" s="153" t="s">
        <v>359</v>
      </c>
      <c r="D1397" s="154">
        <v>2455.1</v>
      </c>
      <c r="E1397" s="231">
        <v>44847</v>
      </c>
      <c r="F1397" s="154">
        <v>2455.1</v>
      </c>
      <c r="G1397" s="197">
        <f>Tabla111[[#This Row],[Importe]]-Tabla111[[#This Row],[Pagado]]</f>
        <v>0</v>
      </c>
      <c r="H1397" s="153" t="s">
        <v>10</v>
      </c>
    </row>
    <row r="1398" spans="1:8" x14ac:dyDescent="0.25">
      <c r="A1398" s="73">
        <v>44847</v>
      </c>
      <c r="B1398" s="74" t="s">
        <v>32992</v>
      </c>
      <c r="C1398" s="75" t="s">
        <v>175</v>
      </c>
      <c r="D1398" s="81">
        <v>24481.5</v>
      </c>
      <c r="E1398" s="230">
        <v>44847</v>
      </c>
      <c r="F1398" s="81">
        <v>24481.5</v>
      </c>
      <c r="G1398" s="197">
        <f>Tabla111[[#This Row],[Importe]]-Tabla111[[#This Row],[Pagado]]</f>
        <v>0</v>
      </c>
      <c r="H1398" s="75" t="s">
        <v>10</v>
      </c>
    </row>
    <row r="1399" spans="1:8" x14ac:dyDescent="0.25">
      <c r="A1399" s="148">
        <v>44847</v>
      </c>
      <c r="B1399" s="149" t="s">
        <v>32993</v>
      </c>
      <c r="C1399" s="153" t="s">
        <v>296</v>
      </c>
      <c r="D1399" s="154">
        <v>147</v>
      </c>
      <c r="E1399" s="231">
        <v>44847</v>
      </c>
      <c r="F1399" s="154">
        <v>147</v>
      </c>
      <c r="G1399" s="197">
        <f>Tabla111[[#This Row],[Importe]]-Tabla111[[#This Row],[Pagado]]</f>
        <v>0</v>
      </c>
      <c r="H1399" s="153" t="s">
        <v>10</v>
      </c>
    </row>
    <row r="1400" spans="1:8" x14ac:dyDescent="0.25">
      <c r="A1400" s="73">
        <v>44847</v>
      </c>
      <c r="B1400" s="74" t="s">
        <v>32994</v>
      </c>
      <c r="C1400" s="75" t="s">
        <v>9</v>
      </c>
      <c r="D1400" s="81">
        <v>3146.6</v>
      </c>
      <c r="E1400" s="230">
        <v>44847</v>
      </c>
      <c r="F1400" s="81">
        <v>3146.6</v>
      </c>
      <c r="G1400" s="197">
        <f>Tabla111[[#This Row],[Importe]]-Tabla111[[#This Row],[Pagado]]</f>
        <v>0</v>
      </c>
      <c r="H1400" s="75" t="s">
        <v>10</v>
      </c>
    </row>
    <row r="1401" spans="1:8" x14ac:dyDescent="0.25">
      <c r="A1401" s="148">
        <v>44847</v>
      </c>
      <c r="B1401" s="149" t="s">
        <v>32995</v>
      </c>
      <c r="C1401" s="153" t="s">
        <v>31</v>
      </c>
      <c r="D1401" s="154">
        <v>5318</v>
      </c>
      <c r="E1401" s="231">
        <v>44847</v>
      </c>
      <c r="F1401" s="154">
        <v>5318</v>
      </c>
      <c r="G1401" s="197">
        <f>Tabla111[[#This Row],[Importe]]-Tabla111[[#This Row],[Pagado]]</f>
        <v>0</v>
      </c>
      <c r="H1401" s="153" t="s">
        <v>10</v>
      </c>
    </row>
    <row r="1402" spans="1:8" x14ac:dyDescent="0.25">
      <c r="A1402" s="73">
        <v>44847</v>
      </c>
      <c r="B1402" s="74" t="s">
        <v>32996</v>
      </c>
      <c r="C1402" s="75" t="s">
        <v>62</v>
      </c>
      <c r="D1402" s="81">
        <v>4400</v>
      </c>
      <c r="E1402" s="230">
        <v>44847</v>
      </c>
      <c r="F1402" s="81">
        <v>4400</v>
      </c>
      <c r="G1402" s="197">
        <f>Tabla111[[#This Row],[Importe]]-Tabla111[[#This Row],[Pagado]]</f>
        <v>0</v>
      </c>
      <c r="H1402" s="75" t="s">
        <v>10</v>
      </c>
    </row>
    <row r="1403" spans="1:8" x14ac:dyDescent="0.25">
      <c r="A1403" s="148">
        <v>44847</v>
      </c>
      <c r="B1403" s="149" t="s">
        <v>32997</v>
      </c>
      <c r="C1403" s="153" t="s">
        <v>729</v>
      </c>
      <c r="D1403" s="154">
        <v>27683.4</v>
      </c>
      <c r="E1403" s="231">
        <v>44848</v>
      </c>
      <c r="F1403" s="154">
        <v>27683.4</v>
      </c>
      <c r="G1403" s="197">
        <f>Tabla111[[#This Row],[Importe]]-Tabla111[[#This Row],[Pagado]]</f>
        <v>0</v>
      </c>
      <c r="H1403" s="153" t="s">
        <v>10</v>
      </c>
    </row>
    <row r="1404" spans="1:8" x14ac:dyDescent="0.25">
      <c r="A1404" s="73">
        <v>44847</v>
      </c>
      <c r="B1404" s="74" t="s">
        <v>32998</v>
      </c>
      <c r="C1404" s="75" t="s">
        <v>282</v>
      </c>
      <c r="D1404" s="81">
        <v>2067.1999999999998</v>
      </c>
      <c r="E1404" s="230">
        <v>44848</v>
      </c>
      <c r="F1404" s="81">
        <v>2067.1999999999998</v>
      </c>
      <c r="G1404" s="197">
        <f>Tabla111[[#This Row],[Importe]]-Tabla111[[#This Row],[Pagado]]</f>
        <v>0</v>
      </c>
      <c r="H1404" s="75" t="s">
        <v>10</v>
      </c>
    </row>
    <row r="1405" spans="1:8" x14ac:dyDescent="0.25">
      <c r="A1405" s="148">
        <v>44847</v>
      </c>
      <c r="B1405" s="149" t="s">
        <v>32999</v>
      </c>
      <c r="C1405" s="153" t="s">
        <v>431</v>
      </c>
      <c r="D1405" s="154">
        <v>4210.3999999999996</v>
      </c>
      <c r="E1405" s="231">
        <v>44848</v>
      </c>
      <c r="F1405" s="154">
        <v>4210.3999999999996</v>
      </c>
      <c r="G1405" s="197">
        <f>Tabla111[[#This Row],[Importe]]-Tabla111[[#This Row],[Pagado]]</f>
        <v>0</v>
      </c>
      <c r="H1405" s="153" t="s">
        <v>10</v>
      </c>
    </row>
    <row r="1406" spans="1:8" x14ac:dyDescent="0.25">
      <c r="A1406" s="73">
        <v>44847</v>
      </c>
      <c r="B1406" s="74" t="s">
        <v>33000</v>
      </c>
      <c r="C1406" s="75" t="s">
        <v>284</v>
      </c>
      <c r="D1406" s="81">
        <v>7942</v>
      </c>
      <c r="E1406" s="230">
        <v>44848</v>
      </c>
      <c r="F1406" s="81">
        <v>7942</v>
      </c>
      <c r="G1406" s="197">
        <f>Tabla111[[#This Row],[Importe]]-Tabla111[[#This Row],[Pagado]]</f>
        <v>0</v>
      </c>
      <c r="H1406" s="75" t="s">
        <v>10</v>
      </c>
    </row>
    <row r="1407" spans="1:8" x14ac:dyDescent="0.25">
      <c r="A1407" s="148">
        <v>44847</v>
      </c>
      <c r="B1407" s="149" t="s">
        <v>33001</v>
      </c>
      <c r="C1407" s="153" t="s">
        <v>5345</v>
      </c>
      <c r="D1407" s="154">
        <v>2964</v>
      </c>
      <c r="E1407" s="231">
        <v>44848</v>
      </c>
      <c r="F1407" s="154">
        <v>2964</v>
      </c>
      <c r="G1407" s="197">
        <f>Tabla111[[#This Row],[Importe]]-Tabla111[[#This Row],[Pagado]]</f>
        <v>0</v>
      </c>
      <c r="H1407" s="153" t="s">
        <v>10</v>
      </c>
    </row>
    <row r="1408" spans="1:8" x14ac:dyDescent="0.25">
      <c r="A1408" s="73">
        <v>44847</v>
      </c>
      <c r="B1408" s="74" t="s">
        <v>33002</v>
      </c>
      <c r="C1408" s="75" t="s">
        <v>10819</v>
      </c>
      <c r="D1408" s="81">
        <v>1953.2</v>
      </c>
      <c r="E1408" s="230">
        <v>44848</v>
      </c>
      <c r="F1408" s="81">
        <v>1953.2</v>
      </c>
      <c r="G1408" s="197">
        <f>Tabla111[[#This Row],[Importe]]-Tabla111[[#This Row],[Pagado]]</f>
        <v>0</v>
      </c>
      <c r="H1408" s="75" t="s">
        <v>10</v>
      </c>
    </row>
    <row r="1409" spans="1:8" x14ac:dyDescent="0.25">
      <c r="A1409" s="148">
        <v>44847</v>
      </c>
      <c r="B1409" s="149" t="s">
        <v>33003</v>
      </c>
      <c r="C1409" s="153" t="s">
        <v>280</v>
      </c>
      <c r="D1409" s="154">
        <v>1193.2</v>
      </c>
      <c r="E1409" s="231">
        <v>44848</v>
      </c>
      <c r="F1409" s="154">
        <v>1193.2</v>
      </c>
      <c r="G1409" s="197">
        <f>Tabla111[[#This Row],[Importe]]-Tabla111[[#This Row],[Pagado]]</f>
        <v>0</v>
      </c>
      <c r="H1409" s="153" t="s">
        <v>10</v>
      </c>
    </row>
    <row r="1410" spans="1:8" x14ac:dyDescent="0.25">
      <c r="A1410" s="73">
        <v>44847</v>
      </c>
      <c r="B1410" s="74" t="s">
        <v>33004</v>
      </c>
      <c r="C1410" s="75" t="s">
        <v>10678</v>
      </c>
      <c r="D1410" s="81">
        <v>2796.2</v>
      </c>
      <c r="E1410" s="230">
        <v>44847</v>
      </c>
      <c r="F1410" s="81">
        <v>2796.2</v>
      </c>
      <c r="G1410" s="197">
        <f>Tabla111[[#This Row],[Importe]]-Tabla111[[#This Row],[Pagado]]</f>
        <v>0</v>
      </c>
      <c r="H1410" s="75" t="s">
        <v>10</v>
      </c>
    </row>
    <row r="1411" spans="1:8" x14ac:dyDescent="0.25">
      <c r="A1411" s="148">
        <v>44847</v>
      </c>
      <c r="B1411" s="149" t="s">
        <v>33005</v>
      </c>
      <c r="C1411" s="153" t="s">
        <v>56</v>
      </c>
      <c r="D1411" s="154">
        <v>3189.8</v>
      </c>
      <c r="E1411" s="231">
        <v>44847</v>
      </c>
      <c r="F1411" s="154">
        <v>3189.8</v>
      </c>
      <c r="G1411" s="197">
        <f>Tabla111[[#This Row],[Importe]]-Tabla111[[#This Row],[Pagado]]</f>
        <v>0</v>
      </c>
      <c r="H1411" s="153" t="s">
        <v>10</v>
      </c>
    </row>
    <row r="1412" spans="1:8" x14ac:dyDescent="0.25">
      <c r="A1412" s="73">
        <v>44847</v>
      </c>
      <c r="B1412" s="74" t="s">
        <v>33006</v>
      </c>
      <c r="C1412" s="75" t="s">
        <v>31</v>
      </c>
      <c r="D1412" s="81">
        <v>3769.6</v>
      </c>
      <c r="E1412" s="230">
        <v>44847</v>
      </c>
      <c r="F1412" s="81">
        <v>3769.6</v>
      </c>
      <c r="G1412" s="197">
        <f>Tabla111[[#This Row],[Importe]]-Tabla111[[#This Row],[Pagado]]</f>
        <v>0</v>
      </c>
      <c r="H1412" s="75" t="s">
        <v>10</v>
      </c>
    </row>
    <row r="1413" spans="1:8" x14ac:dyDescent="0.25">
      <c r="A1413" s="148">
        <v>44847</v>
      </c>
      <c r="B1413" s="149" t="s">
        <v>33007</v>
      </c>
      <c r="C1413" s="153" t="s">
        <v>5694</v>
      </c>
      <c r="D1413" s="154">
        <v>1456</v>
      </c>
      <c r="E1413" s="231">
        <v>44847</v>
      </c>
      <c r="F1413" s="154">
        <v>1456</v>
      </c>
      <c r="G1413" s="197">
        <f>Tabla111[[#This Row],[Importe]]-Tabla111[[#This Row],[Pagado]]</f>
        <v>0</v>
      </c>
      <c r="H1413" s="153" t="s">
        <v>10</v>
      </c>
    </row>
    <row r="1414" spans="1:8" x14ac:dyDescent="0.25">
      <c r="A1414" s="73">
        <v>44847</v>
      </c>
      <c r="B1414" s="74" t="s">
        <v>33008</v>
      </c>
      <c r="C1414" s="75" t="s">
        <v>31</v>
      </c>
      <c r="D1414" s="81">
        <v>799.1</v>
      </c>
      <c r="E1414" s="230">
        <v>44847</v>
      </c>
      <c r="F1414" s="81">
        <v>799.1</v>
      </c>
      <c r="G1414" s="197">
        <f>Tabla111[[#This Row],[Importe]]-Tabla111[[#This Row],[Pagado]]</f>
        <v>0</v>
      </c>
      <c r="H1414" s="75" t="s">
        <v>10</v>
      </c>
    </row>
    <row r="1415" spans="1:8" x14ac:dyDescent="0.25">
      <c r="A1415" s="148">
        <v>44847</v>
      </c>
      <c r="B1415" s="149" t="s">
        <v>33009</v>
      </c>
      <c r="C1415" s="153" t="s">
        <v>402</v>
      </c>
      <c r="D1415" s="154">
        <v>13043.5</v>
      </c>
      <c r="E1415" s="231">
        <v>44853</v>
      </c>
      <c r="F1415" s="154">
        <v>13043.5</v>
      </c>
      <c r="G1415" s="197">
        <f>Tabla111[[#This Row],[Importe]]-Tabla111[[#This Row],[Pagado]]</f>
        <v>0</v>
      </c>
      <c r="H1415" s="153" t="s">
        <v>10</v>
      </c>
    </row>
    <row r="1416" spans="1:8" x14ac:dyDescent="0.25">
      <c r="A1416" s="73">
        <v>44847</v>
      </c>
      <c r="B1416" s="74" t="s">
        <v>33010</v>
      </c>
      <c r="C1416" s="75" t="s">
        <v>400</v>
      </c>
      <c r="D1416" s="81">
        <v>10107.299999999999</v>
      </c>
      <c r="E1416" s="230">
        <v>44853</v>
      </c>
      <c r="F1416" s="81">
        <v>10107.299999999999</v>
      </c>
      <c r="G1416" s="197">
        <f>Tabla111[[#This Row],[Importe]]-Tabla111[[#This Row],[Pagado]]</f>
        <v>0</v>
      </c>
      <c r="H1416" s="75" t="s">
        <v>10</v>
      </c>
    </row>
    <row r="1417" spans="1:8" x14ac:dyDescent="0.25">
      <c r="A1417" s="148">
        <v>44847</v>
      </c>
      <c r="B1417" s="149" t="s">
        <v>33011</v>
      </c>
      <c r="C1417" s="153" t="s">
        <v>19637</v>
      </c>
      <c r="D1417" s="154">
        <v>4957.5</v>
      </c>
      <c r="E1417" s="231">
        <v>44853</v>
      </c>
      <c r="F1417" s="154">
        <v>4957.5</v>
      </c>
      <c r="G1417" s="197">
        <f>Tabla111[[#This Row],[Importe]]-Tabla111[[#This Row],[Pagado]]</f>
        <v>0</v>
      </c>
      <c r="H1417" s="153" t="s">
        <v>10</v>
      </c>
    </row>
    <row r="1418" spans="1:8" x14ac:dyDescent="0.25">
      <c r="A1418" s="73">
        <v>44848</v>
      </c>
      <c r="B1418" s="74" t="s">
        <v>33012</v>
      </c>
      <c r="C1418" s="75" t="s">
        <v>887</v>
      </c>
      <c r="D1418" s="81">
        <v>16743.3</v>
      </c>
      <c r="E1418" s="230" t="s">
        <v>32710</v>
      </c>
      <c r="F1418" s="81">
        <f>15000+1743.3</f>
        <v>16743.3</v>
      </c>
      <c r="G1418" s="197">
        <f>Tabla111[[#This Row],[Importe]]-Tabla111[[#This Row],[Pagado]]</f>
        <v>0</v>
      </c>
      <c r="H1418" s="75" t="s">
        <v>10</v>
      </c>
    </row>
    <row r="1419" spans="1:8" x14ac:dyDescent="0.25">
      <c r="A1419" s="148">
        <v>44848</v>
      </c>
      <c r="B1419" s="149" t="s">
        <v>33013</v>
      </c>
      <c r="C1419" s="153" t="s">
        <v>475</v>
      </c>
      <c r="D1419" s="154">
        <v>51777.7</v>
      </c>
      <c r="E1419" s="231">
        <v>44849</v>
      </c>
      <c r="F1419" s="154">
        <v>51777.7</v>
      </c>
      <c r="G1419" s="197">
        <f>Tabla111[[#This Row],[Importe]]-Tabla111[[#This Row],[Pagado]]</f>
        <v>0</v>
      </c>
      <c r="H1419" s="153" t="s">
        <v>10</v>
      </c>
    </row>
    <row r="1420" spans="1:8" x14ac:dyDescent="0.25">
      <c r="A1420" s="73">
        <v>44848</v>
      </c>
      <c r="B1420" s="74" t="s">
        <v>33014</v>
      </c>
      <c r="C1420" s="75" t="s">
        <v>12</v>
      </c>
      <c r="D1420" s="81">
        <v>21508.05</v>
      </c>
      <c r="E1420" s="230">
        <v>44848</v>
      </c>
      <c r="F1420" s="81">
        <v>21508.05</v>
      </c>
      <c r="G1420" s="197">
        <f>Tabla111[[#This Row],[Importe]]-Tabla111[[#This Row],[Pagado]]</f>
        <v>0</v>
      </c>
      <c r="H1420" s="75" t="s">
        <v>10</v>
      </c>
    </row>
    <row r="1421" spans="1:8" x14ac:dyDescent="0.25">
      <c r="A1421" s="148">
        <v>44848</v>
      </c>
      <c r="B1421" s="149" t="s">
        <v>33015</v>
      </c>
      <c r="C1421" s="153" t="s">
        <v>75</v>
      </c>
      <c r="D1421" s="154">
        <v>7653.2</v>
      </c>
      <c r="E1421" s="231">
        <v>44848</v>
      </c>
      <c r="F1421" s="154">
        <v>7653.2</v>
      </c>
      <c r="G1421" s="197">
        <f>Tabla111[[#This Row],[Importe]]-Tabla111[[#This Row],[Pagado]]</f>
        <v>0</v>
      </c>
      <c r="H1421" s="153" t="s">
        <v>10</v>
      </c>
    </row>
    <row r="1422" spans="1:8" x14ac:dyDescent="0.25">
      <c r="A1422" s="73">
        <v>44848</v>
      </c>
      <c r="B1422" s="74" t="s">
        <v>33016</v>
      </c>
      <c r="C1422" s="75" t="s">
        <v>24</v>
      </c>
      <c r="D1422" s="81">
        <v>4314.3</v>
      </c>
      <c r="E1422" s="230">
        <v>44848</v>
      </c>
      <c r="F1422" s="81">
        <v>4314.3</v>
      </c>
      <c r="G1422" s="197">
        <f>Tabla111[[#This Row],[Importe]]-Tabla111[[#This Row],[Pagado]]</f>
        <v>0</v>
      </c>
      <c r="H1422" s="75" t="s">
        <v>10</v>
      </c>
    </row>
    <row r="1423" spans="1:8" x14ac:dyDescent="0.25">
      <c r="A1423" s="148">
        <v>44848</v>
      </c>
      <c r="B1423" s="149" t="s">
        <v>33017</v>
      </c>
      <c r="C1423" s="153" t="s">
        <v>12</v>
      </c>
      <c r="D1423" s="154">
        <v>5467</v>
      </c>
      <c r="E1423" s="231">
        <v>44848</v>
      </c>
      <c r="F1423" s="154">
        <v>5467</v>
      </c>
      <c r="G1423" s="197">
        <f>Tabla111[[#This Row],[Importe]]-Tabla111[[#This Row],[Pagado]]</f>
        <v>0</v>
      </c>
      <c r="H1423" s="153" t="s">
        <v>10</v>
      </c>
    </row>
    <row r="1424" spans="1:8" x14ac:dyDescent="0.25">
      <c r="A1424" s="73">
        <v>44848</v>
      </c>
      <c r="B1424" s="74" t="s">
        <v>33018</v>
      </c>
      <c r="C1424" s="75" t="s">
        <v>60</v>
      </c>
      <c r="D1424" s="81">
        <v>5460</v>
      </c>
      <c r="E1424" s="230">
        <v>44849</v>
      </c>
      <c r="F1424" s="81">
        <v>5460</v>
      </c>
      <c r="G1424" s="197">
        <f>Tabla111[[#This Row],[Importe]]-Tabla111[[#This Row],[Pagado]]</f>
        <v>0</v>
      </c>
      <c r="H1424" s="75" t="s">
        <v>10</v>
      </c>
    </row>
    <row r="1425" spans="1:8" x14ac:dyDescent="0.25">
      <c r="A1425" s="148">
        <v>44848</v>
      </c>
      <c r="B1425" s="149" t="s">
        <v>33019</v>
      </c>
      <c r="C1425" s="153" t="s">
        <v>109</v>
      </c>
      <c r="D1425" s="154">
        <v>5720</v>
      </c>
      <c r="E1425" s="231">
        <v>44849</v>
      </c>
      <c r="F1425" s="154">
        <v>5720</v>
      </c>
      <c r="G1425" s="197">
        <f>Tabla111[[#This Row],[Importe]]-Tabla111[[#This Row],[Pagado]]</f>
        <v>0</v>
      </c>
      <c r="H1425" s="153" t="s">
        <v>10</v>
      </c>
    </row>
    <row r="1426" spans="1:8" x14ac:dyDescent="0.25">
      <c r="A1426" s="73">
        <v>44848</v>
      </c>
      <c r="B1426" s="74" t="s">
        <v>33020</v>
      </c>
      <c r="C1426" s="75" t="s">
        <v>97</v>
      </c>
      <c r="D1426" s="81">
        <v>11215.8</v>
      </c>
      <c r="E1426" s="230">
        <v>44849</v>
      </c>
      <c r="F1426" s="81">
        <v>11215.8</v>
      </c>
      <c r="G1426" s="197">
        <f>Tabla111[[#This Row],[Importe]]-Tabla111[[#This Row],[Pagado]]</f>
        <v>0</v>
      </c>
      <c r="H1426" s="75" t="s">
        <v>10</v>
      </c>
    </row>
    <row r="1427" spans="1:8" x14ac:dyDescent="0.25">
      <c r="A1427" s="148">
        <v>44848</v>
      </c>
      <c r="B1427" s="149" t="s">
        <v>33021</v>
      </c>
      <c r="C1427" s="153" t="s">
        <v>2563</v>
      </c>
      <c r="D1427" s="154">
        <v>6224.3</v>
      </c>
      <c r="E1427" s="231">
        <v>44849</v>
      </c>
      <c r="F1427" s="154">
        <v>6224.3</v>
      </c>
      <c r="G1427" s="197">
        <f>Tabla111[[#This Row],[Importe]]-Tabla111[[#This Row],[Pagado]]</f>
        <v>0</v>
      </c>
      <c r="H1427" s="153" t="s">
        <v>10</v>
      </c>
    </row>
    <row r="1428" spans="1:8" x14ac:dyDescent="0.25">
      <c r="A1428" s="73">
        <v>44848</v>
      </c>
      <c r="B1428" s="74" t="s">
        <v>33022</v>
      </c>
      <c r="C1428" s="75" t="s">
        <v>31</v>
      </c>
      <c r="D1428" s="81">
        <v>10232.799999999999</v>
      </c>
      <c r="E1428" s="230">
        <v>44848</v>
      </c>
      <c r="F1428" s="81">
        <v>10232.799999999999</v>
      </c>
      <c r="G1428" s="197">
        <f>Tabla111[[#This Row],[Importe]]-Tabla111[[#This Row],[Pagado]]</f>
        <v>0</v>
      </c>
      <c r="H1428" s="75" t="s">
        <v>10</v>
      </c>
    </row>
    <row r="1429" spans="1:8" x14ac:dyDescent="0.25">
      <c r="A1429" s="148">
        <v>44848</v>
      </c>
      <c r="B1429" s="149" t="s">
        <v>33023</v>
      </c>
      <c r="C1429" s="153" t="s">
        <v>64</v>
      </c>
      <c r="D1429" s="154">
        <v>6336</v>
      </c>
      <c r="E1429" s="231">
        <v>44849</v>
      </c>
      <c r="F1429" s="154">
        <v>6336</v>
      </c>
      <c r="G1429" s="197">
        <f>Tabla111[[#This Row],[Importe]]-Tabla111[[#This Row],[Pagado]]</f>
        <v>0</v>
      </c>
      <c r="H1429" s="153" t="s">
        <v>10</v>
      </c>
    </row>
    <row r="1430" spans="1:8" x14ac:dyDescent="0.25">
      <c r="A1430" s="73">
        <v>44848</v>
      </c>
      <c r="B1430" s="74" t="s">
        <v>33024</v>
      </c>
      <c r="C1430" s="75" t="s">
        <v>18045</v>
      </c>
      <c r="D1430" s="81">
        <v>0</v>
      </c>
      <c r="E1430" s="232" t="s">
        <v>189</v>
      </c>
      <c r="F1430" s="81">
        <v>0</v>
      </c>
      <c r="G1430" s="197">
        <f>Tabla111[[#This Row],[Importe]]-Tabla111[[#This Row],[Pagado]]</f>
        <v>0</v>
      </c>
      <c r="H1430" s="161" t="s">
        <v>33025</v>
      </c>
    </row>
    <row r="1431" spans="1:8" x14ac:dyDescent="0.25">
      <c r="A1431" s="148">
        <v>44848</v>
      </c>
      <c r="B1431" s="149" t="s">
        <v>33026</v>
      </c>
      <c r="C1431" s="153" t="s">
        <v>111</v>
      </c>
      <c r="D1431" s="154">
        <v>6116.5</v>
      </c>
      <c r="E1431" s="231">
        <v>44849</v>
      </c>
      <c r="F1431" s="154">
        <v>6116.5</v>
      </c>
      <c r="G1431" s="197">
        <f>Tabla111[[#This Row],[Importe]]-Tabla111[[#This Row],[Pagado]]</f>
        <v>0</v>
      </c>
      <c r="H1431" s="153" t="s">
        <v>10</v>
      </c>
    </row>
    <row r="1432" spans="1:8" x14ac:dyDescent="0.25">
      <c r="A1432" s="73">
        <v>44848</v>
      </c>
      <c r="B1432" s="74" t="s">
        <v>33027</v>
      </c>
      <c r="C1432" s="75" t="s">
        <v>348</v>
      </c>
      <c r="D1432" s="81">
        <v>5611.2</v>
      </c>
      <c r="E1432" s="230">
        <v>44848</v>
      </c>
      <c r="F1432" s="81">
        <v>5611.2</v>
      </c>
      <c r="G1432" s="197">
        <f>Tabla111[[#This Row],[Importe]]-Tabla111[[#This Row],[Pagado]]</f>
        <v>0</v>
      </c>
      <c r="H1432" s="75" t="s">
        <v>10</v>
      </c>
    </row>
    <row r="1433" spans="1:8" x14ac:dyDescent="0.25">
      <c r="A1433" s="148">
        <v>44848</v>
      </c>
      <c r="B1433" s="149" t="s">
        <v>33028</v>
      </c>
      <c r="C1433" s="153" t="s">
        <v>481</v>
      </c>
      <c r="D1433" s="154">
        <v>688.8</v>
      </c>
      <c r="E1433" s="231">
        <v>44848</v>
      </c>
      <c r="F1433" s="154">
        <v>688.8</v>
      </c>
      <c r="G1433" s="197">
        <f>Tabla111[[#This Row],[Importe]]-Tabla111[[#This Row],[Pagado]]</f>
        <v>0</v>
      </c>
      <c r="H1433" s="153" t="s">
        <v>10</v>
      </c>
    </row>
    <row r="1434" spans="1:8" x14ac:dyDescent="0.25">
      <c r="A1434" s="73">
        <v>44848</v>
      </c>
      <c r="B1434" s="74" t="s">
        <v>33029</v>
      </c>
      <c r="C1434" s="75" t="s">
        <v>105</v>
      </c>
      <c r="D1434" s="81">
        <v>20289</v>
      </c>
      <c r="E1434" s="230">
        <v>44850</v>
      </c>
      <c r="F1434" s="81">
        <v>20289</v>
      </c>
      <c r="G1434" s="197">
        <f>Tabla111[[#This Row],[Importe]]-Tabla111[[#This Row],[Pagado]]</f>
        <v>0</v>
      </c>
      <c r="H1434" s="75" t="s">
        <v>10</v>
      </c>
    </row>
    <row r="1435" spans="1:8" x14ac:dyDescent="0.25">
      <c r="A1435" s="148">
        <v>44848</v>
      </c>
      <c r="B1435" s="149" t="s">
        <v>33030</v>
      </c>
      <c r="C1435" s="153" t="s">
        <v>2151</v>
      </c>
      <c r="D1435" s="154">
        <v>19199.900000000001</v>
      </c>
      <c r="E1435" s="231">
        <v>44848</v>
      </c>
      <c r="F1435" s="154">
        <v>19199.900000000001</v>
      </c>
      <c r="G1435" s="197">
        <f>Tabla111[[#This Row],[Importe]]-Tabla111[[#This Row],[Pagado]]</f>
        <v>0</v>
      </c>
      <c r="H1435" s="153" t="s">
        <v>10</v>
      </c>
    </row>
    <row r="1436" spans="1:8" x14ac:dyDescent="0.25">
      <c r="A1436" s="73">
        <v>44848</v>
      </c>
      <c r="B1436" s="74" t="s">
        <v>33031</v>
      </c>
      <c r="C1436" s="75" t="s">
        <v>918</v>
      </c>
      <c r="D1436" s="81">
        <v>1981</v>
      </c>
      <c r="E1436" s="230">
        <v>44848</v>
      </c>
      <c r="F1436" s="81">
        <v>1981</v>
      </c>
      <c r="G1436" s="197">
        <f>Tabla111[[#This Row],[Importe]]-Tabla111[[#This Row],[Pagado]]</f>
        <v>0</v>
      </c>
      <c r="H1436" s="75" t="s">
        <v>10</v>
      </c>
    </row>
    <row r="1437" spans="1:8" x14ac:dyDescent="0.25">
      <c r="A1437" s="148">
        <v>44848</v>
      </c>
      <c r="B1437" s="149" t="s">
        <v>33032</v>
      </c>
      <c r="C1437" s="153" t="s">
        <v>1187</v>
      </c>
      <c r="D1437" s="154">
        <v>2035.8</v>
      </c>
      <c r="E1437" s="231">
        <v>44848</v>
      </c>
      <c r="F1437" s="154">
        <v>2035.8</v>
      </c>
      <c r="G1437" s="197">
        <f>Tabla111[[#This Row],[Importe]]-Tabla111[[#This Row],[Pagado]]</f>
        <v>0</v>
      </c>
      <c r="H1437" s="153" t="s">
        <v>10</v>
      </c>
    </row>
    <row r="1438" spans="1:8" x14ac:dyDescent="0.25">
      <c r="A1438" s="73">
        <v>44848</v>
      </c>
      <c r="B1438" s="74" t="s">
        <v>33033</v>
      </c>
      <c r="C1438" s="75" t="s">
        <v>93</v>
      </c>
      <c r="D1438" s="81">
        <v>752</v>
      </c>
      <c r="E1438" s="230">
        <v>44848</v>
      </c>
      <c r="F1438" s="81">
        <v>752</v>
      </c>
      <c r="G1438" s="197">
        <f>Tabla111[[#This Row],[Importe]]-Tabla111[[#This Row],[Pagado]]</f>
        <v>0</v>
      </c>
      <c r="H1438" s="75" t="s">
        <v>10</v>
      </c>
    </row>
    <row r="1439" spans="1:8" x14ac:dyDescent="0.25">
      <c r="A1439" s="148">
        <v>44848</v>
      </c>
      <c r="B1439" s="149" t="s">
        <v>33034</v>
      </c>
      <c r="C1439" s="153" t="s">
        <v>22</v>
      </c>
      <c r="D1439" s="154">
        <v>68639</v>
      </c>
      <c r="E1439" s="231">
        <v>44849</v>
      </c>
      <c r="F1439" s="154">
        <v>68639</v>
      </c>
      <c r="G1439" s="197">
        <f>Tabla111[[#This Row],[Importe]]-Tabla111[[#This Row],[Pagado]]</f>
        <v>0</v>
      </c>
      <c r="H1439" s="153" t="s">
        <v>10</v>
      </c>
    </row>
    <row r="1440" spans="1:8" x14ac:dyDescent="0.25">
      <c r="A1440" s="73">
        <v>44848</v>
      </c>
      <c r="B1440" s="74" t="s">
        <v>33035</v>
      </c>
      <c r="C1440" s="75" t="s">
        <v>39</v>
      </c>
      <c r="D1440" s="81">
        <v>6143.9</v>
      </c>
      <c r="E1440" s="230">
        <v>44849</v>
      </c>
      <c r="F1440" s="81">
        <v>6143.9</v>
      </c>
      <c r="G1440" s="197">
        <f>Tabla111[[#This Row],[Importe]]-Tabla111[[#This Row],[Pagado]]</f>
        <v>0</v>
      </c>
      <c r="H1440" s="75" t="s">
        <v>10</v>
      </c>
    </row>
    <row r="1441" spans="1:8" x14ac:dyDescent="0.25">
      <c r="A1441" s="148">
        <v>44848</v>
      </c>
      <c r="B1441" s="149" t="s">
        <v>33036</v>
      </c>
      <c r="C1441" s="153" t="s">
        <v>484</v>
      </c>
      <c r="D1441" s="154">
        <v>6256</v>
      </c>
      <c r="E1441" s="231">
        <v>44848</v>
      </c>
      <c r="F1441" s="154">
        <v>6256</v>
      </c>
      <c r="G1441" s="197">
        <f>Tabla111[[#This Row],[Importe]]-Tabla111[[#This Row],[Pagado]]</f>
        <v>0</v>
      </c>
      <c r="H1441" s="153" t="s">
        <v>10</v>
      </c>
    </row>
    <row r="1442" spans="1:8" x14ac:dyDescent="0.25">
      <c r="A1442" s="73">
        <v>44848</v>
      </c>
      <c r="B1442" s="74" t="s">
        <v>33037</v>
      </c>
      <c r="C1442" s="75" t="s">
        <v>89</v>
      </c>
      <c r="D1442" s="81">
        <v>9162</v>
      </c>
      <c r="E1442" s="230">
        <v>44849</v>
      </c>
      <c r="F1442" s="81">
        <v>9162</v>
      </c>
      <c r="G1442" s="197">
        <f>Tabla111[[#This Row],[Importe]]-Tabla111[[#This Row],[Pagado]]</f>
        <v>0</v>
      </c>
      <c r="H1442" s="75" t="s">
        <v>10</v>
      </c>
    </row>
    <row r="1443" spans="1:8" x14ac:dyDescent="0.25">
      <c r="A1443" s="148">
        <v>44848</v>
      </c>
      <c r="B1443" s="149" t="s">
        <v>33038</v>
      </c>
      <c r="C1443" s="153" t="s">
        <v>9</v>
      </c>
      <c r="D1443" s="154">
        <v>5114.1000000000004</v>
      </c>
      <c r="E1443" s="231">
        <v>44848</v>
      </c>
      <c r="F1443" s="154">
        <v>5114.1000000000004</v>
      </c>
      <c r="G1443" s="197">
        <f>Tabla111[[#This Row],[Importe]]-Tabla111[[#This Row],[Pagado]]</f>
        <v>0</v>
      </c>
      <c r="H1443" s="153" t="s">
        <v>10</v>
      </c>
    </row>
    <row r="1444" spans="1:8" x14ac:dyDescent="0.25">
      <c r="A1444" s="73">
        <v>44848</v>
      </c>
      <c r="B1444" s="74" t="s">
        <v>33039</v>
      </c>
      <c r="C1444" s="75" t="s">
        <v>114</v>
      </c>
      <c r="D1444" s="81">
        <v>5999.6</v>
      </c>
      <c r="E1444" s="230">
        <v>44849</v>
      </c>
      <c r="F1444" s="81">
        <v>5999.6</v>
      </c>
      <c r="G1444" s="197">
        <f>Tabla111[[#This Row],[Importe]]-Tabla111[[#This Row],[Pagado]]</f>
        <v>0</v>
      </c>
      <c r="H1444" s="75" t="s">
        <v>10</v>
      </c>
    </row>
    <row r="1445" spans="1:8" x14ac:dyDescent="0.25">
      <c r="A1445" s="148">
        <v>44848</v>
      </c>
      <c r="B1445" s="149" t="s">
        <v>33040</v>
      </c>
      <c r="C1445" s="153" t="s">
        <v>31</v>
      </c>
      <c r="D1445" s="154">
        <v>5094.7</v>
      </c>
      <c r="E1445" s="231">
        <v>44848</v>
      </c>
      <c r="F1445" s="154">
        <v>5094.7</v>
      </c>
      <c r="G1445" s="197">
        <f>Tabla111[[#This Row],[Importe]]-Tabla111[[#This Row],[Pagado]]</f>
        <v>0</v>
      </c>
      <c r="H1445" s="153" t="s">
        <v>10</v>
      </c>
    </row>
    <row r="1446" spans="1:8" x14ac:dyDescent="0.25">
      <c r="A1446" s="73">
        <v>44848</v>
      </c>
      <c r="B1446" s="74" t="s">
        <v>33041</v>
      </c>
      <c r="C1446" s="75" t="s">
        <v>131</v>
      </c>
      <c r="D1446" s="81">
        <v>6353.6</v>
      </c>
      <c r="E1446" s="230">
        <v>44848</v>
      </c>
      <c r="F1446" s="81">
        <v>6353.6</v>
      </c>
      <c r="G1446" s="197">
        <f>Tabla111[[#This Row],[Importe]]-Tabla111[[#This Row],[Pagado]]</f>
        <v>0</v>
      </c>
      <c r="H1446" s="75" t="s">
        <v>10</v>
      </c>
    </row>
    <row r="1447" spans="1:8" x14ac:dyDescent="0.25">
      <c r="A1447" s="148">
        <v>44848</v>
      </c>
      <c r="B1447" s="149" t="s">
        <v>33042</v>
      </c>
      <c r="C1447" s="153" t="s">
        <v>79</v>
      </c>
      <c r="D1447" s="154">
        <v>22678.400000000001</v>
      </c>
      <c r="E1447" s="231">
        <v>44848</v>
      </c>
      <c r="F1447" s="154">
        <v>22678.400000000001</v>
      </c>
      <c r="G1447" s="197">
        <f>Tabla111[[#This Row],[Importe]]-Tabla111[[#This Row],[Pagado]]</f>
        <v>0</v>
      </c>
      <c r="H1447" s="153" t="s">
        <v>10</v>
      </c>
    </row>
    <row r="1448" spans="1:8" x14ac:dyDescent="0.25">
      <c r="A1448" s="73">
        <v>44848</v>
      </c>
      <c r="B1448" s="74" t="s">
        <v>33043</v>
      </c>
      <c r="C1448" s="75" t="s">
        <v>196</v>
      </c>
      <c r="D1448" s="81">
        <v>136073.34</v>
      </c>
      <c r="E1448" s="230">
        <v>44848</v>
      </c>
      <c r="F1448" s="81">
        <v>136073.34</v>
      </c>
      <c r="G1448" s="197">
        <f>Tabla111[[#This Row],[Importe]]-Tabla111[[#This Row],[Pagado]]</f>
        <v>0</v>
      </c>
      <c r="H1448" s="75" t="s">
        <v>10</v>
      </c>
    </row>
    <row r="1449" spans="1:8" x14ac:dyDescent="0.25">
      <c r="A1449" s="148">
        <v>44848</v>
      </c>
      <c r="B1449" s="149" t="s">
        <v>33044</v>
      </c>
      <c r="C1449" s="153" t="s">
        <v>647</v>
      </c>
      <c r="D1449" s="154">
        <v>2433.9</v>
      </c>
      <c r="E1449" s="231">
        <v>44848</v>
      </c>
      <c r="F1449" s="154">
        <v>2433.9</v>
      </c>
      <c r="G1449" s="197">
        <f>Tabla111[[#This Row],[Importe]]-Tabla111[[#This Row],[Pagado]]</f>
        <v>0</v>
      </c>
      <c r="H1449" s="153" t="s">
        <v>10</v>
      </c>
    </row>
    <row r="1450" spans="1:8" x14ac:dyDescent="0.25">
      <c r="A1450" s="73">
        <v>44848</v>
      </c>
      <c r="B1450" s="74" t="s">
        <v>33045</v>
      </c>
      <c r="C1450" s="75" t="s">
        <v>27</v>
      </c>
      <c r="D1450" s="81">
        <v>3081.8</v>
      </c>
      <c r="E1450" s="230">
        <v>44848</v>
      </c>
      <c r="F1450" s="81">
        <v>3081.8</v>
      </c>
      <c r="G1450" s="197">
        <f>Tabla111[[#This Row],[Importe]]-Tabla111[[#This Row],[Pagado]]</f>
        <v>0</v>
      </c>
      <c r="H1450" s="75" t="s">
        <v>10</v>
      </c>
    </row>
    <row r="1451" spans="1:8" x14ac:dyDescent="0.25">
      <c r="A1451" s="148">
        <v>44848</v>
      </c>
      <c r="B1451" s="149" t="s">
        <v>33046</v>
      </c>
      <c r="C1451" s="153" t="s">
        <v>58</v>
      </c>
      <c r="D1451" s="154">
        <v>2304</v>
      </c>
      <c r="E1451" s="231">
        <v>44848</v>
      </c>
      <c r="F1451" s="154">
        <v>2304</v>
      </c>
      <c r="G1451" s="197">
        <f>Tabla111[[#This Row],[Importe]]-Tabla111[[#This Row],[Pagado]]</f>
        <v>0</v>
      </c>
      <c r="H1451" s="153" t="s">
        <v>10</v>
      </c>
    </row>
    <row r="1452" spans="1:8" x14ac:dyDescent="0.25">
      <c r="A1452" s="73">
        <v>44848</v>
      </c>
      <c r="B1452" s="74" t="s">
        <v>33047</v>
      </c>
      <c r="C1452" s="75" t="s">
        <v>140</v>
      </c>
      <c r="D1452" s="81">
        <v>5183.2</v>
      </c>
      <c r="E1452" s="230">
        <v>44848</v>
      </c>
      <c r="F1452" s="81">
        <v>5183.2</v>
      </c>
      <c r="G1452" s="197">
        <f>Tabla111[[#This Row],[Importe]]-Tabla111[[#This Row],[Pagado]]</f>
        <v>0</v>
      </c>
      <c r="H1452" s="75" t="s">
        <v>10</v>
      </c>
    </row>
    <row r="1453" spans="1:8" x14ac:dyDescent="0.25">
      <c r="A1453" s="148">
        <v>44848</v>
      </c>
      <c r="B1453" s="149" t="s">
        <v>33048</v>
      </c>
      <c r="C1453" s="153" t="s">
        <v>127</v>
      </c>
      <c r="D1453" s="154">
        <v>2490.1999999999998</v>
      </c>
      <c r="E1453" s="231">
        <v>44848</v>
      </c>
      <c r="F1453" s="154">
        <v>2490.1999999999998</v>
      </c>
      <c r="G1453" s="197">
        <f>Tabla111[[#This Row],[Importe]]-Tabla111[[#This Row],[Pagado]]</f>
        <v>0</v>
      </c>
      <c r="H1453" s="153" t="s">
        <v>10</v>
      </c>
    </row>
    <row r="1454" spans="1:8" x14ac:dyDescent="0.25">
      <c r="A1454" s="73">
        <v>44848</v>
      </c>
      <c r="B1454" s="74" t="s">
        <v>33049</v>
      </c>
      <c r="C1454" s="75" t="s">
        <v>49</v>
      </c>
      <c r="D1454" s="81">
        <v>4055.5</v>
      </c>
      <c r="E1454" s="230">
        <v>44848</v>
      </c>
      <c r="F1454" s="81">
        <v>4055.5</v>
      </c>
      <c r="G1454" s="197">
        <f>Tabla111[[#This Row],[Importe]]-Tabla111[[#This Row],[Pagado]]</f>
        <v>0</v>
      </c>
      <c r="H1454" s="75" t="s">
        <v>10</v>
      </c>
    </row>
    <row r="1455" spans="1:8" x14ac:dyDescent="0.25">
      <c r="A1455" s="148">
        <v>44848</v>
      </c>
      <c r="B1455" s="149" t="s">
        <v>33050</v>
      </c>
      <c r="C1455" s="153" t="s">
        <v>135</v>
      </c>
      <c r="D1455" s="154">
        <v>2286.3000000000002</v>
      </c>
      <c r="E1455" s="231">
        <v>44848</v>
      </c>
      <c r="F1455" s="154">
        <v>2286.3000000000002</v>
      </c>
      <c r="G1455" s="197">
        <f>Tabla111[[#This Row],[Importe]]-Tabla111[[#This Row],[Pagado]]</f>
        <v>0</v>
      </c>
      <c r="H1455" s="153" t="s">
        <v>10</v>
      </c>
    </row>
    <row r="1456" spans="1:8" x14ac:dyDescent="0.25">
      <c r="A1456" s="73">
        <v>44848</v>
      </c>
      <c r="B1456" s="74" t="s">
        <v>33051</v>
      </c>
      <c r="C1456" s="75" t="s">
        <v>29</v>
      </c>
      <c r="D1456" s="81">
        <v>6414.1</v>
      </c>
      <c r="E1456" s="230">
        <v>44848</v>
      </c>
      <c r="F1456" s="81">
        <v>6414.1</v>
      </c>
      <c r="G1456" s="197">
        <f>Tabla111[[#This Row],[Importe]]-Tabla111[[#This Row],[Pagado]]</f>
        <v>0</v>
      </c>
      <c r="H1456" s="75" t="s">
        <v>10</v>
      </c>
    </row>
    <row r="1457" spans="1:8" x14ac:dyDescent="0.25">
      <c r="A1457" s="148">
        <v>44848</v>
      </c>
      <c r="B1457" s="149" t="s">
        <v>33052</v>
      </c>
      <c r="C1457" s="153" t="s">
        <v>670</v>
      </c>
      <c r="D1457" s="154">
        <v>5025</v>
      </c>
      <c r="E1457" s="231">
        <v>44848</v>
      </c>
      <c r="F1457" s="154">
        <v>5025</v>
      </c>
      <c r="G1457" s="197">
        <f>Tabla111[[#This Row],[Importe]]-Tabla111[[#This Row],[Pagado]]</f>
        <v>0</v>
      </c>
      <c r="H1457" s="153" t="s">
        <v>10</v>
      </c>
    </row>
    <row r="1458" spans="1:8" x14ac:dyDescent="0.25">
      <c r="A1458" s="73">
        <v>44848</v>
      </c>
      <c r="B1458" s="74" t="s">
        <v>33053</v>
      </c>
      <c r="C1458" s="75" t="s">
        <v>2114</v>
      </c>
      <c r="D1458" s="81">
        <v>2030.4</v>
      </c>
      <c r="E1458" s="230">
        <v>44848</v>
      </c>
      <c r="F1458" s="81">
        <v>2030.4</v>
      </c>
      <c r="G1458" s="197">
        <f>Tabla111[[#This Row],[Importe]]-Tabla111[[#This Row],[Pagado]]</f>
        <v>0</v>
      </c>
      <c r="H1458" s="75" t="s">
        <v>10</v>
      </c>
    </row>
    <row r="1459" spans="1:8" x14ac:dyDescent="0.25">
      <c r="A1459" s="148">
        <v>44848</v>
      </c>
      <c r="B1459" s="149" t="s">
        <v>33054</v>
      </c>
      <c r="C1459" s="153" t="s">
        <v>212</v>
      </c>
      <c r="D1459" s="154">
        <v>88141.6</v>
      </c>
      <c r="E1459" s="231">
        <v>44852</v>
      </c>
      <c r="F1459" s="154">
        <v>88141.6</v>
      </c>
      <c r="G1459" s="197">
        <f>Tabla111[[#This Row],[Importe]]-Tabla111[[#This Row],[Pagado]]</f>
        <v>0</v>
      </c>
      <c r="H1459" s="153" t="s">
        <v>10</v>
      </c>
    </row>
    <row r="1460" spans="1:8" x14ac:dyDescent="0.25">
      <c r="A1460" s="73">
        <v>44848</v>
      </c>
      <c r="B1460" s="74" t="s">
        <v>33055</v>
      </c>
      <c r="C1460" s="75" t="s">
        <v>154</v>
      </c>
      <c r="D1460" s="81">
        <v>45813.5</v>
      </c>
      <c r="E1460" s="230">
        <v>44852</v>
      </c>
      <c r="F1460" s="81">
        <v>45813.5</v>
      </c>
      <c r="G1460" s="197">
        <f>Tabla111[[#This Row],[Importe]]-Tabla111[[#This Row],[Pagado]]</f>
        <v>0</v>
      </c>
      <c r="H1460" s="75" t="s">
        <v>10</v>
      </c>
    </row>
    <row r="1461" spans="1:8" x14ac:dyDescent="0.25">
      <c r="A1461" s="148">
        <v>44848</v>
      </c>
      <c r="B1461" s="149" t="s">
        <v>33056</v>
      </c>
      <c r="C1461" s="153" t="s">
        <v>218</v>
      </c>
      <c r="D1461" s="154">
        <v>29378.22</v>
      </c>
      <c r="E1461" s="231">
        <v>44852</v>
      </c>
      <c r="F1461" s="154">
        <v>29378.22</v>
      </c>
      <c r="G1461" s="197">
        <f>Tabla111[[#This Row],[Importe]]-Tabla111[[#This Row],[Pagado]]</f>
        <v>0</v>
      </c>
      <c r="H1461" s="153" t="s">
        <v>10</v>
      </c>
    </row>
    <row r="1462" spans="1:8" x14ac:dyDescent="0.25">
      <c r="A1462" s="73">
        <v>44848</v>
      </c>
      <c r="B1462" s="74" t="s">
        <v>33057</v>
      </c>
      <c r="C1462" s="75" t="s">
        <v>206</v>
      </c>
      <c r="D1462" s="81">
        <v>49609.98</v>
      </c>
      <c r="E1462" s="230">
        <v>44852</v>
      </c>
      <c r="F1462" s="81">
        <v>49609.98</v>
      </c>
      <c r="G1462" s="197">
        <f>Tabla111[[#This Row],[Importe]]-Tabla111[[#This Row],[Pagado]]</f>
        <v>0</v>
      </c>
      <c r="H1462" s="75" t="s">
        <v>10</v>
      </c>
    </row>
    <row r="1463" spans="1:8" x14ac:dyDescent="0.25">
      <c r="A1463" s="148">
        <v>44848</v>
      </c>
      <c r="B1463" s="149" t="s">
        <v>33058</v>
      </c>
      <c r="C1463" s="153" t="s">
        <v>2114</v>
      </c>
      <c r="D1463" s="154">
        <v>245.18</v>
      </c>
      <c r="E1463" s="231">
        <v>44848</v>
      </c>
      <c r="F1463" s="154">
        <v>245.18</v>
      </c>
      <c r="G1463" s="197">
        <f>Tabla111[[#This Row],[Importe]]-Tabla111[[#This Row],[Pagado]]</f>
        <v>0</v>
      </c>
      <c r="H1463" s="153" t="s">
        <v>10</v>
      </c>
    </row>
    <row r="1464" spans="1:8" x14ac:dyDescent="0.25">
      <c r="A1464" s="73">
        <v>44848</v>
      </c>
      <c r="B1464" s="74" t="s">
        <v>33059</v>
      </c>
      <c r="C1464" s="75" t="s">
        <v>414</v>
      </c>
      <c r="D1464" s="81">
        <v>23300.2</v>
      </c>
      <c r="E1464" s="230">
        <v>44852</v>
      </c>
      <c r="F1464" s="81">
        <v>23300.2</v>
      </c>
      <c r="G1464" s="197">
        <f>Tabla111[[#This Row],[Importe]]-Tabla111[[#This Row],[Pagado]]</f>
        <v>0</v>
      </c>
      <c r="H1464" s="75" t="s">
        <v>10</v>
      </c>
    </row>
    <row r="1465" spans="1:8" x14ac:dyDescent="0.25">
      <c r="A1465" s="148">
        <v>44848</v>
      </c>
      <c r="B1465" s="149" t="s">
        <v>33060</v>
      </c>
      <c r="C1465" s="153" t="s">
        <v>230</v>
      </c>
      <c r="D1465" s="154">
        <v>10336</v>
      </c>
      <c r="E1465" s="231">
        <v>44848</v>
      </c>
      <c r="F1465" s="154">
        <v>10336</v>
      </c>
      <c r="G1465" s="197">
        <f>Tabla111[[#This Row],[Importe]]-Tabla111[[#This Row],[Pagado]]</f>
        <v>0</v>
      </c>
      <c r="H1465" s="153" t="s">
        <v>10</v>
      </c>
    </row>
    <row r="1466" spans="1:8" x14ac:dyDescent="0.25">
      <c r="A1466" s="73">
        <v>44848</v>
      </c>
      <c r="B1466" s="74" t="s">
        <v>33061</v>
      </c>
      <c r="C1466" s="75" t="s">
        <v>45</v>
      </c>
      <c r="D1466" s="81">
        <v>14635.6</v>
      </c>
      <c r="E1466" s="230">
        <v>44848</v>
      </c>
      <c r="F1466" s="81">
        <v>14635.6</v>
      </c>
      <c r="G1466" s="197">
        <f>Tabla111[[#This Row],[Importe]]-Tabla111[[#This Row],[Pagado]]</f>
        <v>0</v>
      </c>
      <c r="H1466" s="75" t="s">
        <v>10</v>
      </c>
    </row>
    <row r="1467" spans="1:8" x14ac:dyDescent="0.25">
      <c r="A1467" s="148">
        <v>44848</v>
      </c>
      <c r="B1467" s="149" t="s">
        <v>33062</v>
      </c>
      <c r="C1467" s="153" t="s">
        <v>31</v>
      </c>
      <c r="D1467" s="154">
        <v>731.5</v>
      </c>
      <c r="E1467" s="231">
        <v>44848</v>
      </c>
      <c r="F1467" s="154">
        <v>731.5</v>
      </c>
      <c r="G1467" s="197">
        <f>Tabla111[[#This Row],[Importe]]-Tabla111[[#This Row],[Pagado]]</f>
        <v>0</v>
      </c>
      <c r="H1467" s="153" t="s">
        <v>10</v>
      </c>
    </row>
    <row r="1468" spans="1:8" x14ac:dyDescent="0.25">
      <c r="A1468" s="73">
        <v>44848</v>
      </c>
      <c r="B1468" s="74" t="s">
        <v>33063</v>
      </c>
      <c r="C1468" s="75" t="s">
        <v>146</v>
      </c>
      <c r="D1468" s="81">
        <v>12669</v>
      </c>
      <c r="E1468" s="230">
        <v>44848</v>
      </c>
      <c r="F1468" s="81">
        <v>12669</v>
      </c>
      <c r="G1468" s="197">
        <f>Tabla111[[#This Row],[Importe]]-Tabla111[[#This Row],[Pagado]]</f>
        <v>0</v>
      </c>
      <c r="H1468" s="75" t="s">
        <v>10</v>
      </c>
    </row>
    <row r="1469" spans="1:8" x14ac:dyDescent="0.25">
      <c r="A1469" s="148">
        <v>44848</v>
      </c>
      <c r="B1469" s="149" t="s">
        <v>33064</v>
      </c>
      <c r="C1469" s="153" t="s">
        <v>333</v>
      </c>
      <c r="D1469" s="154">
        <v>1369.4</v>
      </c>
      <c r="E1469" s="231">
        <v>44848</v>
      </c>
      <c r="F1469" s="154">
        <v>1369.4</v>
      </c>
      <c r="G1469" s="197">
        <f>Tabla111[[#This Row],[Importe]]-Tabla111[[#This Row],[Pagado]]</f>
        <v>0</v>
      </c>
      <c r="H1469" s="153" t="s">
        <v>10</v>
      </c>
    </row>
    <row r="1470" spans="1:8" x14ac:dyDescent="0.25">
      <c r="A1470" s="73">
        <v>44848</v>
      </c>
      <c r="B1470" s="74" t="s">
        <v>33065</v>
      </c>
      <c r="C1470" s="75" t="s">
        <v>56</v>
      </c>
      <c r="D1470" s="81">
        <v>6239.6</v>
      </c>
      <c r="E1470" s="230">
        <v>44848</v>
      </c>
      <c r="F1470" s="81">
        <v>6239.6</v>
      </c>
      <c r="G1470" s="197">
        <f>Tabla111[[#This Row],[Importe]]-Tabla111[[#This Row],[Pagado]]</f>
        <v>0</v>
      </c>
      <c r="H1470" s="75" t="s">
        <v>10</v>
      </c>
    </row>
    <row r="1471" spans="1:8" x14ac:dyDescent="0.25">
      <c r="A1471" s="148">
        <v>44848</v>
      </c>
      <c r="B1471" s="149" t="s">
        <v>33066</v>
      </c>
      <c r="C1471" s="153" t="s">
        <v>51</v>
      </c>
      <c r="D1471" s="154">
        <v>5651.8</v>
      </c>
      <c r="E1471" s="231">
        <v>44848</v>
      </c>
      <c r="F1471" s="154">
        <v>5651.8</v>
      </c>
      <c r="G1471" s="197">
        <f>Tabla111[[#This Row],[Importe]]-Tabla111[[#This Row],[Pagado]]</f>
        <v>0</v>
      </c>
      <c r="H1471" s="153" t="s">
        <v>10</v>
      </c>
    </row>
    <row r="1472" spans="1:8" x14ac:dyDescent="0.25">
      <c r="A1472" s="73">
        <v>44848</v>
      </c>
      <c r="B1472" s="74" t="s">
        <v>33067</v>
      </c>
      <c r="C1472" s="75" t="s">
        <v>198</v>
      </c>
      <c r="D1472" s="81">
        <v>2746.5</v>
      </c>
      <c r="E1472" s="230">
        <v>44853</v>
      </c>
      <c r="F1472" s="81">
        <v>2746.5</v>
      </c>
      <c r="G1472" s="197">
        <f>Tabla111[[#This Row],[Importe]]-Tabla111[[#This Row],[Pagado]]</f>
        <v>0</v>
      </c>
      <c r="H1472" s="75" t="s">
        <v>10</v>
      </c>
    </row>
    <row r="1473" spans="1:8" x14ac:dyDescent="0.25">
      <c r="A1473" s="148">
        <v>44848</v>
      </c>
      <c r="B1473" s="149" t="s">
        <v>33068</v>
      </c>
      <c r="C1473" s="153" t="s">
        <v>312</v>
      </c>
      <c r="D1473" s="154">
        <v>5624</v>
      </c>
      <c r="E1473" s="231">
        <v>44848</v>
      </c>
      <c r="F1473" s="154">
        <v>5624</v>
      </c>
      <c r="G1473" s="197">
        <f>Tabla111[[#This Row],[Importe]]-Tabla111[[#This Row],[Pagado]]</f>
        <v>0</v>
      </c>
      <c r="H1473" s="153" t="s">
        <v>10</v>
      </c>
    </row>
    <row r="1474" spans="1:8" x14ac:dyDescent="0.25">
      <c r="A1474" s="73">
        <v>44848</v>
      </c>
      <c r="B1474" s="74" t="s">
        <v>33069</v>
      </c>
      <c r="C1474" s="75" t="s">
        <v>142</v>
      </c>
      <c r="D1474" s="81">
        <v>86391.58</v>
      </c>
      <c r="E1474" s="230" t="s">
        <v>35005</v>
      </c>
      <c r="F1474" s="81">
        <f>35513.13+50878.45</f>
        <v>86391.579999999987</v>
      </c>
      <c r="G1474" s="197">
        <f>Tabla111[[#This Row],[Importe]]-Tabla111[[#This Row],[Pagado]]</f>
        <v>0</v>
      </c>
      <c r="H1474" s="75" t="s">
        <v>4814</v>
      </c>
    </row>
    <row r="1475" spans="1:8" x14ac:dyDescent="0.25">
      <c r="A1475" s="148">
        <v>44848</v>
      </c>
      <c r="B1475" s="149" t="s">
        <v>33070</v>
      </c>
      <c r="C1475" s="153" t="s">
        <v>154</v>
      </c>
      <c r="D1475" s="154">
        <v>4376</v>
      </c>
      <c r="E1475" s="231">
        <v>44852</v>
      </c>
      <c r="F1475" s="154">
        <v>4376</v>
      </c>
      <c r="G1475" s="197">
        <f>Tabla111[[#This Row],[Importe]]-Tabla111[[#This Row],[Pagado]]</f>
        <v>0</v>
      </c>
      <c r="H1475" s="153" t="s">
        <v>10</v>
      </c>
    </row>
    <row r="1476" spans="1:8" x14ac:dyDescent="0.25">
      <c r="A1476" s="73">
        <v>44848</v>
      </c>
      <c r="B1476" s="74" t="s">
        <v>33071</v>
      </c>
      <c r="C1476" s="75" t="s">
        <v>35</v>
      </c>
      <c r="D1476" s="81">
        <v>884.5</v>
      </c>
      <c r="E1476" s="230">
        <v>44848</v>
      </c>
      <c r="F1476" s="81">
        <v>884.5</v>
      </c>
      <c r="G1476" s="197">
        <f>Tabla111[[#This Row],[Importe]]-Tabla111[[#This Row],[Pagado]]</f>
        <v>0</v>
      </c>
      <c r="H1476" s="75" t="s">
        <v>10</v>
      </c>
    </row>
    <row r="1477" spans="1:8" x14ac:dyDescent="0.25">
      <c r="A1477" s="148">
        <v>44848</v>
      </c>
      <c r="B1477" s="149" t="s">
        <v>33072</v>
      </c>
      <c r="C1477" s="153" t="s">
        <v>244</v>
      </c>
      <c r="D1477" s="154">
        <v>2633.4</v>
      </c>
      <c r="E1477" s="231">
        <v>44848</v>
      </c>
      <c r="F1477" s="154">
        <v>2633.4</v>
      </c>
      <c r="G1477" s="197">
        <f>Tabla111[[#This Row],[Importe]]-Tabla111[[#This Row],[Pagado]]</f>
        <v>0</v>
      </c>
      <c r="H1477" s="153" t="s">
        <v>10</v>
      </c>
    </row>
    <row r="1478" spans="1:8" x14ac:dyDescent="0.25">
      <c r="A1478" s="73">
        <v>44848</v>
      </c>
      <c r="B1478" s="74" t="s">
        <v>33073</v>
      </c>
      <c r="C1478" s="75" t="s">
        <v>216</v>
      </c>
      <c r="D1478" s="81">
        <v>2017.4</v>
      </c>
      <c r="E1478" s="230">
        <v>44848</v>
      </c>
      <c r="F1478" s="81">
        <v>2017.4</v>
      </c>
      <c r="G1478" s="197">
        <f>Tabla111[[#This Row],[Importe]]-Tabla111[[#This Row],[Pagado]]</f>
        <v>0</v>
      </c>
      <c r="H1478" s="75" t="s">
        <v>10</v>
      </c>
    </row>
    <row r="1479" spans="1:8" x14ac:dyDescent="0.25">
      <c r="A1479" s="148">
        <v>44848</v>
      </c>
      <c r="B1479" s="149" t="s">
        <v>33074</v>
      </c>
      <c r="C1479" s="153" t="s">
        <v>32321</v>
      </c>
      <c r="D1479" s="154">
        <v>1285.9000000000001</v>
      </c>
      <c r="E1479" s="231">
        <v>44848</v>
      </c>
      <c r="F1479" s="154">
        <v>1285.9000000000001</v>
      </c>
      <c r="G1479" s="197">
        <f>Tabla111[[#This Row],[Importe]]-Tabla111[[#This Row],[Pagado]]</f>
        <v>0</v>
      </c>
      <c r="H1479" s="153" t="s">
        <v>10</v>
      </c>
    </row>
    <row r="1480" spans="1:8" x14ac:dyDescent="0.25">
      <c r="A1480" s="73">
        <v>44848</v>
      </c>
      <c r="B1480" s="74" t="s">
        <v>33075</v>
      </c>
      <c r="C1480" s="75" t="s">
        <v>452</v>
      </c>
      <c r="D1480" s="81">
        <v>7601.4</v>
      </c>
      <c r="E1480" s="230">
        <v>44848</v>
      </c>
      <c r="F1480" s="81">
        <v>7601.4</v>
      </c>
      <c r="G1480" s="197">
        <f>Tabla111[[#This Row],[Importe]]-Tabla111[[#This Row],[Pagado]]</f>
        <v>0</v>
      </c>
      <c r="H1480" s="75" t="s">
        <v>10</v>
      </c>
    </row>
    <row r="1481" spans="1:8" x14ac:dyDescent="0.25">
      <c r="A1481" s="148">
        <v>44848</v>
      </c>
      <c r="B1481" s="149" t="s">
        <v>33076</v>
      </c>
      <c r="C1481" s="153" t="s">
        <v>173</v>
      </c>
      <c r="D1481" s="154">
        <v>57098.8</v>
      </c>
      <c r="E1481" s="231">
        <v>44849</v>
      </c>
      <c r="F1481" s="154">
        <v>57098.8</v>
      </c>
      <c r="G1481" s="197">
        <f>Tabla111[[#This Row],[Importe]]-Tabla111[[#This Row],[Pagado]]</f>
        <v>0</v>
      </c>
      <c r="H1481" s="153" t="s">
        <v>10</v>
      </c>
    </row>
    <row r="1482" spans="1:8" x14ac:dyDescent="0.25">
      <c r="A1482" s="73">
        <v>44848</v>
      </c>
      <c r="B1482" s="74" t="s">
        <v>33077</v>
      </c>
      <c r="C1482" s="75" t="s">
        <v>1644</v>
      </c>
      <c r="D1482" s="81">
        <v>11293.8</v>
      </c>
      <c r="E1482" s="230">
        <v>44849</v>
      </c>
      <c r="F1482" s="81">
        <v>11293.8</v>
      </c>
      <c r="G1482" s="197">
        <f>Tabla111[[#This Row],[Importe]]-Tabla111[[#This Row],[Pagado]]</f>
        <v>0</v>
      </c>
      <c r="H1482" s="75" t="s">
        <v>10</v>
      </c>
    </row>
    <row r="1483" spans="1:8" x14ac:dyDescent="0.25">
      <c r="A1483" s="148">
        <v>44848</v>
      </c>
      <c r="B1483" s="149" t="s">
        <v>33078</v>
      </c>
      <c r="C1483" s="153" t="s">
        <v>10157</v>
      </c>
      <c r="D1483" s="154">
        <v>9602.56</v>
      </c>
      <c r="E1483" s="231">
        <v>44853</v>
      </c>
      <c r="F1483" s="154">
        <v>9602.56</v>
      </c>
      <c r="G1483" s="197">
        <f>Tabla111[[#This Row],[Importe]]-Tabla111[[#This Row],[Pagado]]</f>
        <v>0</v>
      </c>
      <c r="H1483" s="153" t="s">
        <v>10</v>
      </c>
    </row>
    <row r="1484" spans="1:8" x14ac:dyDescent="0.25">
      <c r="A1484" s="73">
        <v>44848</v>
      </c>
      <c r="B1484" s="74" t="s">
        <v>33079</v>
      </c>
      <c r="C1484" s="75" t="s">
        <v>133</v>
      </c>
      <c r="D1484" s="81">
        <v>24507.599999999999</v>
      </c>
      <c r="E1484" s="230">
        <v>44849</v>
      </c>
      <c r="F1484" s="81">
        <v>24507.599999999999</v>
      </c>
      <c r="G1484" s="197">
        <f>Tabla111[[#This Row],[Importe]]-Tabla111[[#This Row],[Pagado]]</f>
        <v>0</v>
      </c>
      <c r="H1484" s="75" t="s">
        <v>10</v>
      </c>
    </row>
    <row r="1485" spans="1:8" x14ac:dyDescent="0.25">
      <c r="A1485" s="148">
        <v>44848</v>
      </c>
      <c r="B1485" s="149" t="s">
        <v>33080</v>
      </c>
      <c r="C1485" s="153" t="s">
        <v>1378</v>
      </c>
      <c r="D1485" s="154">
        <v>83704.800000000003</v>
      </c>
      <c r="E1485" s="231">
        <v>44849</v>
      </c>
      <c r="F1485" s="154">
        <v>83704.800000000003</v>
      </c>
      <c r="G1485" s="197">
        <f>Tabla111[[#This Row],[Importe]]-Tabla111[[#This Row],[Pagado]]</f>
        <v>0</v>
      </c>
      <c r="H1485" s="153" t="s">
        <v>10</v>
      </c>
    </row>
    <row r="1486" spans="1:8" x14ac:dyDescent="0.25">
      <c r="A1486" s="73">
        <v>44848</v>
      </c>
      <c r="B1486" s="74" t="s">
        <v>33081</v>
      </c>
      <c r="C1486" s="75" t="s">
        <v>9827</v>
      </c>
      <c r="D1486" s="81">
        <v>4894.7</v>
      </c>
      <c r="E1486" s="230">
        <v>44848</v>
      </c>
      <c r="F1486" s="81">
        <v>4894.7</v>
      </c>
      <c r="G1486" s="197">
        <f>Tabla111[[#This Row],[Importe]]-Tabla111[[#This Row],[Pagado]]</f>
        <v>0</v>
      </c>
      <c r="H1486" s="75" t="s">
        <v>10</v>
      </c>
    </row>
    <row r="1487" spans="1:8" x14ac:dyDescent="0.25">
      <c r="A1487" s="148">
        <v>44848</v>
      </c>
      <c r="B1487" s="149" t="s">
        <v>33082</v>
      </c>
      <c r="C1487" s="153" t="s">
        <v>244</v>
      </c>
      <c r="D1487" s="154">
        <v>1148.4000000000001</v>
      </c>
      <c r="E1487" s="231">
        <v>44848</v>
      </c>
      <c r="F1487" s="154">
        <v>1148.4000000000001</v>
      </c>
      <c r="G1487" s="197">
        <f>Tabla111[[#This Row],[Importe]]-Tabla111[[#This Row],[Pagado]]</f>
        <v>0</v>
      </c>
      <c r="H1487" s="153" t="s">
        <v>10</v>
      </c>
    </row>
    <row r="1488" spans="1:8" x14ac:dyDescent="0.25">
      <c r="A1488" s="73">
        <v>44848</v>
      </c>
      <c r="B1488" s="74" t="s">
        <v>33083</v>
      </c>
      <c r="C1488" s="75" t="s">
        <v>1003</v>
      </c>
      <c r="D1488" s="81">
        <v>3946</v>
      </c>
      <c r="E1488" s="230">
        <v>44850</v>
      </c>
      <c r="F1488" s="81">
        <v>3946</v>
      </c>
      <c r="G1488" s="197">
        <f>Tabla111[[#This Row],[Importe]]-Tabla111[[#This Row],[Pagado]]</f>
        <v>0</v>
      </c>
      <c r="H1488" s="75" t="s">
        <v>10</v>
      </c>
    </row>
    <row r="1489" spans="1:8" x14ac:dyDescent="0.25">
      <c r="A1489" s="148">
        <v>44848</v>
      </c>
      <c r="B1489" s="149" t="s">
        <v>33084</v>
      </c>
      <c r="C1489" s="153" t="s">
        <v>28087</v>
      </c>
      <c r="D1489" s="154">
        <v>179046.87</v>
      </c>
      <c r="E1489" s="231">
        <v>44851</v>
      </c>
      <c r="F1489" s="154">
        <v>179046.87</v>
      </c>
      <c r="G1489" s="197">
        <f>Tabla111[[#This Row],[Importe]]-Tabla111[[#This Row],[Pagado]]</f>
        <v>0</v>
      </c>
      <c r="H1489" s="153" t="s">
        <v>10</v>
      </c>
    </row>
    <row r="1490" spans="1:8" x14ac:dyDescent="0.25">
      <c r="A1490" s="73">
        <v>44848</v>
      </c>
      <c r="B1490" s="74" t="s">
        <v>33085</v>
      </c>
      <c r="C1490" s="75" t="s">
        <v>233</v>
      </c>
      <c r="D1490" s="81">
        <v>6185.4</v>
      </c>
      <c r="E1490" s="230">
        <v>44848</v>
      </c>
      <c r="F1490" s="81">
        <v>6185.4</v>
      </c>
      <c r="G1490" s="197">
        <f>Tabla111[[#This Row],[Importe]]-Tabla111[[#This Row],[Pagado]]</f>
        <v>0</v>
      </c>
      <c r="H1490" s="75" t="s">
        <v>10</v>
      </c>
    </row>
    <row r="1491" spans="1:8" x14ac:dyDescent="0.25">
      <c r="A1491" s="148">
        <v>44848</v>
      </c>
      <c r="B1491" s="149" t="s">
        <v>33086</v>
      </c>
      <c r="C1491" s="153" t="s">
        <v>426</v>
      </c>
      <c r="D1491" s="154">
        <v>7218.4</v>
      </c>
      <c r="E1491" s="231">
        <v>44848</v>
      </c>
      <c r="F1491" s="154">
        <v>7218.4</v>
      </c>
      <c r="G1491" s="197">
        <f>Tabla111[[#This Row],[Importe]]-Tabla111[[#This Row],[Pagado]]</f>
        <v>0</v>
      </c>
      <c r="H1491" s="153" t="s">
        <v>10</v>
      </c>
    </row>
    <row r="1492" spans="1:8" x14ac:dyDescent="0.25">
      <c r="A1492" s="73">
        <v>44848</v>
      </c>
      <c r="B1492" s="74" t="s">
        <v>33087</v>
      </c>
      <c r="C1492" s="75" t="s">
        <v>576</v>
      </c>
      <c r="D1492" s="81">
        <v>450</v>
      </c>
      <c r="E1492" s="230">
        <v>44848</v>
      </c>
      <c r="F1492" s="81">
        <v>450</v>
      </c>
      <c r="G1492" s="197">
        <f>Tabla111[[#This Row],[Importe]]-Tabla111[[#This Row],[Pagado]]</f>
        <v>0</v>
      </c>
      <c r="H1492" s="75" t="s">
        <v>10</v>
      </c>
    </row>
    <row r="1493" spans="1:8" x14ac:dyDescent="0.25">
      <c r="A1493" s="148">
        <v>44848</v>
      </c>
      <c r="B1493" s="149" t="s">
        <v>33088</v>
      </c>
      <c r="C1493" s="153" t="s">
        <v>10678</v>
      </c>
      <c r="D1493" s="154">
        <v>4236.7</v>
      </c>
      <c r="E1493" s="231">
        <v>44848</v>
      </c>
      <c r="F1493" s="154">
        <v>4236.7</v>
      </c>
      <c r="G1493" s="197">
        <f>Tabla111[[#This Row],[Importe]]-Tabla111[[#This Row],[Pagado]]</f>
        <v>0</v>
      </c>
      <c r="H1493" s="153" t="s">
        <v>10</v>
      </c>
    </row>
    <row r="1494" spans="1:8" x14ac:dyDescent="0.25">
      <c r="A1494" s="73">
        <v>44848</v>
      </c>
      <c r="B1494" s="74" t="s">
        <v>33089</v>
      </c>
      <c r="C1494" s="75" t="s">
        <v>200</v>
      </c>
      <c r="D1494" s="81">
        <v>1062.5999999999999</v>
      </c>
      <c r="E1494" s="230">
        <v>44848</v>
      </c>
      <c r="F1494" s="81">
        <v>1062.5999999999999</v>
      </c>
      <c r="G1494" s="197">
        <f>Tabla111[[#This Row],[Importe]]-Tabla111[[#This Row],[Pagado]]</f>
        <v>0</v>
      </c>
      <c r="H1494" s="75" t="s">
        <v>10</v>
      </c>
    </row>
    <row r="1495" spans="1:8" x14ac:dyDescent="0.25">
      <c r="A1495" s="148">
        <v>44848</v>
      </c>
      <c r="B1495" s="149" t="s">
        <v>33090</v>
      </c>
      <c r="C1495" s="153" t="s">
        <v>31323</v>
      </c>
      <c r="D1495" s="154">
        <v>6088</v>
      </c>
      <c r="E1495" s="231">
        <v>44848</v>
      </c>
      <c r="F1495" s="154">
        <v>6088</v>
      </c>
      <c r="G1495" s="197">
        <f>Tabla111[[#This Row],[Importe]]-Tabla111[[#This Row],[Pagado]]</f>
        <v>0</v>
      </c>
      <c r="H1495" s="153" t="s">
        <v>10</v>
      </c>
    </row>
    <row r="1496" spans="1:8" x14ac:dyDescent="0.25">
      <c r="A1496" s="73">
        <v>44848</v>
      </c>
      <c r="B1496" s="74" t="s">
        <v>33091</v>
      </c>
      <c r="C1496" s="75" t="s">
        <v>414</v>
      </c>
      <c r="D1496" s="81">
        <v>2120</v>
      </c>
      <c r="E1496" s="230">
        <v>44848</v>
      </c>
      <c r="F1496" s="81">
        <v>2120</v>
      </c>
      <c r="G1496" s="197">
        <f>Tabla111[[#This Row],[Importe]]-Tabla111[[#This Row],[Pagado]]</f>
        <v>0</v>
      </c>
      <c r="H1496" s="75" t="s">
        <v>10</v>
      </c>
    </row>
    <row r="1497" spans="1:8" x14ac:dyDescent="0.25">
      <c r="A1497" s="148">
        <v>44848</v>
      </c>
      <c r="B1497" s="149" t="s">
        <v>33092</v>
      </c>
      <c r="C1497" s="153" t="s">
        <v>4136</v>
      </c>
      <c r="D1497" s="154">
        <v>3768.4</v>
      </c>
      <c r="E1497" s="231">
        <v>44848</v>
      </c>
      <c r="F1497" s="154">
        <v>3768.4</v>
      </c>
      <c r="G1497" s="197">
        <f>Tabla111[[#This Row],[Importe]]-Tabla111[[#This Row],[Pagado]]</f>
        <v>0</v>
      </c>
      <c r="H1497" s="153" t="s">
        <v>10</v>
      </c>
    </row>
    <row r="1498" spans="1:8" x14ac:dyDescent="0.25">
      <c r="A1498" s="73">
        <v>44848</v>
      </c>
      <c r="B1498" s="74" t="s">
        <v>33093</v>
      </c>
      <c r="C1498" s="75" t="s">
        <v>296</v>
      </c>
      <c r="D1498" s="81">
        <v>1350.9</v>
      </c>
      <c r="E1498" s="230">
        <v>44848</v>
      </c>
      <c r="F1498" s="81">
        <v>1350.9</v>
      </c>
      <c r="G1498" s="197">
        <f>Tabla111[[#This Row],[Importe]]-Tabla111[[#This Row],[Pagado]]</f>
        <v>0</v>
      </c>
      <c r="H1498" s="75" t="s">
        <v>10</v>
      </c>
    </row>
    <row r="1499" spans="1:8" x14ac:dyDescent="0.25">
      <c r="A1499" s="148">
        <v>44848</v>
      </c>
      <c r="B1499" s="149" t="s">
        <v>33094</v>
      </c>
      <c r="C1499" s="153" t="s">
        <v>67</v>
      </c>
      <c r="D1499" s="154">
        <v>12013</v>
      </c>
      <c r="E1499" s="231">
        <v>44848</v>
      </c>
      <c r="F1499" s="154">
        <v>12013</v>
      </c>
      <c r="G1499" s="197">
        <f>Tabla111[[#This Row],[Importe]]-Tabla111[[#This Row],[Pagado]]</f>
        <v>0</v>
      </c>
      <c r="H1499" s="153" t="s">
        <v>10</v>
      </c>
    </row>
    <row r="1500" spans="1:8" x14ac:dyDescent="0.25">
      <c r="A1500" s="73">
        <v>44848</v>
      </c>
      <c r="B1500" s="74" t="s">
        <v>33095</v>
      </c>
      <c r="C1500" s="75" t="s">
        <v>1265</v>
      </c>
      <c r="D1500" s="81">
        <v>717.3</v>
      </c>
      <c r="E1500" s="230">
        <v>44848</v>
      </c>
      <c r="F1500" s="81">
        <v>717.3</v>
      </c>
      <c r="G1500" s="197">
        <f>Tabla111[[#This Row],[Importe]]-Tabla111[[#This Row],[Pagado]]</f>
        <v>0</v>
      </c>
      <c r="H1500" s="75" t="s">
        <v>10</v>
      </c>
    </row>
    <row r="1501" spans="1:8" x14ac:dyDescent="0.25">
      <c r="A1501" s="148">
        <v>44848</v>
      </c>
      <c r="B1501" s="149" t="s">
        <v>33096</v>
      </c>
      <c r="C1501" s="153" t="s">
        <v>419</v>
      </c>
      <c r="D1501" s="154">
        <v>7812.6</v>
      </c>
      <c r="E1501" s="231">
        <v>44848</v>
      </c>
      <c r="F1501" s="154">
        <v>7812.6</v>
      </c>
      <c r="G1501" s="197">
        <f>Tabla111[[#This Row],[Importe]]-Tabla111[[#This Row],[Pagado]]</f>
        <v>0</v>
      </c>
      <c r="H1501" s="153" t="s">
        <v>10</v>
      </c>
    </row>
    <row r="1502" spans="1:8" x14ac:dyDescent="0.25">
      <c r="A1502" s="73">
        <v>44848</v>
      </c>
      <c r="B1502" s="74" t="s">
        <v>33097</v>
      </c>
      <c r="C1502" s="75" t="s">
        <v>198</v>
      </c>
      <c r="D1502" s="81">
        <v>5160.3999999999996</v>
      </c>
      <c r="E1502" s="230">
        <v>44853</v>
      </c>
      <c r="F1502" s="81">
        <v>5160.3999999999996</v>
      </c>
      <c r="G1502" s="197">
        <f>Tabla111[[#This Row],[Importe]]-Tabla111[[#This Row],[Pagado]]</f>
        <v>0</v>
      </c>
      <c r="H1502" s="75" t="s">
        <v>10</v>
      </c>
    </row>
    <row r="1503" spans="1:8" x14ac:dyDescent="0.25">
      <c r="A1503" s="148">
        <v>44848</v>
      </c>
      <c r="B1503" s="149" t="s">
        <v>33098</v>
      </c>
      <c r="C1503" s="153" t="s">
        <v>698</v>
      </c>
      <c r="D1503" s="154">
        <v>8804</v>
      </c>
      <c r="E1503" s="231">
        <v>44848</v>
      </c>
      <c r="F1503" s="154">
        <v>8804</v>
      </c>
      <c r="G1503" s="197">
        <f>Tabla111[[#This Row],[Importe]]-Tabla111[[#This Row],[Pagado]]</f>
        <v>0</v>
      </c>
      <c r="H1503" s="153" t="s">
        <v>10</v>
      </c>
    </row>
    <row r="1504" spans="1:8" x14ac:dyDescent="0.25">
      <c r="A1504" s="73">
        <v>44848</v>
      </c>
      <c r="B1504" s="74" t="s">
        <v>33099</v>
      </c>
      <c r="C1504" s="75" t="s">
        <v>289</v>
      </c>
      <c r="D1504" s="81">
        <v>18233.5</v>
      </c>
      <c r="E1504" s="230">
        <v>44848</v>
      </c>
      <c r="F1504" s="81">
        <v>18233.5</v>
      </c>
      <c r="G1504" s="197">
        <f>Tabla111[[#This Row],[Importe]]-Tabla111[[#This Row],[Pagado]]</f>
        <v>0</v>
      </c>
      <c r="H1504" s="75" t="s">
        <v>10</v>
      </c>
    </row>
    <row r="1505" spans="1:8" x14ac:dyDescent="0.25">
      <c r="A1505" s="148">
        <v>44848</v>
      </c>
      <c r="B1505" s="149" t="s">
        <v>33100</v>
      </c>
      <c r="C1505" s="153" t="s">
        <v>214</v>
      </c>
      <c r="D1505" s="154">
        <v>1409.1</v>
      </c>
      <c r="E1505" s="231">
        <v>44848</v>
      </c>
      <c r="F1505" s="154">
        <v>1409.1</v>
      </c>
      <c r="G1505" s="197">
        <f>Tabla111[[#This Row],[Importe]]-Tabla111[[#This Row],[Pagado]]</f>
        <v>0</v>
      </c>
      <c r="H1505" s="153" t="s">
        <v>10</v>
      </c>
    </row>
    <row r="1506" spans="1:8" x14ac:dyDescent="0.25">
      <c r="A1506" s="73">
        <v>44848</v>
      </c>
      <c r="B1506" s="74" t="s">
        <v>33101</v>
      </c>
      <c r="C1506" s="75" t="s">
        <v>69</v>
      </c>
      <c r="D1506" s="81">
        <v>1439.9</v>
      </c>
      <c r="E1506" s="230">
        <v>44848</v>
      </c>
      <c r="F1506" s="81">
        <v>1439.9</v>
      </c>
      <c r="G1506" s="197">
        <f>Tabla111[[#This Row],[Importe]]-Tabla111[[#This Row],[Pagado]]</f>
        <v>0</v>
      </c>
      <c r="H1506" s="75" t="s">
        <v>10</v>
      </c>
    </row>
    <row r="1507" spans="1:8" x14ac:dyDescent="0.25">
      <c r="A1507" s="148">
        <v>44848</v>
      </c>
      <c r="B1507" s="149" t="s">
        <v>33102</v>
      </c>
      <c r="C1507" s="153" t="s">
        <v>175</v>
      </c>
      <c r="D1507" s="154">
        <v>13040.9</v>
      </c>
      <c r="E1507" s="231">
        <v>44848</v>
      </c>
      <c r="F1507" s="154">
        <v>13040.9</v>
      </c>
      <c r="G1507" s="197">
        <f>Tabla111[[#This Row],[Importe]]-Tabla111[[#This Row],[Pagado]]</f>
        <v>0</v>
      </c>
      <c r="H1507" s="153" t="s">
        <v>10</v>
      </c>
    </row>
    <row r="1508" spans="1:8" x14ac:dyDescent="0.25">
      <c r="A1508" s="73">
        <v>44848</v>
      </c>
      <c r="B1508" s="74" t="s">
        <v>33103</v>
      </c>
      <c r="C1508" s="75" t="s">
        <v>16</v>
      </c>
      <c r="D1508" s="81">
        <v>2989.2</v>
      </c>
      <c r="E1508" s="230">
        <v>44848</v>
      </c>
      <c r="F1508" s="81">
        <v>2989.2</v>
      </c>
      <c r="G1508" s="197">
        <f>Tabla111[[#This Row],[Importe]]-Tabla111[[#This Row],[Pagado]]</f>
        <v>0</v>
      </c>
      <c r="H1508" s="75" t="s">
        <v>10</v>
      </c>
    </row>
    <row r="1509" spans="1:8" x14ac:dyDescent="0.25">
      <c r="A1509" s="148">
        <v>44848</v>
      </c>
      <c r="B1509" s="149" t="s">
        <v>33104</v>
      </c>
      <c r="C1509" s="153" t="s">
        <v>31</v>
      </c>
      <c r="D1509" s="154">
        <v>9733.7999999999993</v>
      </c>
      <c r="E1509" s="231">
        <v>44848</v>
      </c>
      <c r="F1509" s="154">
        <v>9733.7999999999993</v>
      </c>
      <c r="G1509" s="197">
        <f>Tabla111[[#This Row],[Importe]]-Tabla111[[#This Row],[Pagado]]</f>
        <v>0</v>
      </c>
      <c r="H1509" s="153" t="s">
        <v>10</v>
      </c>
    </row>
    <row r="1510" spans="1:8" x14ac:dyDescent="0.25">
      <c r="A1510" s="73">
        <v>44848</v>
      </c>
      <c r="B1510" s="74" t="s">
        <v>33105</v>
      </c>
      <c r="C1510" s="75" t="s">
        <v>365</v>
      </c>
      <c r="D1510" s="81">
        <v>1873.2</v>
      </c>
      <c r="E1510" s="230">
        <v>44848</v>
      </c>
      <c r="F1510" s="81">
        <v>1873.2</v>
      </c>
      <c r="G1510" s="197">
        <f>Tabla111[[#This Row],[Importe]]-Tabla111[[#This Row],[Pagado]]</f>
        <v>0</v>
      </c>
      <c r="H1510" s="75" t="s">
        <v>10</v>
      </c>
    </row>
    <row r="1511" spans="1:8" x14ac:dyDescent="0.25">
      <c r="A1511" s="148">
        <v>44848</v>
      </c>
      <c r="B1511" s="149" t="s">
        <v>33106</v>
      </c>
      <c r="C1511" s="153" t="s">
        <v>849</v>
      </c>
      <c r="D1511" s="154">
        <v>6369.4</v>
      </c>
      <c r="E1511" s="231">
        <v>44848</v>
      </c>
      <c r="F1511" s="154">
        <v>6369.4</v>
      </c>
      <c r="G1511" s="197">
        <f>Tabla111[[#This Row],[Importe]]-Tabla111[[#This Row],[Pagado]]</f>
        <v>0</v>
      </c>
      <c r="H1511" s="153" t="s">
        <v>10</v>
      </c>
    </row>
    <row r="1512" spans="1:8" x14ac:dyDescent="0.25">
      <c r="A1512" s="73">
        <v>44848</v>
      </c>
      <c r="B1512" s="74" t="s">
        <v>33107</v>
      </c>
      <c r="C1512" s="75" t="s">
        <v>214</v>
      </c>
      <c r="D1512" s="81">
        <v>14729.6</v>
      </c>
      <c r="E1512" s="230">
        <v>44848</v>
      </c>
      <c r="F1512" s="81">
        <v>14729.6</v>
      </c>
      <c r="G1512" s="197">
        <f>Tabla111[[#This Row],[Importe]]-Tabla111[[#This Row],[Pagado]]</f>
        <v>0</v>
      </c>
      <c r="H1512" s="75" t="s">
        <v>10</v>
      </c>
    </row>
    <row r="1513" spans="1:8" x14ac:dyDescent="0.25">
      <c r="A1513" s="148">
        <v>44848</v>
      </c>
      <c r="B1513" s="149" t="s">
        <v>33108</v>
      </c>
      <c r="C1513" s="153" t="s">
        <v>1362</v>
      </c>
      <c r="D1513" s="154">
        <v>5182.3999999999996</v>
      </c>
      <c r="E1513" s="231">
        <v>44848</v>
      </c>
      <c r="F1513" s="154">
        <v>5182.3999999999996</v>
      </c>
      <c r="G1513" s="197">
        <f>Tabla111[[#This Row],[Importe]]-Tabla111[[#This Row],[Pagado]]</f>
        <v>0</v>
      </c>
      <c r="H1513" s="153" t="s">
        <v>10</v>
      </c>
    </row>
    <row r="1514" spans="1:8" x14ac:dyDescent="0.25">
      <c r="A1514" s="73">
        <v>44848</v>
      </c>
      <c r="B1514" s="74" t="s">
        <v>33109</v>
      </c>
      <c r="C1514" s="75" t="s">
        <v>107</v>
      </c>
      <c r="D1514" s="81">
        <v>11821.9</v>
      </c>
      <c r="E1514" s="230">
        <v>44848</v>
      </c>
      <c r="F1514" s="81">
        <v>11821.9</v>
      </c>
      <c r="G1514" s="197">
        <f>Tabla111[[#This Row],[Importe]]-Tabla111[[#This Row],[Pagado]]</f>
        <v>0</v>
      </c>
      <c r="H1514" s="75" t="s">
        <v>10</v>
      </c>
    </row>
    <row r="1515" spans="1:8" x14ac:dyDescent="0.25">
      <c r="A1515" s="148">
        <v>44848</v>
      </c>
      <c r="B1515" s="149" t="s">
        <v>33110</v>
      </c>
      <c r="C1515" s="153" t="s">
        <v>612</v>
      </c>
      <c r="D1515" s="154">
        <v>570</v>
      </c>
      <c r="E1515" s="231">
        <v>44849</v>
      </c>
      <c r="F1515" s="154">
        <v>570</v>
      </c>
      <c r="G1515" s="197">
        <f>Tabla111[[#This Row],[Importe]]-Tabla111[[#This Row],[Pagado]]</f>
        <v>0</v>
      </c>
      <c r="H1515" s="153" t="s">
        <v>10</v>
      </c>
    </row>
    <row r="1516" spans="1:8" x14ac:dyDescent="0.25">
      <c r="A1516" s="73">
        <v>44848</v>
      </c>
      <c r="B1516" s="74" t="s">
        <v>33111</v>
      </c>
      <c r="C1516" s="75" t="s">
        <v>31</v>
      </c>
      <c r="D1516" s="81">
        <v>8602</v>
      </c>
      <c r="E1516" s="230">
        <v>44848</v>
      </c>
      <c r="F1516" s="81">
        <v>8602</v>
      </c>
      <c r="G1516" s="197">
        <f>Tabla111[[#This Row],[Importe]]-Tabla111[[#This Row],[Pagado]]</f>
        <v>0</v>
      </c>
      <c r="H1516" s="75" t="s">
        <v>10</v>
      </c>
    </row>
    <row r="1517" spans="1:8" x14ac:dyDescent="0.25">
      <c r="A1517" s="148">
        <v>44848</v>
      </c>
      <c r="B1517" s="149" t="s">
        <v>33112</v>
      </c>
      <c r="C1517" s="153" t="s">
        <v>31</v>
      </c>
      <c r="D1517" s="154">
        <v>5624</v>
      </c>
      <c r="E1517" s="231">
        <v>44848</v>
      </c>
      <c r="F1517" s="154">
        <v>5624</v>
      </c>
      <c r="G1517" s="197">
        <f>Tabla111[[#This Row],[Importe]]-Tabla111[[#This Row],[Pagado]]</f>
        <v>0</v>
      </c>
      <c r="H1517" s="153" t="s">
        <v>10</v>
      </c>
    </row>
    <row r="1518" spans="1:8" x14ac:dyDescent="0.25">
      <c r="A1518" s="73">
        <v>44848</v>
      </c>
      <c r="B1518" s="74" t="s">
        <v>33113</v>
      </c>
      <c r="C1518" s="75" t="s">
        <v>857</v>
      </c>
      <c r="D1518" s="81">
        <v>1490.3</v>
      </c>
      <c r="E1518" s="230">
        <v>44848</v>
      </c>
      <c r="F1518" s="81">
        <v>1490.3</v>
      </c>
      <c r="G1518" s="197">
        <f>Tabla111[[#This Row],[Importe]]-Tabla111[[#This Row],[Pagado]]</f>
        <v>0</v>
      </c>
      <c r="H1518" s="75" t="s">
        <v>10</v>
      </c>
    </row>
    <row r="1519" spans="1:8" x14ac:dyDescent="0.25">
      <c r="A1519" s="148">
        <v>44848</v>
      </c>
      <c r="B1519" s="149" t="s">
        <v>33114</v>
      </c>
      <c r="C1519" s="153" t="s">
        <v>22</v>
      </c>
      <c r="D1519" s="154">
        <v>5587.4</v>
      </c>
      <c r="E1519" s="231">
        <v>44848</v>
      </c>
      <c r="F1519" s="154">
        <v>5587.4</v>
      </c>
      <c r="G1519" s="197">
        <f>Tabla111[[#This Row],[Importe]]-Tabla111[[#This Row],[Pagado]]</f>
        <v>0</v>
      </c>
      <c r="H1519" s="153" t="s">
        <v>10</v>
      </c>
    </row>
    <row r="1520" spans="1:8" x14ac:dyDescent="0.25">
      <c r="A1520" s="73">
        <v>44848</v>
      </c>
      <c r="B1520" s="74" t="s">
        <v>33115</v>
      </c>
      <c r="C1520" s="75" t="s">
        <v>33116</v>
      </c>
      <c r="D1520" s="81">
        <v>0</v>
      </c>
      <c r="E1520" s="232" t="s">
        <v>189</v>
      </c>
      <c r="F1520" s="81">
        <v>0</v>
      </c>
      <c r="G1520" s="197">
        <f>Tabla111[[#This Row],[Importe]]-Tabla111[[#This Row],[Pagado]]</f>
        <v>0</v>
      </c>
      <c r="H1520" s="75" t="s">
        <v>189</v>
      </c>
    </row>
    <row r="1521" spans="1:8" x14ac:dyDescent="0.25">
      <c r="A1521" s="148">
        <v>44848</v>
      </c>
      <c r="B1521" s="149" t="s">
        <v>33117</v>
      </c>
      <c r="C1521" s="153" t="s">
        <v>53</v>
      </c>
      <c r="D1521" s="154">
        <v>1453.6</v>
      </c>
      <c r="E1521" s="231">
        <v>44848</v>
      </c>
      <c r="F1521" s="154">
        <v>1453.6</v>
      </c>
      <c r="G1521" s="197">
        <f>Tabla111[[#This Row],[Importe]]-Tabla111[[#This Row],[Pagado]]</f>
        <v>0</v>
      </c>
      <c r="H1521" s="153" t="s">
        <v>10</v>
      </c>
    </row>
    <row r="1522" spans="1:8" x14ac:dyDescent="0.25">
      <c r="A1522" s="73">
        <v>44848</v>
      </c>
      <c r="B1522" s="74" t="s">
        <v>33118</v>
      </c>
      <c r="C1522" s="75" t="s">
        <v>681</v>
      </c>
      <c r="D1522" s="81">
        <v>8.41</v>
      </c>
      <c r="E1522" s="230">
        <v>44860</v>
      </c>
      <c r="F1522" s="81">
        <v>8.41</v>
      </c>
      <c r="G1522" s="197">
        <f>Tabla111[[#This Row],[Importe]]-Tabla111[[#This Row],[Pagado]]</f>
        <v>0</v>
      </c>
      <c r="H1522" s="75" t="s">
        <v>10</v>
      </c>
    </row>
    <row r="1523" spans="1:8" x14ac:dyDescent="0.25">
      <c r="A1523" s="148">
        <v>44848</v>
      </c>
      <c r="B1523" s="149" t="s">
        <v>33119</v>
      </c>
      <c r="C1523" s="153" t="s">
        <v>6405</v>
      </c>
      <c r="D1523" s="154">
        <v>4.9800000000000004</v>
      </c>
      <c r="E1523" s="231">
        <v>44863</v>
      </c>
      <c r="F1523" s="154">
        <v>4.9800000000000004</v>
      </c>
      <c r="G1523" s="197">
        <f>Tabla111[[#This Row],[Importe]]-Tabla111[[#This Row],[Pagado]]</f>
        <v>0</v>
      </c>
      <c r="H1523" s="153" t="s">
        <v>10</v>
      </c>
    </row>
    <row r="1524" spans="1:8" x14ac:dyDescent="0.25">
      <c r="A1524" s="73">
        <v>44848</v>
      </c>
      <c r="B1524" s="74" t="s">
        <v>33120</v>
      </c>
      <c r="C1524" s="75" t="s">
        <v>296</v>
      </c>
      <c r="D1524" s="81">
        <v>5561.4</v>
      </c>
      <c r="E1524" s="230">
        <v>44848</v>
      </c>
      <c r="F1524" s="81">
        <v>5561.4</v>
      </c>
      <c r="G1524" s="197">
        <f>Tabla111[[#This Row],[Importe]]-Tabla111[[#This Row],[Pagado]]</f>
        <v>0</v>
      </c>
      <c r="H1524" s="75" t="s">
        <v>10</v>
      </c>
    </row>
    <row r="1525" spans="1:8" x14ac:dyDescent="0.25">
      <c r="A1525" s="148">
        <v>44848</v>
      </c>
      <c r="B1525" s="149" t="s">
        <v>33121</v>
      </c>
      <c r="C1525" s="153" t="s">
        <v>654</v>
      </c>
      <c r="D1525" s="154">
        <v>5270.8</v>
      </c>
      <c r="E1525" s="231">
        <v>44848</v>
      </c>
      <c r="F1525" s="154">
        <v>5270.8</v>
      </c>
      <c r="G1525" s="197">
        <f>Tabla111[[#This Row],[Importe]]-Tabla111[[#This Row],[Pagado]]</f>
        <v>0</v>
      </c>
      <c r="H1525" s="153" t="s">
        <v>10</v>
      </c>
    </row>
    <row r="1526" spans="1:8" x14ac:dyDescent="0.25">
      <c r="A1526" s="73">
        <v>44848</v>
      </c>
      <c r="B1526" s="74" t="s">
        <v>33122</v>
      </c>
      <c r="C1526" s="75" t="s">
        <v>87</v>
      </c>
      <c r="D1526" s="81">
        <v>5322.9</v>
      </c>
      <c r="E1526" s="230">
        <v>44849</v>
      </c>
      <c r="F1526" s="81">
        <v>5322.9</v>
      </c>
      <c r="G1526" s="197">
        <f>Tabla111[[#This Row],[Importe]]-Tabla111[[#This Row],[Pagado]]</f>
        <v>0</v>
      </c>
      <c r="H1526" s="75" t="s">
        <v>10</v>
      </c>
    </row>
    <row r="1527" spans="1:8" x14ac:dyDescent="0.25">
      <c r="A1527" s="148">
        <v>44848</v>
      </c>
      <c r="B1527" s="149" t="s">
        <v>33123</v>
      </c>
      <c r="C1527" s="153" t="s">
        <v>314</v>
      </c>
      <c r="D1527" s="154">
        <v>6858</v>
      </c>
      <c r="E1527" s="231">
        <v>44849</v>
      </c>
      <c r="F1527" s="154">
        <v>6858</v>
      </c>
      <c r="G1527" s="197">
        <f>Tabla111[[#This Row],[Importe]]-Tabla111[[#This Row],[Pagado]]</f>
        <v>0</v>
      </c>
      <c r="H1527" s="153" t="s">
        <v>10</v>
      </c>
    </row>
    <row r="1528" spans="1:8" x14ac:dyDescent="0.25">
      <c r="A1528" s="73">
        <v>44848</v>
      </c>
      <c r="B1528" s="74" t="s">
        <v>33124</v>
      </c>
      <c r="C1528" s="75" t="s">
        <v>284</v>
      </c>
      <c r="D1528" s="81">
        <v>11650.1</v>
      </c>
      <c r="E1528" s="230">
        <v>44849</v>
      </c>
      <c r="F1528" s="81">
        <v>11650.1</v>
      </c>
      <c r="G1528" s="197">
        <f>Tabla111[[#This Row],[Importe]]-Tabla111[[#This Row],[Pagado]]</f>
        <v>0</v>
      </c>
      <c r="H1528" s="75" t="s">
        <v>10</v>
      </c>
    </row>
    <row r="1529" spans="1:8" x14ac:dyDescent="0.25">
      <c r="A1529" s="148">
        <v>44848</v>
      </c>
      <c r="B1529" s="149" t="s">
        <v>33125</v>
      </c>
      <c r="C1529" s="153" t="s">
        <v>31</v>
      </c>
      <c r="D1529" s="154">
        <v>249.7</v>
      </c>
      <c r="E1529" s="231">
        <v>44848</v>
      </c>
      <c r="F1529" s="154">
        <v>249.7</v>
      </c>
      <c r="G1529" s="197">
        <f>Tabla111[[#This Row],[Importe]]-Tabla111[[#This Row],[Pagado]]</f>
        <v>0</v>
      </c>
      <c r="H1529" s="153" t="s">
        <v>10</v>
      </c>
    </row>
    <row r="1530" spans="1:8" x14ac:dyDescent="0.25">
      <c r="A1530" s="73">
        <v>44848</v>
      </c>
      <c r="B1530" s="74" t="s">
        <v>33126</v>
      </c>
      <c r="C1530" s="75" t="s">
        <v>280</v>
      </c>
      <c r="D1530" s="81">
        <v>1393.7</v>
      </c>
      <c r="E1530" s="230">
        <v>44849</v>
      </c>
      <c r="F1530" s="81">
        <v>1393.7</v>
      </c>
      <c r="G1530" s="197">
        <f>Tabla111[[#This Row],[Importe]]-Tabla111[[#This Row],[Pagado]]</f>
        <v>0</v>
      </c>
      <c r="H1530" s="75" t="s">
        <v>10</v>
      </c>
    </row>
    <row r="1531" spans="1:8" x14ac:dyDescent="0.25">
      <c r="A1531" s="148">
        <v>44848</v>
      </c>
      <c r="B1531" s="149" t="s">
        <v>33127</v>
      </c>
      <c r="C1531" s="153" t="s">
        <v>10819</v>
      </c>
      <c r="D1531" s="154">
        <v>1447.6</v>
      </c>
      <c r="E1531" s="231">
        <v>44849</v>
      </c>
      <c r="F1531" s="154">
        <v>1447.6</v>
      </c>
      <c r="G1531" s="197">
        <f>Tabla111[[#This Row],[Importe]]-Tabla111[[#This Row],[Pagado]]</f>
        <v>0</v>
      </c>
      <c r="H1531" s="153" t="s">
        <v>10</v>
      </c>
    </row>
    <row r="1532" spans="1:8" x14ac:dyDescent="0.25">
      <c r="A1532" s="73">
        <v>44848</v>
      </c>
      <c r="B1532" s="74" t="s">
        <v>33128</v>
      </c>
      <c r="C1532" s="75" t="s">
        <v>282</v>
      </c>
      <c r="D1532" s="81">
        <v>1347.5</v>
      </c>
      <c r="E1532" s="230">
        <v>44849</v>
      </c>
      <c r="F1532" s="81">
        <v>1347.5</v>
      </c>
      <c r="G1532" s="197">
        <f>Tabla111[[#This Row],[Importe]]-Tabla111[[#This Row],[Pagado]]</f>
        <v>0</v>
      </c>
      <c r="H1532" s="75" t="s">
        <v>10</v>
      </c>
    </row>
    <row r="1533" spans="1:8" x14ac:dyDescent="0.25">
      <c r="A1533" s="148">
        <v>44848</v>
      </c>
      <c r="B1533" s="149" t="s">
        <v>33129</v>
      </c>
      <c r="C1533" s="153" t="s">
        <v>31</v>
      </c>
      <c r="D1533" s="154">
        <v>87.5</v>
      </c>
      <c r="E1533" s="231">
        <v>44848</v>
      </c>
      <c r="F1533" s="154">
        <v>87.5</v>
      </c>
      <c r="G1533" s="197">
        <f>Tabla111[[#This Row],[Importe]]-Tabla111[[#This Row],[Pagado]]</f>
        <v>0</v>
      </c>
      <c r="H1533" s="153" t="s">
        <v>10</v>
      </c>
    </row>
    <row r="1534" spans="1:8" x14ac:dyDescent="0.25">
      <c r="A1534" s="73">
        <v>44848</v>
      </c>
      <c r="B1534" s="74" t="s">
        <v>33130</v>
      </c>
      <c r="C1534" s="75" t="s">
        <v>10678</v>
      </c>
      <c r="D1534" s="81">
        <v>3544.1</v>
      </c>
      <c r="E1534" s="230">
        <v>44848</v>
      </c>
      <c r="F1534" s="81">
        <v>3544.1</v>
      </c>
      <c r="G1534" s="197">
        <f>Tabla111[[#This Row],[Importe]]-Tabla111[[#This Row],[Pagado]]</f>
        <v>0</v>
      </c>
      <c r="H1534" s="75" t="s">
        <v>10</v>
      </c>
    </row>
    <row r="1535" spans="1:8" x14ac:dyDescent="0.25">
      <c r="A1535" s="148">
        <v>44848</v>
      </c>
      <c r="B1535" s="149" t="s">
        <v>33131</v>
      </c>
      <c r="C1535" s="153" t="s">
        <v>843</v>
      </c>
      <c r="D1535" s="154">
        <v>16412</v>
      </c>
      <c r="E1535" s="231">
        <v>44849</v>
      </c>
      <c r="F1535" s="154">
        <v>16412</v>
      </c>
      <c r="G1535" s="197">
        <f>Tabla111[[#This Row],[Importe]]-Tabla111[[#This Row],[Pagado]]</f>
        <v>0</v>
      </c>
      <c r="H1535" s="153" t="s">
        <v>10</v>
      </c>
    </row>
    <row r="1536" spans="1:8" x14ac:dyDescent="0.25">
      <c r="A1536" s="73">
        <v>44848</v>
      </c>
      <c r="B1536" s="74" t="s">
        <v>33132</v>
      </c>
      <c r="C1536" s="75" t="s">
        <v>421</v>
      </c>
      <c r="D1536" s="81">
        <v>3132.4</v>
      </c>
      <c r="E1536" s="230">
        <v>44848</v>
      </c>
      <c r="F1536" s="81">
        <v>3132.4</v>
      </c>
      <c r="G1536" s="197">
        <f>Tabla111[[#This Row],[Importe]]-Tabla111[[#This Row],[Pagado]]</f>
        <v>0</v>
      </c>
      <c r="H1536" s="75" t="s">
        <v>10</v>
      </c>
    </row>
    <row r="1537" spans="1:8" x14ac:dyDescent="0.25">
      <c r="A1537" s="148">
        <v>44848</v>
      </c>
      <c r="B1537" s="149" t="s">
        <v>33133</v>
      </c>
      <c r="C1537" s="153" t="s">
        <v>31</v>
      </c>
      <c r="D1537" s="154">
        <v>3714.5</v>
      </c>
      <c r="E1537" s="231">
        <v>44848</v>
      </c>
      <c r="F1537" s="154">
        <v>3714.5</v>
      </c>
      <c r="G1537" s="197">
        <f>Tabla111[[#This Row],[Importe]]-Tabla111[[#This Row],[Pagado]]</f>
        <v>0</v>
      </c>
      <c r="H1537" s="153" t="s">
        <v>10</v>
      </c>
    </row>
    <row r="1538" spans="1:8" x14ac:dyDescent="0.25">
      <c r="A1538" s="73">
        <v>44848</v>
      </c>
      <c r="B1538" s="74" t="s">
        <v>33134</v>
      </c>
      <c r="C1538" s="75" t="s">
        <v>24</v>
      </c>
      <c r="D1538" s="81">
        <v>922.5</v>
      </c>
      <c r="E1538" s="230">
        <v>44848</v>
      </c>
      <c r="F1538" s="81">
        <v>922.5</v>
      </c>
      <c r="G1538" s="197">
        <f>Tabla111[[#This Row],[Importe]]-Tabla111[[#This Row],[Pagado]]</f>
        <v>0</v>
      </c>
      <c r="H1538" s="75" t="s">
        <v>10</v>
      </c>
    </row>
    <row r="1539" spans="1:8" x14ac:dyDescent="0.25">
      <c r="A1539" s="148">
        <v>44848</v>
      </c>
      <c r="B1539" s="149" t="s">
        <v>33135</v>
      </c>
      <c r="C1539" s="153" t="s">
        <v>5694</v>
      </c>
      <c r="D1539" s="154">
        <v>4344.6000000000004</v>
      </c>
      <c r="E1539" s="231">
        <v>44848</v>
      </c>
      <c r="F1539" s="154">
        <v>4344.6000000000004</v>
      </c>
      <c r="G1539" s="197">
        <f>Tabla111[[#This Row],[Importe]]-Tabla111[[#This Row],[Pagado]]</f>
        <v>0</v>
      </c>
      <c r="H1539" s="153" t="s">
        <v>10</v>
      </c>
    </row>
    <row r="1540" spans="1:8" x14ac:dyDescent="0.25">
      <c r="A1540" s="73">
        <v>44848</v>
      </c>
      <c r="B1540" s="74" t="s">
        <v>33136</v>
      </c>
      <c r="C1540" s="75" t="s">
        <v>212</v>
      </c>
      <c r="D1540" s="81">
        <v>9581.44</v>
      </c>
      <c r="E1540" s="230">
        <v>44854</v>
      </c>
      <c r="F1540" s="81">
        <v>9581.44</v>
      </c>
      <c r="G1540" s="197">
        <f>Tabla111[[#This Row],[Importe]]-Tabla111[[#This Row],[Pagado]]</f>
        <v>0</v>
      </c>
      <c r="H1540" s="75" t="s">
        <v>10</v>
      </c>
    </row>
    <row r="1541" spans="1:8" x14ac:dyDescent="0.25">
      <c r="A1541" s="148">
        <v>44849</v>
      </c>
      <c r="B1541" s="149" t="s">
        <v>33137</v>
      </c>
      <c r="C1541" s="153" t="s">
        <v>887</v>
      </c>
      <c r="D1541" s="154">
        <v>31115.9</v>
      </c>
      <c r="E1541" s="231">
        <v>44851</v>
      </c>
      <c r="F1541" s="154">
        <v>31115.9</v>
      </c>
      <c r="G1541" s="197">
        <f>Tabla111[[#This Row],[Importe]]-Tabla111[[#This Row],[Pagado]]</f>
        <v>0</v>
      </c>
      <c r="H1541" s="153" t="s">
        <v>10</v>
      </c>
    </row>
    <row r="1542" spans="1:8" x14ac:dyDescent="0.25">
      <c r="A1542" s="73">
        <v>44849</v>
      </c>
      <c r="B1542" s="74" t="s">
        <v>33138</v>
      </c>
      <c r="C1542" s="75" t="s">
        <v>75</v>
      </c>
      <c r="D1542" s="81">
        <v>11580.8</v>
      </c>
      <c r="E1542" s="230">
        <v>44849</v>
      </c>
      <c r="F1542" s="81">
        <v>11580.8</v>
      </c>
      <c r="G1542" s="197">
        <f>Tabla111[[#This Row],[Importe]]-Tabla111[[#This Row],[Pagado]]</f>
        <v>0</v>
      </c>
      <c r="H1542" s="75" t="s">
        <v>10</v>
      </c>
    </row>
    <row r="1543" spans="1:8" x14ac:dyDescent="0.25">
      <c r="A1543" s="148">
        <v>44849</v>
      </c>
      <c r="B1543" s="149" t="s">
        <v>33139</v>
      </c>
      <c r="C1543" s="153" t="s">
        <v>473</v>
      </c>
      <c r="D1543" s="154">
        <v>5302.6</v>
      </c>
      <c r="E1543" s="231">
        <v>44849</v>
      </c>
      <c r="F1543" s="154">
        <v>5302.6</v>
      </c>
      <c r="G1543" s="197">
        <f>Tabla111[[#This Row],[Importe]]-Tabla111[[#This Row],[Pagado]]</f>
        <v>0</v>
      </c>
      <c r="H1543" s="153" t="s">
        <v>10</v>
      </c>
    </row>
    <row r="1544" spans="1:8" x14ac:dyDescent="0.25">
      <c r="A1544" s="73">
        <v>44849</v>
      </c>
      <c r="B1544" s="74" t="s">
        <v>33140</v>
      </c>
      <c r="C1544" s="75" t="s">
        <v>475</v>
      </c>
      <c r="D1544" s="81">
        <v>84447.5</v>
      </c>
      <c r="E1544" s="230" t="s">
        <v>33141</v>
      </c>
      <c r="F1544" s="81">
        <f>60000+24447.5</f>
        <v>84447.5</v>
      </c>
      <c r="G1544" s="197">
        <f>Tabla111[[#This Row],[Importe]]-Tabla111[[#This Row],[Pagado]]</f>
        <v>0</v>
      </c>
      <c r="H1544" s="75" t="s">
        <v>10</v>
      </c>
    </row>
    <row r="1545" spans="1:8" x14ac:dyDescent="0.25">
      <c r="A1545" s="148">
        <v>44849</v>
      </c>
      <c r="B1545" s="149" t="s">
        <v>33142</v>
      </c>
      <c r="C1545" s="153" t="s">
        <v>5375</v>
      </c>
      <c r="D1545" s="154">
        <v>0</v>
      </c>
      <c r="E1545" s="233" t="s">
        <v>189</v>
      </c>
      <c r="F1545" s="154">
        <v>0</v>
      </c>
      <c r="G1545" s="197">
        <f>Tabla111[[#This Row],[Importe]]-Tabla111[[#This Row],[Pagado]]</f>
        <v>0</v>
      </c>
      <c r="H1545" s="153" t="s">
        <v>189</v>
      </c>
    </row>
    <row r="1546" spans="1:8" x14ac:dyDescent="0.25">
      <c r="A1546" s="73">
        <v>44849</v>
      </c>
      <c r="B1546" s="74" t="s">
        <v>33143</v>
      </c>
      <c r="C1546" s="75" t="s">
        <v>89</v>
      </c>
      <c r="D1546" s="81">
        <v>16686</v>
      </c>
      <c r="E1546" s="230">
        <v>44851</v>
      </c>
      <c r="F1546" s="81">
        <v>16686</v>
      </c>
      <c r="G1546" s="197">
        <f>Tabla111[[#This Row],[Importe]]-Tabla111[[#This Row],[Pagado]]</f>
        <v>0</v>
      </c>
      <c r="H1546" s="75" t="s">
        <v>10</v>
      </c>
    </row>
    <row r="1547" spans="1:8" x14ac:dyDescent="0.25">
      <c r="A1547" s="148">
        <v>44849</v>
      </c>
      <c r="B1547" s="149" t="s">
        <v>33144</v>
      </c>
      <c r="C1547" s="153" t="s">
        <v>12</v>
      </c>
      <c r="D1547" s="154">
        <v>45279.8</v>
      </c>
      <c r="E1547" s="231" t="s">
        <v>33145</v>
      </c>
      <c r="F1547" s="154">
        <f>40000+5279.8</f>
        <v>45279.8</v>
      </c>
      <c r="G1547" s="197">
        <f>Tabla111[[#This Row],[Importe]]-Tabla111[[#This Row],[Pagado]]</f>
        <v>0</v>
      </c>
      <c r="H1547" s="153" t="s">
        <v>10</v>
      </c>
    </row>
    <row r="1548" spans="1:8" x14ac:dyDescent="0.25">
      <c r="A1548" s="73">
        <v>44849</v>
      </c>
      <c r="B1548" s="74" t="s">
        <v>33146</v>
      </c>
      <c r="C1548" s="75" t="s">
        <v>24768</v>
      </c>
      <c r="D1548" s="81">
        <v>5467.2</v>
      </c>
      <c r="E1548" s="230">
        <v>44849</v>
      </c>
      <c r="F1548" s="81">
        <v>5467.2</v>
      </c>
      <c r="G1548" s="197">
        <f>Tabla111[[#This Row],[Importe]]-Tabla111[[#This Row],[Pagado]]</f>
        <v>0</v>
      </c>
      <c r="H1548" s="75" t="s">
        <v>10</v>
      </c>
    </row>
    <row r="1549" spans="1:8" x14ac:dyDescent="0.25">
      <c r="A1549" s="148">
        <v>44849</v>
      </c>
      <c r="B1549" s="149" t="s">
        <v>33147</v>
      </c>
      <c r="C1549" s="153" t="s">
        <v>481</v>
      </c>
      <c r="D1549" s="154">
        <v>1045.5</v>
      </c>
      <c r="E1549" s="231">
        <v>44849</v>
      </c>
      <c r="F1549" s="154">
        <v>1045.5</v>
      </c>
      <c r="G1549" s="197">
        <f>Tabla111[[#This Row],[Importe]]-Tabla111[[#This Row],[Pagado]]</f>
        <v>0</v>
      </c>
      <c r="H1549" s="153" t="s">
        <v>10</v>
      </c>
    </row>
    <row r="1550" spans="1:8" x14ac:dyDescent="0.25">
      <c r="A1550" s="73">
        <v>44849</v>
      </c>
      <c r="B1550" s="74" t="s">
        <v>33148</v>
      </c>
      <c r="C1550" s="75" t="s">
        <v>348</v>
      </c>
      <c r="D1550" s="81">
        <v>7468.8</v>
      </c>
      <c r="E1550" s="230">
        <v>44849</v>
      </c>
      <c r="F1550" s="81">
        <v>7468.8</v>
      </c>
      <c r="G1550" s="197">
        <f>Tabla111[[#This Row],[Importe]]-Tabla111[[#This Row],[Pagado]]</f>
        <v>0</v>
      </c>
      <c r="H1550" s="75" t="s">
        <v>10</v>
      </c>
    </row>
    <row r="1551" spans="1:8" x14ac:dyDescent="0.25">
      <c r="A1551" s="148">
        <v>44849</v>
      </c>
      <c r="B1551" s="149" t="s">
        <v>33149</v>
      </c>
      <c r="C1551" s="153" t="s">
        <v>60</v>
      </c>
      <c r="D1551" s="154">
        <v>5362.5</v>
      </c>
      <c r="E1551" s="231">
        <v>44851</v>
      </c>
      <c r="F1551" s="154">
        <v>5362.5</v>
      </c>
      <c r="G1551" s="197">
        <f>Tabla111[[#This Row],[Importe]]-Tabla111[[#This Row],[Pagado]]</f>
        <v>0</v>
      </c>
      <c r="H1551" s="153" t="s">
        <v>10</v>
      </c>
    </row>
    <row r="1552" spans="1:8" x14ac:dyDescent="0.25">
      <c r="A1552" s="73">
        <v>44849</v>
      </c>
      <c r="B1552" s="74" t="s">
        <v>33150</v>
      </c>
      <c r="C1552" s="75" t="s">
        <v>10586</v>
      </c>
      <c r="D1552" s="81">
        <v>5427.5</v>
      </c>
      <c r="E1552" s="230">
        <v>44851</v>
      </c>
      <c r="F1552" s="81">
        <v>5427.5</v>
      </c>
      <c r="G1552" s="197">
        <f>Tabla111[[#This Row],[Importe]]-Tabla111[[#This Row],[Pagado]]</f>
        <v>0</v>
      </c>
      <c r="H1552" s="75" t="s">
        <v>10</v>
      </c>
    </row>
    <row r="1553" spans="1:8" x14ac:dyDescent="0.25">
      <c r="A1553" s="148">
        <v>44849</v>
      </c>
      <c r="B1553" s="149" t="s">
        <v>33151</v>
      </c>
      <c r="C1553" s="153" t="s">
        <v>64</v>
      </c>
      <c r="D1553" s="154">
        <v>11212.5</v>
      </c>
      <c r="E1553" s="231">
        <v>44851</v>
      </c>
      <c r="F1553" s="154">
        <v>11212.5</v>
      </c>
      <c r="G1553" s="197">
        <f>Tabla111[[#This Row],[Importe]]-Tabla111[[#This Row],[Pagado]]</f>
        <v>0</v>
      </c>
      <c r="H1553" s="153" t="s">
        <v>10</v>
      </c>
    </row>
    <row r="1554" spans="1:8" x14ac:dyDescent="0.25">
      <c r="A1554" s="73">
        <v>44849</v>
      </c>
      <c r="B1554" s="74" t="s">
        <v>33152</v>
      </c>
      <c r="C1554" s="75" t="s">
        <v>450</v>
      </c>
      <c r="D1554" s="81">
        <v>11512.5</v>
      </c>
      <c r="E1554" s="230">
        <v>44849</v>
      </c>
      <c r="F1554" s="81">
        <v>11512.5</v>
      </c>
      <c r="G1554" s="197">
        <f>Tabla111[[#This Row],[Importe]]-Tabla111[[#This Row],[Pagado]]</f>
        <v>0</v>
      </c>
      <c r="H1554" s="75" t="s">
        <v>10</v>
      </c>
    </row>
    <row r="1555" spans="1:8" x14ac:dyDescent="0.25">
      <c r="A1555" s="148">
        <v>44849</v>
      </c>
      <c r="B1555" s="149" t="s">
        <v>33153</v>
      </c>
      <c r="C1555" s="153" t="s">
        <v>97</v>
      </c>
      <c r="D1555" s="154">
        <v>15517.2</v>
      </c>
      <c r="E1555" s="231">
        <v>44851</v>
      </c>
      <c r="F1555" s="154">
        <v>15517.2</v>
      </c>
      <c r="G1555" s="197">
        <f>Tabla111[[#This Row],[Importe]]-Tabla111[[#This Row],[Pagado]]</f>
        <v>0</v>
      </c>
      <c r="H1555" s="153" t="s">
        <v>10</v>
      </c>
    </row>
    <row r="1556" spans="1:8" x14ac:dyDescent="0.25">
      <c r="A1556" s="73">
        <v>44849</v>
      </c>
      <c r="B1556" s="74" t="s">
        <v>33154</v>
      </c>
      <c r="C1556" s="75" t="s">
        <v>111</v>
      </c>
      <c r="D1556" s="81">
        <v>11524.5</v>
      </c>
      <c r="E1556" s="230">
        <v>44851</v>
      </c>
      <c r="F1556" s="81">
        <v>11524.5</v>
      </c>
      <c r="G1556" s="197">
        <f>Tabla111[[#This Row],[Importe]]-Tabla111[[#This Row],[Pagado]]</f>
        <v>0</v>
      </c>
      <c r="H1556" s="75" t="s">
        <v>10</v>
      </c>
    </row>
    <row r="1557" spans="1:8" x14ac:dyDescent="0.25">
      <c r="A1557" s="148">
        <v>44849</v>
      </c>
      <c r="B1557" s="149" t="s">
        <v>33155</v>
      </c>
      <c r="C1557" s="153" t="s">
        <v>5043</v>
      </c>
      <c r="D1557" s="154">
        <v>10090.200000000001</v>
      </c>
      <c r="E1557" s="231">
        <v>44852</v>
      </c>
      <c r="F1557" s="154">
        <v>10090.200000000001</v>
      </c>
      <c r="G1557" s="197">
        <f>Tabla111[[#This Row],[Importe]]-Tabla111[[#This Row],[Pagado]]</f>
        <v>0</v>
      </c>
      <c r="H1557" s="153" t="s">
        <v>10</v>
      </c>
    </row>
    <row r="1558" spans="1:8" x14ac:dyDescent="0.25">
      <c r="A1558" s="73">
        <v>44849</v>
      </c>
      <c r="B1558" s="74" t="s">
        <v>33156</v>
      </c>
      <c r="C1558" s="75" t="s">
        <v>9</v>
      </c>
      <c r="D1558" s="81">
        <v>9813.4</v>
      </c>
      <c r="E1558" s="230">
        <v>44849</v>
      </c>
      <c r="F1558" s="81">
        <v>9813.4</v>
      </c>
      <c r="G1558" s="197">
        <f>Tabla111[[#This Row],[Importe]]-Tabla111[[#This Row],[Pagado]]</f>
        <v>0</v>
      </c>
      <c r="H1558" s="75" t="s">
        <v>10</v>
      </c>
    </row>
    <row r="1559" spans="1:8" x14ac:dyDescent="0.25">
      <c r="A1559" s="148">
        <v>44849</v>
      </c>
      <c r="B1559" s="149" t="s">
        <v>33157</v>
      </c>
      <c r="C1559" s="153" t="s">
        <v>1187</v>
      </c>
      <c r="D1559" s="154">
        <v>1991.2</v>
      </c>
      <c r="E1559" s="231">
        <v>44849</v>
      </c>
      <c r="F1559" s="154">
        <v>1991.2</v>
      </c>
      <c r="G1559" s="197">
        <f>Tabla111[[#This Row],[Importe]]-Tabla111[[#This Row],[Pagado]]</f>
        <v>0</v>
      </c>
      <c r="H1559" s="153" t="s">
        <v>10</v>
      </c>
    </row>
    <row r="1560" spans="1:8" x14ac:dyDescent="0.25">
      <c r="A1560" s="73">
        <v>44849</v>
      </c>
      <c r="B1560" s="74" t="s">
        <v>33158</v>
      </c>
      <c r="C1560" s="75" t="s">
        <v>105</v>
      </c>
      <c r="D1560" s="81">
        <v>17946.5</v>
      </c>
      <c r="E1560" s="230">
        <v>44852</v>
      </c>
      <c r="F1560" s="81">
        <v>17946.5</v>
      </c>
      <c r="G1560" s="197">
        <f>Tabla111[[#This Row],[Importe]]-Tabla111[[#This Row],[Pagado]]</f>
        <v>0</v>
      </c>
      <c r="H1560" s="75" t="s">
        <v>10</v>
      </c>
    </row>
    <row r="1561" spans="1:8" x14ac:dyDescent="0.25">
      <c r="A1561" s="148">
        <v>44849</v>
      </c>
      <c r="B1561" s="149" t="s">
        <v>33159</v>
      </c>
      <c r="C1561" s="153" t="s">
        <v>314</v>
      </c>
      <c r="D1561" s="154">
        <v>7487.1</v>
      </c>
      <c r="E1561" s="231">
        <v>44849</v>
      </c>
      <c r="F1561" s="154">
        <v>7487.1</v>
      </c>
      <c r="G1561" s="197">
        <f>Tabla111[[#This Row],[Importe]]-Tabla111[[#This Row],[Pagado]]</f>
        <v>0</v>
      </c>
      <c r="H1561" s="153" t="s">
        <v>10</v>
      </c>
    </row>
    <row r="1562" spans="1:8" x14ac:dyDescent="0.25">
      <c r="A1562" s="73">
        <v>44849</v>
      </c>
      <c r="B1562" s="74" t="s">
        <v>33160</v>
      </c>
      <c r="C1562" s="75" t="s">
        <v>16</v>
      </c>
      <c r="D1562" s="81">
        <v>6988.1</v>
      </c>
      <c r="E1562" s="230">
        <v>44849</v>
      </c>
      <c r="F1562" s="81">
        <v>6988.1</v>
      </c>
      <c r="G1562" s="197">
        <f>Tabla111[[#This Row],[Importe]]-Tabla111[[#This Row],[Pagado]]</f>
        <v>0</v>
      </c>
      <c r="H1562" s="75" t="s">
        <v>10</v>
      </c>
    </row>
    <row r="1563" spans="1:8" x14ac:dyDescent="0.25">
      <c r="A1563" s="148">
        <v>44849</v>
      </c>
      <c r="B1563" s="149" t="s">
        <v>33161</v>
      </c>
      <c r="C1563" s="153" t="s">
        <v>22</v>
      </c>
      <c r="D1563" s="154">
        <v>66438.100000000006</v>
      </c>
      <c r="E1563" s="231" t="s">
        <v>33145</v>
      </c>
      <c r="F1563" s="154">
        <f>36000+30438.1</f>
        <v>66438.100000000006</v>
      </c>
      <c r="G1563" s="197">
        <f>Tabla111[[#This Row],[Importe]]-Tabla111[[#This Row],[Pagado]]</f>
        <v>0</v>
      </c>
      <c r="H1563" s="153" t="s">
        <v>10</v>
      </c>
    </row>
    <row r="1564" spans="1:8" x14ac:dyDescent="0.25">
      <c r="A1564" s="73">
        <v>44849</v>
      </c>
      <c r="B1564" s="74" t="s">
        <v>33162</v>
      </c>
      <c r="C1564" s="75" t="s">
        <v>16</v>
      </c>
      <c r="D1564" s="81">
        <v>70</v>
      </c>
      <c r="E1564" s="230">
        <v>44849</v>
      </c>
      <c r="F1564" s="81">
        <v>70</v>
      </c>
      <c r="G1564" s="197">
        <f>Tabla111[[#This Row],[Importe]]-Tabla111[[#This Row],[Pagado]]</f>
        <v>0</v>
      </c>
      <c r="H1564" s="75" t="s">
        <v>10</v>
      </c>
    </row>
    <row r="1565" spans="1:8" x14ac:dyDescent="0.25">
      <c r="A1565" s="148">
        <v>44849</v>
      </c>
      <c r="B1565" s="149" t="s">
        <v>33163</v>
      </c>
      <c r="C1565" s="153" t="s">
        <v>167</v>
      </c>
      <c r="D1565" s="154">
        <v>117200.6</v>
      </c>
      <c r="E1565" s="231">
        <v>44849</v>
      </c>
      <c r="F1565" s="154">
        <v>117200.6</v>
      </c>
      <c r="G1565" s="197">
        <f>Tabla111[[#This Row],[Importe]]-Tabla111[[#This Row],[Pagado]]</f>
        <v>0</v>
      </c>
      <c r="H1565" s="153" t="s">
        <v>10</v>
      </c>
    </row>
    <row r="1566" spans="1:8" x14ac:dyDescent="0.25">
      <c r="A1566" s="73">
        <v>44849</v>
      </c>
      <c r="B1566" s="74" t="s">
        <v>33164</v>
      </c>
      <c r="C1566" s="75" t="s">
        <v>87</v>
      </c>
      <c r="D1566" s="81">
        <v>4840</v>
      </c>
      <c r="E1566" s="230">
        <v>44849</v>
      </c>
      <c r="F1566" s="81">
        <v>4840</v>
      </c>
      <c r="G1566" s="197">
        <f>Tabla111[[#This Row],[Importe]]-Tabla111[[#This Row],[Pagado]]</f>
        <v>0</v>
      </c>
      <c r="H1566" s="75" t="s">
        <v>10</v>
      </c>
    </row>
    <row r="1567" spans="1:8" x14ac:dyDescent="0.25">
      <c r="A1567" s="148">
        <v>44849</v>
      </c>
      <c r="B1567" s="149" t="s">
        <v>33165</v>
      </c>
      <c r="C1567" s="153" t="s">
        <v>161</v>
      </c>
      <c r="D1567" s="154">
        <v>4332</v>
      </c>
      <c r="E1567" s="231">
        <v>44849</v>
      </c>
      <c r="F1567" s="154">
        <v>4332</v>
      </c>
      <c r="G1567" s="197">
        <f>Tabla111[[#This Row],[Importe]]-Tabla111[[#This Row],[Pagado]]</f>
        <v>0</v>
      </c>
      <c r="H1567" s="153" t="s">
        <v>10</v>
      </c>
    </row>
    <row r="1568" spans="1:8" x14ac:dyDescent="0.25">
      <c r="A1568" s="73">
        <v>44849</v>
      </c>
      <c r="B1568" s="74" t="s">
        <v>33166</v>
      </c>
      <c r="C1568" s="75" t="s">
        <v>109</v>
      </c>
      <c r="D1568" s="81">
        <v>11765</v>
      </c>
      <c r="E1568" s="230">
        <v>44851</v>
      </c>
      <c r="F1568" s="81">
        <v>11765</v>
      </c>
      <c r="G1568" s="197">
        <f>Tabla111[[#This Row],[Importe]]-Tabla111[[#This Row],[Pagado]]</f>
        <v>0</v>
      </c>
      <c r="H1568" s="75" t="s">
        <v>10</v>
      </c>
    </row>
    <row r="1569" spans="1:8" x14ac:dyDescent="0.25">
      <c r="A1569" s="148">
        <v>44849</v>
      </c>
      <c r="B1569" s="149" t="s">
        <v>33167</v>
      </c>
      <c r="C1569" s="153" t="s">
        <v>114</v>
      </c>
      <c r="D1569" s="154">
        <v>20209</v>
      </c>
      <c r="E1569" s="231">
        <v>44851</v>
      </c>
      <c r="F1569" s="154">
        <v>20209</v>
      </c>
      <c r="G1569" s="197">
        <f>Tabla111[[#This Row],[Importe]]-Tabla111[[#This Row],[Pagado]]</f>
        <v>0</v>
      </c>
      <c r="H1569" s="153" t="s">
        <v>10</v>
      </c>
    </row>
    <row r="1570" spans="1:8" x14ac:dyDescent="0.25">
      <c r="A1570" s="73">
        <v>44849</v>
      </c>
      <c r="B1570" s="74" t="s">
        <v>33168</v>
      </c>
      <c r="C1570" s="75" t="s">
        <v>326</v>
      </c>
      <c r="D1570" s="81">
        <v>20158.8</v>
      </c>
      <c r="E1570" s="230">
        <v>44851</v>
      </c>
      <c r="F1570" s="81">
        <v>20158.8</v>
      </c>
      <c r="G1570" s="197">
        <f>Tabla111[[#This Row],[Importe]]-Tabla111[[#This Row],[Pagado]]</f>
        <v>0</v>
      </c>
      <c r="H1570" s="75" t="s">
        <v>10</v>
      </c>
    </row>
    <row r="1571" spans="1:8" x14ac:dyDescent="0.25">
      <c r="A1571" s="148">
        <v>44849</v>
      </c>
      <c r="B1571" s="149" t="s">
        <v>33169</v>
      </c>
      <c r="C1571" s="153" t="s">
        <v>120</v>
      </c>
      <c r="D1571" s="154">
        <v>834</v>
      </c>
      <c r="E1571" s="231">
        <v>44849</v>
      </c>
      <c r="F1571" s="154">
        <v>834</v>
      </c>
      <c r="G1571" s="197">
        <f>Tabla111[[#This Row],[Importe]]-Tabla111[[#This Row],[Pagado]]</f>
        <v>0</v>
      </c>
      <c r="H1571" s="153" t="s">
        <v>10</v>
      </c>
    </row>
    <row r="1572" spans="1:8" x14ac:dyDescent="0.25">
      <c r="A1572" s="73">
        <v>44849</v>
      </c>
      <c r="B1572" s="74" t="s">
        <v>33170</v>
      </c>
      <c r="C1572" s="75" t="s">
        <v>93</v>
      </c>
      <c r="D1572" s="81">
        <v>18965.400000000001</v>
      </c>
      <c r="E1572" s="230">
        <v>44851</v>
      </c>
      <c r="F1572" s="81">
        <v>18965.400000000001</v>
      </c>
      <c r="G1572" s="197">
        <f>Tabla111[[#This Row],[Importe]]-Tabla111[[#This Row],[Pagado]]</f>
        <v>0</v>
      </c>
      <c r="H1572" s="75" t="s">
        <v>10</v>
      </c>
    </row>
    <row r="1573" spans="1:8" x14ac:dyDescent="0.25">
      <c r="A1573" s="148">
        <v>44849</v>
      </c>
      <c r="B1573" s="149" t="s">
        <v>33171</v>
      </c>
      <c r="C1573" s="153" t="s">
        <v>2151</v>
      </c>
      <c r="D1573" s="154">
        <v>52537</v>
      </c>
      <c r="E1573" s="231">
        <v>44849</v>
      </c>
      <c r="F1573" s="154">
        <v>52537</v>
      </c>
      <c r="G1573" s="197">
        <f>Tabla111[[#This Row],[Importe]]-Tabla111[[#This Row],[Pagado]]</f>
        <v>0</v>
      </c>
      <c r="H1573" s="153" t="s">
        <v>10</v>
      </c>
    </row>
    <row r="1574" spans="1:8" x14ac:dyDescent="0.25">
      <c r="A1574" s="73">
        <v>44849</v>
      </c>
      <c r="B1574" s="74" t="s">
        <v>33172</v>
      </c>
      <c r="C1574" s="75" t="s">
        <v>357</v>
      </c>
      <c r="D1574" s="81">
        <v>734.7</v>
      </c>
      <c r="E1574" s="230">
        <v>44849</v>
      </c>
      <c r="F1574" s="81">
        <v>734.7</v>
      </c>
      <c r="G1574" s="197">
        <f>Tabla111[[#This Row],[Importe]]-Tabla111[[#This Row],[Pagado]]</f>
        <v>0</v>
      </c>
      <c r="H1574" s="75" t="s">
        <v>10</v>
      </c>
    </row>
    <row r="1575" spans="1:8" x14ac:dyDescent="0.25">
      <c r="A1575" s="148">
        <v>44849</v>
      </c>
      <c r="B1575" s="149" t="s">
        <v>33173</v>
      </c>
      <c r="C1575" s="153" t="s">
        <v>129</v>
      </c>
      <c r="D1575" s="154">
        <v>1741.3</v>
      </c>
      <c r="E1575" s="231">
        <v>44849</v>
      </c>
      <c r="F1575" s="154">
        <v>1741.3</v>
      </c>
      <c r="G1575" s="197">
        <f>Tabla111[[#This Row],[Importe]]-Tabla111[[#This Row],[Pagado]]</f>
        <v>0</v>
      </c>
      <c r="H1575" s="153" t="s">
        <v>10</v>
      </c>
    </row>
    <row r="1576" spans="1:8" x14ac:dyDescent="0.25">
      <c r="A1576" s="73">
        <v>44849</v>
      </c>
      <c r="B1576" s="74" t="s">
        <v>33174</v>
      </c>
      <c r="C1576" s="75" t="s">
        <v>127</v>
      </c>
      <c r="D1576" s="81">
        <v>5396</v>
      </c>
      <c r="E1576" s="230">
        <v>44849</v>
      </c>
      <c r="F1576" s="81">
        <v>5396</v>
      </c>
      <c r="G1576" s="197">
        <f>Tabla111[[#This Row],[Importe]]-Tabla111[[#This Row],[Pagado]]</f>
        <v>0</v>
      </c>
      <c r="H1576" s="75" t="s">
        <v>10</v>
      </c>
    </row>
    <row r="1577" spans="1:8" x14ac:dyDescent="0.25">
      <c r="A1577" s="148">
        <v>44849</v>
      </c>
      <c r="B1577" s="149" t="s">
        <v>33175</v>
      </c>
      <c r="C1577" s="153" t="s">
        <v>140</v>
      </c>
      <c r="D1577" s="154">
        <v>1232.4000000000001</v>
      </c>
      <c r="E1577" s="231">
        <v>44849</v>
      </c>
      <c r="F1577" s="154">
        <v>1232.4000000000001</v>
      </c>
      <c r="G1577" s="197">
        <f>Tabla111[[#This Row],[Importe]]-Tabla111[[#This Row],[Pagado]]</f>
        <v>0</v>
      </c>
      <c r="H1577" s="153" t="s">
        <v>10</v>
      </c>
    </row>
    <row r="1578" spans="1:8" x14ac:dyDescent="0.25">
      <c r="A1578" s="73">
        <v>44849</v>
      </c>
      <c r="B1578" s="74" t="s">
        <v>33176</v>
      </c>
      <c r="C1578" s="75" t="s">
        <v>31</v>
      </c>
      <c r="D1578" s="81">
        <v>2125.4</v>
      </c>
      <c r="E1578" s="230">
        <v>44849</v>
      </c>
      <c r="F1578" s="81">
        <v>2125.4</v>
      </c>
      <c r="G1578" s="197">
        <f>Tabla111[[#This Row],[Importe]]-Tabla111[[#This Row],[Pagado]]</f>
        <v>0</v>
      </c>
      <c r="H1578" s="75" t="s">
        <v>10</v>
      </c>
    </row>
    <row r="1579" spans="1:8" x14ac:dyDescent="0.25">
      <c r="A1579" s="148">
        <v>44849</v>
      </c>
      <c r="B1579" s="149" t="s">
        <v>33177</v>
      </c>
      <c r="C1579" s="153" t="s">
        <v>9415</v>
      </c>
      <c r="D1579" s="154">
        <v>28215.599999999999</v>
      </c>
      <c r="E1579" s="231">
        <v>44852</v>
      </c>
      <c r="F1579" s="154">
        <v>28215.599999999999</v>
      </c>
      <c r="G1579" s="197">
        <f>Tabla111[[#This Row],[Importe]]-Tabla111[[#This Row],[Pagado]]</f>
        <v>0</v>
      </c>
      <c r="H1579" s="153" t="s">
        <v>10</v>
      </c>
    </row>
    <row r="1580" spans="1:8" x14ac:dyDescent="0.25">
      <c r="A1580" s="73">
        <v>44849</v>
      </c>
      <c r="B1580" s="74" t="s">
        <v>33178</v>
      </c>
      <c r="C1580" s="75" t="s">
        <v>146</v>
      </c>
      <c r="D1580" s="81">
        <v>4829.8</v>
      </c>
      <c r="E1580" s="230">
        <v>44849</v>
      </c>
      <c r="F1580" s="81">
        <v>4829.8</v>
      </c>
      <c r="G1580" s="197">
        <f>Tabla111[[#This Row],[Importe]]-Tabla111[[#This Row],[Pagado]]</f>
        <v>0</v>
      </c>
      <c r="H1580" s="75" t="s">
        <v>10</v>
      </c>
    </row>
    <row r="1581" spans="1:8" x14ac:dyDescent="0.25">
      <c r="A1581" s="148">
        <v>44849</v>
      </c>
      <c r="B1581" s="149" t="s">
        <v>33179</v>
      </c>
      <c r="C1581" s="153" t="s">
        <v>17556</v>
      </c>
      <c r="D1581" s="154">
        <v>4389</v>
      </c>
      <c r="E1581" s="231">
        <v>44849</v>
      </c>
      <c r="F1581" s="154">
        <v>4389</v>
      </c>
      <c r="G1581" s="197">
        <f>Tabla111[[#This Row],[Importe]]-Tabla111[[#This Row],[Pagado]]</f>
        <v>0</v>
      </c>
      <c r="H1581" s="153" t="s">
        <v>10</v>
      </c>
    </row>
    <row r="1582" spans="1:8" x14ac:dyDescent="0.25">
      <c r="A1582" s="73">
        <v>44849</v>
      </c>
      <c r="B1582" s="74" t="s">
        <v>33180</v>
      </c>
      <c r="C1582" s="75" t="s">
        <v>33181</v>
      </c>
      <c r="D1582" s="81">
        <v>0</v>
      </c>
      <c r="E1582" s="232" t="s">
        <v>189</v>
      </c>
      <c r="F1582" s="81">
        <v>0</v>
      </c>
      <c r="G1582" s="197">
        <f>Tabla111[[#This Row],[Importe]]-Tabla111[[#This Row],[Pagado]]</f>
        <v>0</v>
      </c>
      <c r="H1582" s="75" t="s">
        <v>189</v>
      </c>
    </row>
    <row r="1583" spans="1:8" x14ac:dyDescent="0.25">
      <c r="A1583" s="148">
        <v>44849</v>
      </c>
      <c r="B1583" s="149" t="s">
        <v>33182</v>
      </c>
      <c r="C1583" s="153" t="s">
        <v>29</v>
      </c>
      <c r="D1583" s="154">
        <v>10046</v>
      </c>
      <c r="E1583" s="231">
        <v>44849</v>
      </c>
      <c r="F1583" s="154">
        <v>10046</v>
      </c>
      <c r="G1583" s="197">
        <f>Tabla111[[#This Row],[Importe]]-Tabla111[[#This Row],[Pagado]]</f>
        <v>0</v>
      </c>
      <c r="H1583" s="153" t="s">
        <v>10</v>
      </c>
    </row>
    <row r="1584" spans="1:8" x14ac:dyDescent="0.25">
      <c r="A1584" s="73">
        <v>44849</v>
      </c>
      <c r="B1584" s="74" t="s">
        <v>33183</v>
      </c>
      <c r="C1584" s="75" t="s">
        <v>1362</v>
      </c>
      <c r="D1584" s="81">
        <v>4747.8</v>
      </c>
      <c r="E1584" s="230">
        <v>44849</v>
      </c>
      <c r="F1584" s="81">
        <v>4747.8</v>
      </c>
      <c r="G1584" s="197">
        <f>Tabla111[[#This Row],[Importe]]-Tabla111[[#This Row],[Pagado]]</f>
        <v>0</v>
      </c>
      <c r="H1584" s="75" t="s">
        <v>10</v>
      </c>
    </row>
    <row r="1585" spans="1:8" x14ac:dyDescent="0.25">
      <c r="A1585" s="148">
        <v>44849</v>
      </c>
      <c r="B1585" s="149" t="s">
        <v>33184</v>
      </c>
      <c r="C1585" s="153" t="s">
        <v>348</v>
      </c>
      <c r="D1585" s="154">
        <v>5453.8</v>
      </c>
      <c r="E1585" s="231">
        <v>44849</v>
      </c>
      <c r="F1585" s="154">
        <v>5453.8</v>
      </c>
      <c r="G1585" s="197">
        <f>Tabla111[[#This Row],[Importe]]-Tabla111[[#This Row],[Pagado]]</f>
        <v>0</v>
      </c>
      <c r="H1585" s="153" t="s">
        <v>10</v>
      </c>
    </row>
    <row r="1586" spans="1:8" x14ac:dyDescent="0.25">
      <c r="A1586" s="73">
        <v>44849</v>
      </c>
      <c r="B1586" s="74" t="s">
        <v>33185</v>
      </c>
      <c r="C1586" s="75" t="s">
        <v>31</v>
      </c>
      <c r="D1586" s="81">
        <v>3555</v>
      </c>
      <c r="E1586" s="230">
        <v>44849</v>
      </c>
      <c r="F1586" s="81">
        <v>3555</v>
      </c>
      <c r="G1586" s="197">
        <f>Tabla111[[#This Row],[Importe]]-Tabla111[[#This Row],[Pagado]]</f>
        <v>0</v>
      </c>
      <c r="H1586" s="75" t="s">
        <v>10</v>
      </c>
    </row>
    <row r="1587" spans="1:8" x14ac:dyDescent="0.25">
      <c r="A1587" s="148">
        <v>44849</v>
      </c>
      <c r="B1587" s="149" t="s">
        <v>33186</v>
      </c>
      <c r="C1587" s="153" t="s">
        <v>45</v>
      </c>
      <c r="D1587" s="154">
        <v>11075.4</v>
      </c>
      <c r="E1587" s="231">
        <v>44849</v>
      </c>
      <c r="F1587" s="154">
        <v>11075.4</v>
      </c>
      <c r="G1587" s="197">
        <f>Tabla111[[#This Row],[Importe]]-Tabla111[[#This Row],[Pagado]]</f>
        <v>0</v>
      </c>
      <c r="H1587" s="153" t="s">
        <v>10</v>
      </c>
    </row>
    <row r="1588" spans="1:8" x14ac:dyDescent="0.25">
      <c r="A1588" s="73">
        <v>44849</v>
      </c>
      <c r="B1588" s="74" t="s">
        <v>33187</v>
      </c>
      <c r="C1588" s="75" t="s">
        <v>33</v>
      </c>
      <c r="D1588" s="81">
        <v>17596</v>
      </c>
      <c r="E1588" s="230">
        <v>44849</v>
      </c>
      <c r="F1588" s="81">
        <v>17596</v>
      </c>
      <c r="G1588" s="197">
        <f>Tabla111[[#This Row],[Importe]]-Tabla111[[#This Row],[Pagado]]</f>
        <v>0</v>
      </c>
      <c r="H1588" s="75" t="s">
        <v>10</v>
      </c>
    </row>
    <row r="1589" spans="1:8" x14ac:dyDescent="0.25">
      <c r="A1589" s="148">
        <v>44849</v>
      </c>
      <c r="B1589" s="149" t="s">
        <v>33188</v>
      </c>
      <c r="C1589" s="153" t="s">
        <v>518</v>
      </c>
      <c r="D1589" s="154">
        <v>1123.2</v>
      </c>
      <c r="E1589" s="231">
        <v>44849</v>
      </c>
      <c r="F1589" s="154">
        <v>1123.2</v>
      </c>
      <c r="G1589" s="197">
        <f>Tabla111[[#This Row],[Importe]]-Tabla111[[#This Row],[Pagado]]</f>
        <v>0</v>
      </c>
      <c r="H1589" s="153" t="s">
        <v>10</v>
      </c>
    </row>
    <row r="1590" spans="1:8" x14ac:dyDescent="0.25">
      <c r="A1590" s="73">
        <v>44849</v>
      </c>
      <c r="B1590" s="74" t="s">
        <v>33189</v>
      </c>
      <c r="C1590" s="75" t="s">
        <v>159</v>
      </c>
      <c r="D1590" s="81">
        <v>5681</v>
      </c>
      <c r="E1590" s="230">
        <v>44849</v>
      </c>
      <c r="F1590" s="81">
        <v>5681</v>
      </c>
      <c r="G1590" s="197">
        <f>Tabla111[[#This Row],[Importe]]-Tabla111[[#This Row],[Pagado]]</f>
        <v>0</v>
      </c>
      <c r="H1590" s="75" t="s">
        <v>10</v>
      </c>
    </row>
    <row r="1591" spans="1:8" x14ac:dyDescent="0.25">
      <c r="A1591" s="148">
        <v>44849</v>
      </c>
      <c r="B1591" s="149" t="s">
        <v>33190</v>
      </c>
      <c r="C1591" s="153" t="s">
        <v>966</v>
      </c>
      <c r="D1591" s="154">
        <v>2504.2399999999998</v>
      </c>
      <c r="E1591" s="231">
        <v>44849</v>
      </c>
      <c r="F1591" s="154">
        <v>2504.2399999999998</v>
      </c>
      <c r="G1591" s="197">
        <f>Tabla111[[#This Row],[Importe]]-Tabla111[[#This Row],[Pagado]]</f>
        <v>0</v>
      </c>
      <c r="H1591" s="153" t="s">
        <v>10</v>
      </c>
    </row>
    <row r="1592" spans="1:8" x14ac:dyDescent="0.25">
      <c r="A1592" s="73">
        <v>44849</v>
      </c>
      <c r="B1592" s="74" t="s">
        <v>33191</v>
      </c>
      <c r="C1592" s="75" t="s">
        <v>151</v>
      </c>
      <c r="D1592" s="81">
        <v>23880</v>
      </c>
      <c r="E1592" s="230">
        <v>44849</v>
      </c>
      <c r="F1592" s="81">
        <v>23880</v>
      </c>
      <c r="G1592" s="197">
        <f>Tabla111[[#This Row],[Importe]]-Tabla111[[#This Row],[Pagado]]</f>
        <v>0</v>
      </c>
      <c r="H1592" s="75" t="s">
        <v>10</v>
      </c>
    </row>
    <row r="1593" spans="1:8" x14ac:dyDescent="0.25">
      <c r="A1593" s="148">
        <v>44849</v>
      </c>
      <c r="B1593" s="149" t="s">
        <v>33192</v>
      </c>
      <c r="C1593" s="153" t="s">
        <v>520</v>
      </c>
      <c r="D1593" s="154">
        <v>9469</v>
      </c>
      <c r="E1593" s="231">
        <v>44849</v>
      </c>
      <c r="F1593" s="154">
        <v>9469</v>
      </c>
      <c r="G1593" s="197">
        <f>Tabla111[[#This Row],[Importe]]-Tabla111[[#This Row],[Pagado]]</f>
        <v>0</v>
      </c>
      <c r="H1593" s="153" t="s">
        <v>10</v>
      </c>
    </row>
    <row r="1594" spans="1:8" x14ac:dyDescent="0.25">
      <c r="A1594" s="73">
        <v>44849</v>
      </c>
      <c r="B1594" s="74" t="s">
        <v>33193</v>
      </c>
      <c r="C1594" s="75" t="s">
        <v>157</v>
      </c>
      <c r="D1594" s="81">
        <v>7390.5</v>
      </c>
      <c r="E1594" s="230">
        <v>44849</v>
      </c>
      <c r="F1594" s="81">
        <v>7390.5</v>
      </c>
      <c r="G1594" s="197">
        <f>Tabla111[[#This Row],[Importe]]-Tabla111[[#This Row],[Pagado]]</f>
        <v>0</v>
      </c>
      <c r="H1594" s="75" t="s">
        <v>10</v>
      </c>
    </row>
    <row r="1595" spans="1:8" x14ac:dyDescent="0.25">
      <c r="A1595" s="148">
        <v>44849</v>
      </c>
      <c r="B1595" s="149" t="s">
        <v>33194</v>
      </c>
      <c r="C1595" s="153" t="s">
        <v>79</v>
      </c>
      <c r="D1595" s="154">
        <v>24108.7</v>
      </c>
      <c r="E1595" s="231">
        <v>44849</v>
      </c>
      <c r="F1595" s="154">
        <v>24108.7</v>
      </c>
      <c r="G1595" s="197">
        <f>Tabla111[[#This Row],[Importe]]-Tabla111[[#This Row],[Pagado]]</f>
        <v>0</v>
      </c>
      <c r="H1595" s="153" t="s">
        <v>10</v>
      </c>
    </row>
    <row r="1596" spans="1:8" x14ac:dyDescent="0.25">
      <c r="A1596" s="73">
        <v>44849</v>
      </c>
      <c r="B1596" s="74" t="s">
        <v>33195</v>
      </c>
      <c r="C1596" s="75" t="s">
        <v>214</v>
      </c>
      <c r="D1596" s="81">
        <v>2063.6</v>
      </c>
      <c r="E1596" s="230">
        <v>44849</v>
      </c>
      <c r="F1596" s="81">
        <v>2063.6</v>
      </c>
      <c r="G1596" s="197">
        <f>Tabla111[[#This Row],[Importe]]-Tabla111[[#This Row],[Pagado]]</f>
        <v>0</v>
      </c>
      <c r="H1596" s="75" t="s">
        <v>10</v>
      </c>
    </row>
    <row r="1597" spans="1:8" x14ac:dyDescent="0.25">
      <c r="A1597" s="148">
        <v>44849</v>
      </c>
      <c r="B1597" s="149" t="s">
        <v>33196</v>
      </c>
      <c r="C1597" s="153" t="s">
        <v>400</v>
      </c>
      <c r="D1597" s="154">
        <v>665</v>
      </c>
      <c r="E1597" s="231">
        <v>44853</v>
      </c>
      <c r="F1597" s="154">
        <v>665</v>
      </c>
      <c r="G1597" s="197">
        <f>Tabla111[[#This Row],[Importe]]-Tabla111[[#This Row],[Pagado]]</f>
        <v>0</v>
      </c>
      <c r="H1597" s="153" t="s">
        <v>10</v>
      </c>
    </row>
    <row r="1598" spans="1:8" x14ac:dyDescent="0.25">
      <c r="A1598" s="73">
        <v>44849</v>
      </c>
      <c r="B1598" s="74" t="s">
        <v>33197</v>
      </c>
      <c r="C1598" s="75" t="s">
        <v>135</v>
      </c>
      <c r="D1598" s="81">
        <v>1742</v>
      </c>
      <c r="E1598" s="230">
        <v>44849</v>
      </c>
      <c r="F1598" s="81">
        <v>1742</v>
      </c>
      <c r="G1598" s="197">
        <f>Tabla111[[#This Row],[Importe]]-Tabla111[[#This Row],[Pagado]]</f>
        <v>0</v>
      </c>
      <c r="H1598" s="75" t="s">
        <v>10</v>
      </c>
    </row>
    <row r="1599" spans="1:8" x14ac:dyDescent="0.25">
      <c r="A1599" s="148">
        <v>44849</v>
      </c>
      <c r="B1599" s="149" t="s">
        <v>33198</v>
      </c>
      <c r="C1599" s="153" t="s">
        <v>698</v>
      </c>
      <c r="D1599" s="154">
        <v>7796.4</v>
      </c>
      <c r="E1599" s="231">
        <v>44849</v>
      </c>
      <c r="F1599" s="154">
        <v>7796.4</v>
      </c>
      <c r="G1599" s="197">
        <f>Tabla111[[#This Row],[Importe]]-Tabla111[[#This Row],[Pagado]]</f>
        <v>0</v>
      </c>
      <c r="H1599" s="153" t="s">
        <v>10</v>
      </c>
    </row>
    <row r="1600" spans="1:8" x14ac:dyDescent="0.25">
      <c r="A1600" s="73">
        <v>44849</v>
      </c>
      <c r="B1600" s="74" t="s">
        <v>33199</v>
      </c>
      <c r="C1600" s="75" t="s">
        <v>31</v>
      </c>
      <c r="D1600" s="81">
        <v>2354.1999999999998</v>
      </c>
      <c r="E1600" s="230">
        <v>44849</v>
      </c>
      <c r="F1600" s="81">
        <v>2354.1999999999998</v>
      </c>
      <c r="G1600" s="197">
        <f>Tabla111[[#This Row],[Importe]]-Tabla111[[#This Row],[Pagado]]</f>
        <v>0</v>
      </c>
      <c r="H1600" s="75" t="s">
        <v>10</v>
      </c>
    </row>
    <row r="1601" spans="1:8" x14ac:dyDescent="0.25">
      <c r="A1601" s="148">
        <v>44849</v>
      </c>
      <c r="B1601" s="149" t="s">
        <v>33200</v>
      </c>
      <c r="C1601" s="153" t="s">
        <v>24</v>
      </c>
      <c r="D1601" s="154">
        <v>4852.6000000000004</v>
      </c>
      <c r="E1601" s="231">
        <v>44849</v>
      </c>
      <c r="F1601" s="154">
        <v>4852.6000000000004</v>
      </c>
      <c r="G1601" s="197">
        <f>Tabla111[[#This Row],[Importe]]-Tabla111[[#This Row],[Pagado]]</f>
        <v>0</v>
      </c>
      <c r="H1601" s="153" t="s">
        <v>10</v>
      </c>
    </row>
    <row r="1602" spans="1:8" x14ac:dyDescent="0.25">
      <c r="A1602" s="73">
        <v>44849</v>
      </c>
      <c r="B1602" s="74" t="s">
        <v>33201</v>
      </c>
      <c r="C1602" s="75" t="s">
        <v>3971</v>
      </c>
      <c r="D1602" s="81">
        <v>3056.2</v>
      </c>
      <c r="E1602" s="230">
        <v>44849</v>
      </c>
      <c r="F1602" s="81">
        <v>3056.2</v>
      </c>
      <c r="G1602" s="197">
        <f>Tabla111[[#This Row],[Importe]]-Tabla111[[#This Row],[Pagado]]</f>
        <v>0</v>
      </c>
      <c r="H1602" s="75" t="s">
        <v>10</v>
      </c>
    </row>
    <row r="1603" spans="1:8" x14ac:dyDescent="0.25">
      <c r="A1603" s="148">
        <v>44849</v>
      </c>
      <c r="B1603" s="149" t="s">
        <v>33202</v>
      </c>
      <c r="C1603" s="153" t="s">
        <v>3971</v>
      </c>
      <c r="D1603" s="154">
        <v>888</v>
      </c>
      <c r="E1603" s="231">
        <v>44849</v>
      </c>
      <c r="F1603" s="154">
        <v>888</v>
      </c>
      <c r="G1603" s="197">
        <f>Tabla111[[#This Row],[Importe]]-Tabla111[[#This Row],[Pagado]]</f>
        <v>0</v>
      </c>
      <c r="H1603" s="153" t="s">
        <v>10</v>
      </c>
    </row>
    <row r="1604" spans="1:8" x14ac:dyDescent="0.25">
      <c r="A1604" s="73">
        <v>44849</v>
      </c>
      <c r="B1604" s="74" t="s">
        <v>33203</v>
      </c>
      <c r="C1604" s="75" t="s">
        <v>216</v>
      </c>
      <c r="D1604" s="81">
        <v>3033.8</v>
      </c>
      <c r="E1604" s="230">
        <v>44849</v>
      </c>
      <c r="F1604" s="81">
        <v>3033.8</v>
      </c>
      <c r="G1604" s="197">
        <f>Tabla111[[#This Row],[Importe]]-Tabla111[[#This Row],[Pagado]]</f>
        <v>0</v>
      </c>
      <c r="H1604" s="75" t="s">
        <v>10</v>
      </c>
    </row>
    <row r="1605" spans="1:8" x14ac:dyDescent="0.25">
      <c r="A1605" s="148">
        <v>44849</v>
      </c>
      <c r="B1605" s="149" t="s">
        <v>33204</v>
      </c>
      <c r="C1605" s="153" t="s">
        <v>191</v>
      </c>
      <c r="D1605" s="154">
        <v>1981.2</v>
      </c>
      <c r="E1605" s="231">
        <v>44849</v>
      </c>
      <c r="F1605" s="154">
        <v>1981.2</v>
      </c>
      <c r="G1605" s="197">
        <f>Tabla111[[#This Row],[Importe]]-Tabla111[[#This Row],[Pagado]]</f>
        <v>0</v>
      </c>
      <c r="H1605" s="153" t="s">
        <v>10</v>
      </c>
    </row>
    <row r="1606" spans="1:8" x14ac:dyDescent="0.25">
      <c r="A1606" s="73">
        <v>44849</v>
      </c>
      <c r="B1606" s="74" t="s">
        <v>33205</v>
      </c>
      <c r="C1606" s="75" t="s">
        <v>3823</v>
      </c>
      <c r="D1606" s="81">
        <v>0</v>
      </c>
      <c r="E1606" s="232" t="s">
        <v>189</v>
      </c>
      <c r="F1606" s="81">
        <v>0</v>
      </c>
      <c r="G1606" s="197">
        <f>Tabla111[[#This Row],[Importe]]-Tabla111[[#This Row],[Pagado]]</f>
        <v>0</v>
      </c>
      <c r="H1606" s="75" t="s">
        <v>189</v>
      </c>
    </row>
    <row r="1607" spans="1:8" x14ac:dyDescent="0.25">
      <c r="A1607" s="148">
        <v>44849</v>
      </c>
      <c r="B1607" s="149" t="s">
        <v>33206</v>
      </c>
      <c r="C1607" s="153" t="s">
        <v>31</v>
      </c>
      <c r="D1607" s="154">
        <v>608.29999999999995</v>
      </c>
      <c r="E1607" s="231">
        <v>44849</v>
      </c>
      <c r="F1607" s="154">
        <v>608.29999999999995</v>
      </c>
      <c r="G1607" s="197">
        <f>Tabla111[[#This Row],[Importe]]-Tabla111[[#This Row],[Pagado]]</f>
        <v>0</v>
      </c>
      <c r="H1607" s="153" t="s">
        <v>10</v>
      </c>
    </row>
    <row r="1608" spans="1:8" x14ac:dyDescent="0.25">
      <c r="A1608" s="73">
        <v>44849</v>
      </c>
      <c r="B1608" s="74" t="s">
        <v>33207</v>
      </c>
      <c r="C1608" s="75" t="s">
        <v>56</v>
      </c>
      <c r="D1608" s="81">
        <v>10321.799999999999</v>
      </c>
      <c r="E1608" s="230">
        <v>44849</v>
      </c>
      <c r="F1608" s="81">
        <v>10321.799999999999</v>
      </c>
      <c r="G1608" s="197">
        <f>Tabla111[[#This Row],[Importe]]-Tabla111[[#This Row],[Pagado]]</f>
        <v>0</v>
      </c>
      <c r="H1608" s="75" t="s">
        <v>10</v>
      </c>
    </row>
    <row r="1609" spans="1:8" x14ac:dyDescent="0.25">
      <c r="A1609" s="148">
        <v>44849</v>
      </c>
      <c r="B1609" s="149" t="s">
        <v>33208</v>
      </c>
      <c r="C1609" s="153" t="s">
        <v>58</v>
      </c>
      <c r="D1609" s="154">
        <v>2269.1999999999998</v>
      </c>
      <c r="E1609" s="231">
        <v>44849</v>
      </c>
      <c r="F1609" s="154">
        <v>2269.1999999999998</v>
      </c>
      <c r="G1609" s="197">
        <f>Tabla111[[#This Row],[Importe]]-Tabla111[[#This Row],[Pagado]]</f>
        <v>0</v>
      </c>
      <c r="H1609" s="153" t="s">
        <v>10</v>
      </c>
    </row>
    <row r="1610" spans="1:8" x14ac:dyDescent="0.25">
      <c r="A1610" s="73">
        <v>44849</v>
      </c>
      <c r="B1610" s="74" t="s">
        <v>33209</v>
      </c>
      <c r="C1610" s="75" t="s">
        <v>196</v>
      </c>
      <c r="D1610" s="81">
        <v>190601.06</v>
      </c>
      <c r="E1610" s="230">
        <v>44855</v>
      </c>
      <c r="F1610" s="81">
        <v>190601.06</v>
      </c>
      <c r="G1610" s="197">
        <f>Tabla111[[#This Row],[Importe]]-Tabla111[[#This Row],[Pagado]]</f>
        <v>0</v>
      </c>
      <c r="H1610" s="75" t="s">
        <v>10</v>
      </c>
    </row>
    <row r="1611" spans="1:8" x14ac:dyDescent="0.25">
      <c r="A1611" s="148">
        <v>44849</v>
      </c>
      <c r="B1611" s="149" t="s">
        <v>33210</v>
      </c>
      <c r="C1611" s="153" t="s">
        <v>62</v>
      </c>
      <c r="D1611" s="154">
        <v>5125.6000000000004</v>
      </c>
      <c r="E1611" s="231">
        <v>44849</v>
      </c>
      <c r="F1611" s="154">
        <v>5125.6000000000004</v>
      </c>
      <c r="G1611" s="197">
        <f>Tabla111[[#This Row],[Importe]]-Tabla111[[#This Row],[Pagado]]</f>
        <v>0</v>
      </c>
      <c r="H1611" s="153" t="s">
        <v>10</v>
      </c>
    </row>
    <row r="1612" spans="1:8" x14ac:dyDescent="0.25">
      <c r="A1612" s="73">
        <v>44849</v>
      </c>
      <c r="B1612" s="74" t="s">
        <v>33211</v>
      </c>
      <c r="C1612" s="75" t="s">
        <v>196</v>
      </c>
      <c r="D1612" s="81">
        <v>9590.4</v>
      </c>
      <c r="E1612" s="230">
        <v>44855</v>
      </c>
      <c r="F1612" s="81">
        <v>9590.4</v>
      </c>
      <c r="G1612" s="197">
        <f>Tabla111[[#This Row],[Importe]]-Tabla111[[#This Row],[Pagado]]</f>
        <v>0</v>
      </c>
      <c r="H1612" s="75" t="s">
        <v>10</v>
      </c>
    </row>
    <row r="1613" spans="1:8" x14ac:dyDescent="0.25">
      <c r="A1613" s="148">
        <v>44849</v>
      </c>
      <c r="B1613" s="149" t="s">
        <v>33212</v>
      </c>
      <c r="C1613" s="153" t="s">
        <v>31</v>
      </c>
      <c r="D1613" s="154">
        <v>1282.8</v>
      </c>
      <c r="E1613" s="231">
        <v>44849</v>
      </c>
      <c r="F1613" s="154">
        <v>1282.8</v>
      </c>
      <c r="G1613" s="197">
        <f>Tabla111[[#This Row],[Importe]]-Tabla111[[#This Row],[Pagado]]</f>
        <v>0</v>
      </c>
      <c r="H1613" s="153" t="s">
        <v>10</v>
      </c>
    </row>
    <row r="1614" spans="1:8" x14ac:dyDescent="0.25">
      <c r="A1614" s="73">
        <v>44849</v>
      </c>
      <c r="B1614" s="74" t="s">
        <v>33213</v>
      </c>
      <c r="C1614" s="75" t="s">
        <v>31</v>
      </c>
      <c r="D1614" s="81">
        <v>7688</v>
      </c>
      <c r="E1614" s="230">
        <v>44849</v>
      </c>
      <c r="F1614" s="81">
        <v>7688</v>
      </c>
      <c r="G1614" s="197">
        <f>Tabla111[[#This Row],[Importe]]-Tabla111[[#This Row],[Pagado]]</f>
        <v>0</v>
      </c>
      <c r="H1614" s="75" t="s">
        <v>10</v>
      </c>
    </row>
    <row r="1615" spans="1:8" x14ac:dyDescent="0.25">
      <c r="A1615" s="148">
        <v>44849</v>
      </c>
      <c r="B1615" s="149" t="s">
        <v>33214</v>
      </c>
      <c r="C1615" s="153" t="s">
        <v>9827</v>
      </c>
      <c r="D1615" s="154">
        <v>9740.5</v>
      </c>
      <c r="E1615" s="231">
        <v>44849</v>
      </c>
      <c r="F1615" s="154">
        <v>9740.5</v>
      </c>
      <c r="G1615" s="197">
        <f>Tabla111[[#This Row],[Importe]]-Tabla111[[#This Row],[Pagado]]</f>
        <v>0</v>
      </c>
      <c r="H1615" s="153" t="s">
        <v>10</v>
      </c>
    </row>
    <row r="1616" spans="1:8" x14ac:dyDescent="0.25">
      <c r="A1616" s="73">
        <v>44849</v>
      </c>
      <c r="B1616" s="74" t="s">
        <v>33215</v>
      </c>
      <c r="C1616" s="75" t="s">
        <v>296</v>
      </c>
      <c r="D1616" s="81">
        <v>2543.8000000000002</v>
      </c>
      <c r="E1616" s="230">
        <v>44849</v>
      </c>
      <c r="F1616" s="81">
        <v>2543.8000000000002</v>
      </c>
      <c r="G1616" s="197">
        <f>Tabla111[[#This Row],[Importe]]-Tabla111[[#This Row],[Pagado]]</f>
        <v>0</v>
      </c>
      <c r="H1616" s="75" t="s">
        <v>10</v>
      </c>
    </row>
    <row r="1617" spans="1:8" x14ac:dyDescent="0.25">
      <c r="A1617" s="148">
        <v>44849</v>
      </c>
      <c r="B1617" s="149" t="s">
        <v>33216</v>
      </c>
      <c r="C1617" s="153" t="s">
        <v>142</v>
      </c>
      <c r="D1617" s="154">
        <v>94144.84</v>
      </c>
      <c r="E1617" s="231" t="s">
        <v>35008</v>
      </c>
      <c r="F1617" s="154">
        <f>52285.55+41859.29</f>
        <v>94144.84</v>
      </c>
      <c r="G1617" s="197">
        <f>Tabla111[[#This Row],[Importe]]-Tabla111[[#This Row],[Pagado]]</f>
        <v>0</v>
      </c>
      <c r="H1617" s="153" t="s">
        <v>10</v>
      </c>
    </row>
    <row r="1618" spans="1:8" x14ac:dyDescent="0.25">
      <c r="A1618" s="73">
        <v>44849</v>
      </c>
      <c r="B1618" s="74" t="s">
        <v>33217</v>
      </c>
      <c r="C1618" s="75" t="s">
        <v>31</v>
      </c>
      <c r="D1618" s="81">
        <v>693</v>
      </c>
      <c r="E1618" s="230">
        <v>44849</v>
      </c>
      <c r="F1618" s="81">
        <v>693</v>
      </c>
      <c r="G1618" s="197">
        <f>Tabla111[[#This Row],[Importe]]-Tabla111[[#This Row],[Pagado]]</f>
        <v>0</v>
      </c>
      <c r="H1618" s="75" t="s">
        <v>10</v>
      </c>
    </row>
    <row r="1619" spans="1:8" x14ac:dyDescent="0.25">
      <c r="A1619" s="148">
        <v>44849</v>
      </c>
      <c r="B1619" s="149" t="s">
        <v>33218</v>
      </c>
      <c r="C1619" s="153" t="s">
        <v>31</v>
      </c>
      <c r="D1619" s="154">
        <v>35000.129999999997</v>
      </c>
      <c r="E1619" s="231">
        <v>44849</v>
      </c>
      <c r="F1619" s="154">
        <v>35000.129999999997</v>
      </c>
      <c r="G1619" s="197">
        <f>Tabla111[[#This Row],[Importe]]-Tabla111[[#This Row],[Pagado]]</f>
        <v>0</v>
      </c>
      <c r="H1619" s="153" t="s">
        <v>10</v>
      </c>
    </row>
    <row r="1620" spans="1:8" x14ac:dyDescent="0.25">
      <c r="A1620" s="73">
        <v>44849</v>
      </c>
      <c r="B1620" s="74" t="s">
        <v>33219</v>
      </c>
      <c r="C1620" s="75" t="s">
        <v>14</v>
      </c>
      <c r="D1620" s="81">
        <v>32610.5</v>
      </c>
      <c r="E1620" s="230">
        <v>44849</v>
      </c>
      <c r="F1620" s="81">
        <v>32610.5</v>
      </c>
      <c r="G1620" s="197">
        <f>Tabla111[[#This Row],[Importe]]-Tabla111[[#This Row],[Pagado]]</f>
        <v>0</v>
      </c>
      <c r="H1620" s="75" t="s">
        <v>10</v>
      </c>
    </row>
    <row r="1621" spans="1:8" x14ac:dyDescent="0.25">
      <c r="A1621" s="148">
        <v>44849</v>
      </c>
      <c r="B1621" s="149" t="s">
        <v>33220</v>
      </c>
      <c r="C1621" s="153" t="s">
        <v>409</v>
      </c>
      <c r="D1621" s="154">
        <v>6513.6</v>
      </c>
      <c r="E1621" s="231">
        <v>44852</v>
      </c>
      <c r="F1621" s="154">
        <v>6513.6</v>
      </c>
      <c r="G1621" s="197">
        <f>Tabla111[[#This Row],[Importe]]-Tabla111[[#This Row],[Pagado]]</f>
        <v>0</v>
      </c>
      <c r="H1621" s="153" t="s">
        <v>10</v>
      </c>
    </row>
    <row r="1622" spans="1:8" x14ac:dyDescent="0.25">
      <c r="A1622" s="73">
        <v>44849</v>
      </c>
      <c r="B1622" s="74" t="s">
        <v>33221</v>
      </c>
      <c r="C1622" s="75" t="s">
        <v>67</v>
      </c>
      <c r="D1622" s="81">
        <v>2532.6999999999998</v>
      </c>
      <c r="E1622" s="230">
        <v>44849</v>
      </c>
      <c r="F1622" s="81">
        <v>2532.6999999999998</v>
      </c>
      <c r="G1622" s="197">
        <f>Tabla111[[#This Row],[Importe]]-Tabla111[[#This Row],[Pagado]]</f>
        <v>0</v>
      </c>
      <c r="H1622" s="75" t="s">
        <v>10</v>
      </c>
    </row>
    <row r="1623" spans="1:8" x14ac:dyDescent="0.25">
      <c r="A1623" s="148">
        <v>44849</v>
      </c>
      <c r="B1623" s="149" t="s">
        <v>33222</v>
      </c>
      <c r="C1623" s="153" t="s">
        <v>181</v>
      </c>
      <c r="D1623" s="154">
        <v>19343.2</v>
      </c>
      <c r="E1623" s="231">
        <v>44849</v>
      </c>
      <c r="F1623" s="154">
        <v>19343.2</v>
      </c>
      <c r="G1623" s="197">
        <f>Tabla111[[#This Row],[Importe]]-Tabla111[[#This Row],[Pagado]]</f>
        <v>0</v>
      </c>
      <c r="H1623" s="153" t="s">
        <v>10</v>
      </c>
    </row>
    <row r="1624" spans="1:8" x14ac:dyDescent="0.25">
      <c r="A1624" s="73">
        <v>44849</v>
      </c>
      <c r="B1624" s="74" t="s">
        <v>33223</v>
      </c>
      <c r="C1624" s="75" t="s">
        <v>14</v>
      </c>
      <c r="D1624" s="81">
        <v>5032.5</v>
      </c>
      <c r="E1624" s="230">
        <v>44849</v>
      </c>
      <c r="F1624" s="81">
        <v>5032.5</v>
      </c>
      <c r="G1624" s="197">
        <f>Tabla111[[#This Row],[Importe]]-Tabla111[[#This Row],[Pagado]]</f>
        <v>0</v>
      </c>
      <c r="H1624" s="75" t="s">
        <v>10</v>
      </c>
    </row>
    <row r="1625" spans="1:8" x14ac:dyDescent="0.25">
      <c r="A1625" s="148">
        <v>44849</v>
      </c>
      <c r="B1625" s="149" t="s">
        <v>33224</v>
      </c>
      <c r="C1625" s="153" t="s">
        <v>10190</v>
      </c>
      <c r="D1625" s="154">
        <v>31494</v>
      </c>
      <c r="E1625" s="231">
        <v>44849</v>
      </c>
      <c r="F1625" s="154">
        <v>31494</v>
      </c>
      <c r="G1625" s="197">
        <f>Tabla111[[#This Row],[Importe]]-Tabla111[[#This Row],[Pagado]]</f>
        <v>0</v>
      </c>
      <c r="H1625" s="153" t="s">
        <v>10</v>
      </c>
    </row>
    <row r="1626" spans="1:8" x14ac:dyDescent="0.25">
      <c r="A1626" s="73">
        <v>44849</v>
      </c>
      <c r="B1626" s="74" t="s">
        <v>33225</v>
      </c>
      <c r="C1626" s="75" t="s">
        <v>149</v>
      </c>
      <c r="D1626" s="81">
        <v>900</v>
      </c>
      <c r="E1626" s="230">
        <v>44849</v>
      </c>
      <c r="F1626" s="81">
        <v>900</v>
      </c>
      <c r="G1626" s="197">
        <f>Tabla111[[#This Row],[Importe]]-Tabla111[[#This Row],[Pagado]]</f>
        <v>0</v>
      </c>
      <c r="H1626" s="75" t="s">
        <v>10</v>
      </c>
    </row>
    <row r="1627" spans="1:8" x14ac:dyDescent="0.25">
      <c r="A1627" s="148">
        <v>44849</v>
      </c>
      <c r="B1627" s="149" t="s">
        <v>33226</v>
      </c>
      <c r="C1627" s="153" t="s">
        <v>200</v>
      </c>
      <c r="D1627" s="154">
        <v>1570.8</v>
      </c>
      <c r="E1627" s="231">
        <v>44849</v>
      </c>
      <c r="F1627" s="154">
        <v>1570.8</v>
      </c>
      <c r="G1627" s="197">
        <f>Tabla111[[#This Row],[Importe]]-Tabla111[[#This Row],[Pagado]]</f>
        <v>0</v>
      </c>
      <c r="H1627" s="153" t="s">
        <v>10</v>
      </c>
    </row>
    <row r="1628" spans="1:8" x14ac:dyDescent="0.25">
      <c r="A1628" s="73">
        <v>44849</v>
      </c>
      <c r="B1628" s="74" t="s">
        <v>33227</v>
      </c>
      <c r="C1628" s="75" t="s">
        <v>450</v>
      </c>
      <c r="D1628" s="81">
        <v>1568.6</v>
      </c>
      <c r="E1628" s="230">
        <v>44849</v>
      </c>
      <c r="F1628" s="81">
        <v>1568.6</v>
      </c>
      <c r="G1628" s="197">
        <f>Tabla111[[#This Row],[Importe]]-Tabla111[[#This Row],[Pagado]]</f>
        <v>0</v>
      </c>
      <c r="H1628" s="75" t="s">
        <v>10</v>
      </c>
    </row>
    <row r="1629" spans="1:8" x14ac:dyDescent="0.25">
      <c r="A1629" s="148">
        <v>44849</v>
      </c>
      <c r="B1629" s="149" t="s">
        <v>33228</v>
      </c>
      <c r="C1629" s="153" t="s">
        <v>359</v>
      </c>
      <c r="D1629" s="154">
        <v>1979</v>
      </c>
      <c r="E1629" s="231">
        <v>44849</v>
      </c>
      <c r="F1629" s="154">
        <v>1979</v>
      </c>
      <c r="G1629" s="197">
        <f>Tabla111[[#This Row],[Importe]]-Tabla111[[#This Row],[Pagado]]</f>
        <v>0</v>
      </c>
      <c r="H1629" s="153" t="s">
        <v>10</v>
      </c>
    </row>
    <row r="1630" spans="1:8" x14ac:dyDescent="0.25">
      <c r="A1630" s="73">
        <v>44849</v>
      </c>
      <c r="B1630" s="74" t="s">
        <v>33229</v>
      </c>
      <c r="C1630" s="75" t="s">
        <v>107</v>
      </c>
      <c r="D1630" s="81">
        <v>33137.800000000003</v>
      </c>
      <c r="E1630" s="230">
        <v>44849</v>
      </c>
      <c r="F1630" s="81">
        <v>33137.800000000003</v>
      </c>
      <c r="G1630" s="197">
        <f>Tabla111[[#This Row],[Importe]]-Tabla111[[#This Row],[Pagado]]</f>
        <v>0</v>
      </c>
      <c r="H1630" s="75" t="s">
        <v>10</v>
      </c>
    </row>
    <row r="1631" spans="1:8" x14ac:dyDescent="0.25">
      <c r="A1631" s="148">
        <v>44849</v>
      </c>
      <c r="B1631" s="149" t="s">
        <v>33230</v>
      </c>
      <c r="C1631" s="153" t="s">
        <v>69</v>
      </c>
      <c r="D1631" s="154">
        <v>2248.4</v>
      </c>
      <c r="E1631" s="231">
        <v>44849</v>
      </c>
      <c r="F1631" s="154">
        <v>2248.4</v>
      </c>
      <c r="G1631" s="197">
        <f>Tabla111[[#This Row],[Importe]]-Tabla111[[#This Row],[Pagado]]</f>
        <v>0</v>
      </c>
      <c r="H1631" s="153" t="s">
        <v>10</v>
      </c>
    </row>
    <row r="1632" spans="1:8" x14ac:dyDescent="0.25">
      <c r="A1632" s="73">
        <v>44849</v>
      </c>
      <c r="B1632" s="74" t="s">
        <v>33231</v>
      </c>
      <c r="C1632" s="75" t="s">
        <v>31</v>
      </c>
      <c r="D1632" s="81">
        <v>910.2</v>
      </c>
      <c r="E1632" s="230">
        <v>44849</v>
      </c>
      <c r="F1632" s="81">
        <v>910.2</v>
      </c>
      <c r="G1632" s="197">
        <f>Tabla111[[#This Row],[Importe]]-Tabla111[[#This Row],[Pagado]]</f>
        <v>0</v>
      </c>
      <c r="H1632" s="75" t="s">
        <v>10</v>
      </c>
    </row>
    <row r="1633" spans="1:8" x14ac:dyDescent="0.25">
      <c r="A1633" s="148">
        <v>44849</v>
      </c>
      <c r="B1633" s="149" t="s">
        <v>33232</v>
      </c>
      <c r="C1633" s="153" t="s">
        <v>1421</v>
      </c>
      <c r="D1633" s="154">
        <v>33000</v>
      </c>
      <c r="E1633" s="231">
        <v>44849</v>
      </c>
      <c r="F1633" s="154">
        <v>33000</v>
      </c>
      <c r="G1633" s="197">
        <f>Tabla111[[#This Row],[Importe]]-Tabla111[[#This Row],[Pagado]]</f>
        <v>0</v>
      </c>
      <c r="H1633" s="153" t="s">
        <v>10</v>
      </c>
    </row>
    <row r="1634" spans="1:8" x14ac:dyDescent="0.25">
      <c r="A1634" s="73">
        <v>44849</v>
      </c>
      <c r="B1634" s="74" t="s">
        <v>33233</v>
      </c>
      <c r="C1634" s="75" t="s">
        <v>16</v>
      </c>
      <c r="D1634" s="81">
        <v>2139</v>
      </c>
      <c r="E1634" s="230">
        <v>44849</v>
      </c>
      <c r="F1634" s="81">
        <v>2139</v>
      </c>
      <c r="G1634" s="197">
        <f>Tabla111[[#This Row],[Importe]]-Tabla111[[#This Row],[Pagado]]</f>
        <v>0</v>
      </c>
      <c r="H1634" s="75" t="s">
        <v>10</v>
      </c>
    </row>
    <row r="1635" spans="1:8" x14ac:dyDescent="0.25">
      <c r="A1635" s="148">
        <v>44849</v>
      </c>
      <c r="B1635" s="149" t="s">
        <v>33234</v>
      </c>
      <c r="C1635" s="153" t="s">
        <v>463</v>
      </c>
      <c r="D1635" s="154">
        <v>550</v>
      </c>
      <c r="E1635" s="231">
        <v>44851</v>
      </c>
      <c r="F1635" s="154">
        <v>550</v>
      </c>
      <c r="G1635" s="197">
        <f>Tabla111[[#This Row],[Importe]]-Tabla111[[#This Row],[Pagado]]</f>
        <v>0</v>
      </c>
      <c r="H1635" s="153" t="s">
        <v>10</v>
      </c>
    </row>
    <row r="1636" spans="1:8" x14ac:dyDescent="0.25">
      <c r="A1636" s="73">
        <v>44849</v>
      </c>
      <c r="B1636" s="74" t="s">
        <v>33235</v>
      </c>
      <c r="C1636" s="75" t="s">
        <v>461</v>
      </c>
      <c r="D1636" s="81">
        <v>394</v>
      </c>
      <c r="E1636" s="230">
        <v>44849</v>
      </c>
      <c r="F1636" s="81">
        <v>394</v>
      </c>
      <c r="G1636" s="197">
        <f>Tabla111[[#This Row],[Importe]]-Tabla111[[#This Row],[Pagado]]</f>
        <v>0</v>
      </c>
      <c r="H1636" s="75" t="s">
        <v>10</v>
      </c>
    </row>
    <row r="1637" spans="1:8" x14ac:dyDescent="0.25">
      <c r="A1637" s="148">
        <v>44849</v>
      </c>
      <c r="B1637" s="149" t="s">
        <v>33236</v>
      </c>
      <c r="C1637" s="153" t="s">
        <v>459</v>
      </c>
      <c r="D1637" s="154">
        <v>213</v>
      </c>
      <c r="E1637" s="231">
        <v>44849</v>
      </c>
      <c r="F1637" s="154">
        <v>213</v>
      </c>
      <c r="G1637" s="197">
        <f>Tabla111[[#This Row],[Importe]]-Tabla111[[#This Row],[Pagado]]</f>
        <v>0</v>
      </c>
      <c r="H1637" s="153" t="s">
        <v>10</v>
      </c>
    </row>
    <row r="1638" spans="1:8" x14ac:dyDescent="0.25">
      <c r="A1638" s="73">
        <v>44849</v>
      </c>
      <c r="B1638" s="74" t="s">
        <v>33237</v>
      </c>
      <c r="C1638" s="75" t="s">
        <v>457</v>
      </c>
      <c r="D1638" s="81">
        <v>248</v>
      </c>
      <c r="E1638" s="230">
        <v>44849</v>
      </c>
      <c r="F1638" s="81">
        <v>248</v>
      </c>
      <c r="G1638" s="197">
        <f>Tabla111[[#This Row],[Importe]]-Tabla111[[#This Row],[Pagado]]</f>
        <v>0</v>
      </c>
      <c r="H1638" s="75" t="s">
        <v>10</v>
      </c>
    </row>
    <row r="1639" spans="1:8" x14ac:dyDescent="0.25">
      <c r="A1639" s="148">
        <v>44849</v>
      </c>
      <c r="B1639" s="149" t="s">
        <v>33238</v>
      </c>
      <c r="C1639" s="153" t="s">
        <v>31</v>
      </c>
      <c r="D1639" s="154">
        <v>5251.6</v>
      </c>
      <c r="E1639" s="231">
        <v>44849</v>
      </c>
      <c r="F1639" s="154">
        <v>5251.6</v>
      </c>
      <c r="G1639" s="197">
        <f>Tabla111[[#This Row],[Importe]]-Tabla111[[#This Row],[Pagado]]</f>
        <v>0</v>
      </c>
      <c r="H1639" s="153" t="s">
        <v>10</v>
      </c>
    </row>
    <row r="1640" spans="1:8" x14ac:dyDescent="0.25">
      <c r="A1640" s="73">
        <v>44849</v>
      </c>
      <c r="B1640" s="74" t="s">
        <v>33239</v>
      </c>
      <c r="C1640" s="75" t="s">
        <v>31</v>
      </c>
      <c r="D1640" s="81">
        <v>2154.6</v>
      </c>
      <c r="E1640" s="230">
        <v>44849</v>
      </c>
      <c r="F1640" s="81">
        <v>2154.6</v>
      </c>
      <c r="G1640" s="197">
        <f>Tabla111[[#This Row],[Importe]]-Tabla111[[#This Row],[Pagado]]</f>
        <v>0</v>
      </c>
      <c r="H1640" s="75" t="s">
        <v>10</v>
      </c>
    </row>
    <row r="1641" spans="1:8" x14ac:dyDescent="0.25">
      <c r="A1641" s="148">
        <v>44849</v>
      </c>
      <c r="B1641" s="149" t="s">
        <v>33240</v>
      </c>
      <c r="C1641" s="153" t="s">
        <v>51</v>
      </c>
      <c r="D1641" s="154">
        <v>6273</v>
      </c>
      <c r="E1641" s="231">
        <v>44849</v>
      </c>
      <c r="F1641" s="154">
        <v>6273</v>
      </c>
      <c r="G1641" s="197">
        <f>Tabla111[[#This Row],[Importe]]-Tabla111[[#This Row],[Pagado]]</f>
        <v>0</v>
      </c>
      <c r="H1641" s="153" t="s">
        <v>10</v>
      </c>
    </row>
    <row r="1642" spans="1:8" x14ac:dyDescent="0.25">
      <c r="A1642" s="73">
        <v>44849</v>
      </c>
      <c r="B1642" s="74" t="s">
        <v>33241</v>
      </c>
      <c r="C1642" s="75" t="s">
        <v>373</v>
      </c>
      <c r="D1642" s="81">
        <v>236</v>
      </c>
      <c r="E1642" s="230">
        <v>44849</v>
      </c>
      <c r="F1642" s="81">
        <v>236</v>
      </c>
      <c r="G1642" s="197">
        <f>Tabla111[[#This Row],[Importe]]-Tabla111[[#This Row],[Pagado]]</f>
        <v>0</v>
      </c>
      <c r="H1642" s="75" t="s">
        <v>10</v>
      </c>
    </row>
    <row r="1643" spans="1:8" x14ac:dyDescent="0.25">
      <c r="A1643" s="148">
        <v>44849</v>
      </c>
      <c r="B1643" s="149" t="s">
        <v>33242</v>
      </c>
      <c r="C1643" s="153" t="s">
        <v>296</v>
      </c>
      <c r="D1643" s="154">
        <v>1260.9000000000001</v>
      </c>
      <c r="E1643" s="231">
        <v>44849</v>
      </c>
      <c r="F1643" s="154">
        <v>1260.9000000000001</v>
      </c>
      <c r="G1643" s="197">
        <f>Tabla111[[#This Row],[Importe]]-Tabla111[[#This Row],[Pagado]]</f>
        <v>0</v>
      </c>
      <c r="H1643" s="153" t="s">
        <v>10</v>
      </c>
    </row>
    <row r="1644" spans="1:8" x14ac:dyDescent="0.25">
      <c r="A1644" s="73">
        <v>44849</v>
      </c>
      <c r="B1644" s="74" t="s">
        <v>33243</v>
      </c>
      <c r="C1644" s="75" t="s">
        <v>9993</v>
      </c>
      <c r="D1644" s="81">
        <v>49392</v>
      </c>
      <c r="E1644" s="230">
        <v>44849</v>
      </c>
      <c r="F1644" s="81">
        <v>49392</v>
      </c>
      <c r="G1644" s="197">
        <f>Tabla111[[#This Row],[Importe]]-Tabla111[[#This Row],[Pagado]]</f>
        <v>0</v>
      </c>
      <c r="H1644" s="75" t="s">
        <v>10</v>
      </c>
    </row>
    <row r="1645" spans="1:8" x14ac:dyDescent="0.25">
      <c r="A1645" s="148">
        <v>44849</v>
      </c>
      <c r="B1645" s="149" t="s">
        <v>33244</v>
      </c>
      <c r="C1645" s="153" t="s">
        <v>31</v>
      </c>
      <c r="D1645" s="154">
        <v>432.9</v>
      </c>
      <c r="E1645" s="231">
        <v>44849</v>
      </c>
      <c r="F1645" s="154">
        <v>432.9</v>
      </c>
      <c r="G1645" s="197">
        <f>Tabla111[[#This Row],[Importe]]-Tabla111[[#This Row],[Pagado]]</f>
        <v>0</v>
      </c>
      <c r="H1645" s="153" t="s">
        <v>10</v>
      </c>
    </row>
    <row r="1646" spans="1:8" x14ac:dyDescent="0.25">
      <c r="A1646" s="73">
        <v>44849</v>
      </c>
      <c r="B1646" s="74" t="s">
        <v>33245</v>
      </c>
      <c r="C1646" s="75" t="s">
        <v>450</v>
      </c>
      <c r="D1646" s="81">
        <v>649.6</v>
      </c>
      <c r="E1646" s="230">
        <v>44849</v>
      </c>
      <c r="F1646" s="81">
        <v>649.6</v>
      </c>
      <c r="G1646" s="197">
        <f>Tabla111[[#This Row],[Importe]]-Tabla111[[#This Row],[Pagado]]</f>
        <v>0</v>
      </c>
      <c r="H1646" s="75" t="s">
        <v>10</v>
      </c>
    </row>
    <row r="1647" spans="1:8" x14ac:dyDescent="0.25">
      <c r="A1647" s="148">
        <v>44849</v>
      </c>
      <c r="B1647" s="149" t="s">
        <v>33246</v>
      </c>
      <c r="C1647" s="153" t="s">
        <v>28087</v>
      </c>
      <c r="D1647" s="154">
        <v>196524.73</v>
      </c>
      <c r="E1647" s="231">
        <v>44851</v>
      </c>
      <c r="F1647" s="154">
        <v>196524.73</v>
      </c>
      <c r="G1647" s="197">
        <f>Tabla111[[#This Row],[Importe]]-Tabla111[[#This Row],[Pagado]]</f>
        <v>0</v>
      </c>
      <c r="H1647" s="153" t="s">
        <v>10</v>
      </c>
    </row>
    <row r="1648" spans="1:8" x14ac:dyDescent="0.25">
      <c r="A1648" s="73">
        <v>44849</v>
      </c>
      <c r="B1648" s="74" t="s">
        <v>33247</v>
      </c>
      <c r="C1648" s="75" t="s">
        <v>284</v>
      </c>
      <c r="D1648" s="81">
        <v>13398</v>
      </c>
      <c r="E1648" s="230">
        <v>44851</v>
      </c>
      <c r="F1648" s="81">
        <v>13398</v>
      </c>
      <c r="G1648" s="197">
        <f>Tabla111[[#This Row],[Importe]]-Tabla111[[#This Row],[Pagado]]</f>
        <v>0</v>
      </c>
      <c r="H1648" s="75" t="s">
        <v>10</v>
      </c>
    </row>
    <row r="1649" spans="1:8" x14ac:dyDescent="0.25">
      <c r="A1649" s="148">
        <v>44849</v>
      </c>
      <c r="B1649" s="149" t="s">
        <v>33248</v>
      </c>
      <c r="C1649" s="153" t="s">
        <v>280</v>
      </c>
      <c r="D1649" s="154">
        <v>2117.5</v>
      </c>
      <c r="E1649" s="231">
        <v>44851</v>
      </c>
      <c r="F1649" s="154">
        <v>2117.5</v>
      </c>
      <c r="G1649" s="197">
        <f>Tabla111[[#This Row],[Importe]]-Tabla111[[#This Row],[Pagado]]</f>
        <v>0</v>
      </c>
      <c r="H1649" s="153" t="s">
        <v>10</v>
      </c>
    </row>
    <row r="1650" spans="1:8" x14ac:dyDescent="0.25">
      <c r="A1650" s="73">
        <v>44849</v>
      </c>
      <c r="B1650" s="74" t="s">
        <v>33249</v>
      </c>
      <c r="C1650" s="75" t="s">
        <v>5345</v>
      </c>
      <c r="D1650" s="81">
        <v>3449.6</v>
      </c>
      <c r="E1650" s="230">
        <v>44851</v>
      </c>
      <c r="F1650" s="81">
        <v>3449.6</v>
      </c>
      <c r="G1650" s="197">
        <f>Tabla111[[#This Row],[Importe]]-Tabla111[[#This Row],[Pagado]]</f>
        <v>0</v>
      </c>
      <c r="H1650" s="75" t="s">
        <v>10</v>
      </c>
    </row>
    <row r="1651" spans="1:8" x14ac:dyDescent="0.25">
      <c r="A1651" s="148">
        <v>44849</v>
      </c>
      <c r="B1651" s="149" t="s">
        <v>33250</v>
      </c>
      <c r="C1651" s="153" t="s">
        <v>10819</v>
      </c>
      <c r="D1651" s="154">
        <v>3357.2</v>
      </c>
      <c r="E1651" s="231">
        <v>44851</v>
      </c>
      <c r="F1651" s="154">
        <v>3357.2</v>
      </c>
      <c r="G1651" s="197">
        <f>Tabla111[[#This Row],[Importe]]-Tabla111[[#This Row],[Pagado]]</f>
        <v>0</v>
      </c>
      <c r="H1651" s="153" t="s">
        <v>10</v>
      </c>
    </row>
    <row r="1652" spans="1:8" x14ac:dyDescent="0.25">
      <c r="A1652" s="73">
        <v>44849</v>
      </c>
      <c r="B1652" s="74" t="s">
        <v>33251</v>
      </c>
      <c r="C1652" s="75" t="s">
        <v>282</v>
      </c>
      <c r="D1652" s="81">
        <v>2533.3000000000002</v>
      </c>
      <c r="E1652" s="230">
        <v>44851</v>
      </c>
      <c r="F1652" s="81">
        <v>2533.3000000000002</v>
      </c>
      <c r="G1652" s="197">
        <f>Tabla111[[#This Row],[Importe]]-Tabla111[[#This Row],[Pagado]]</f>
        <v>0</v>
      </c>
      <c r="H1652" s="75" t="s">
        <v>10</v>
      </c>
    </row>
    <row r="1653" spans="1:8" x14ac:dyDescent="0.25">
      <c r="A1653" s="148">
        <v>44849</v>
      </c>
      <c r="B1653" s="149" t="s">
        <v>33252</v>
      </c>
      <c r="C1653" s="153" t="s">
        <v>53</v>
      </c>
      <c r="D1653" s="154">
        <v>70</v>
      </c>
      <c r="E1653" s="231">
        <v>44849</v>
      </c>
      <c r="F1653" s="154">
        <v>70</v>
      </c>
      <c r="G1653" s="197">
        <f>Tabla111[[#This Row],[Importe]]-Tabla111[[#This Row],[Pagado]]</f>
        <v>0</v>
      </c>
      <c r="H1653" s="153" t="s">
        <v>10</v>
      </c>
    </row>
    <row r="1654" spans="1:8" x14ac:dyDescent="0.25">
      <c r="A1654" s="73">
        <v>44849</v>
      </c>
      <c r="B1654" s="74" t="s">
        <v>33253</v>
      </c>
      <c r="C1654" s="75" t="s">
        <v>35</v>
      </c>
      <c r="D1654" s="81">
        <v>4188.3999999999996</v>
      </c>
      <c r="E1654" s="230">
        <v>44849</v>
      </c>
      <c r="F1654" s="81">
        <v>4188.3999999999996</v>
      </c>
      <c r="G1654" s="197">
        <f>Tabla111[[#This Row],[Importe]]-Tabla111[[#This Row],[Pagado]]</f>
        <v>0</v>
      </c>
      <c r="H1654" s="75" t="s">
        <v>10</v>
      </c>
    </row>
    <row r="1655" spans="1:8" x14ac:dyDescent="0.25">
      <c r="A1655" s="148">
        <v>44849</v>
      </c>
      <c r="B1655" s="149" t="s">
        <v>33254</v>
      </c>
      <c r="C1655" s="153" t="s">
        <v>31</v>
      </c>
      <c r="D1655" s="154">
        <v>979.6</v>
      </c>
      <c r="E1655" s="231">
        <v>44849</v>
      </c>
      <c r="F1655" s="154">
        <v>979.6</v>
      </c>
      <c r="G1655" s="197">
        <f>Tabla111[[#This Row],[Importe]]-Tabla111[[#This Row],[Pagado]]</f>
        <v>0</v>
      </c>
      <c r="H1655" s="153" t="s">
        <v>10</v>
      </c>
    </row>
    <row r="1656" spans="1:8" x14ac:dyDescent="0.25">
      <c r="A1656" s="73">
        <v>44849</v>
      </c>
      <c r="B1656" s="74" t="s">
        <v>33255</v>
      </c>
      <c r="C1656" s="75" t="s">
        <v>296</v>
      </c>
      <c r="D1656" s="81">
        <v>2329.6</v>
      </c>
      <c r="E1656" s="230">
        <v>44849</v>
      </c>
      <c r="F1656" s="81">
        <v>2329.6</v>
      </c>
      <c r="G1656" s="197">
        <f>Tabla111[[#This Row],[Importe]]-Tabla111[[#This Row],[Pagado]]</f>
        <v>0</v>
      </c>
      <c r="H1656" s="75" t="s">
        <v>10</v>
      </c>
    </row>
    <row r="1657" spans="1:8" x14ac:dyDescent="0.25">
      <c r="A1657" s="148">
        <v>44849</v>
      </c>
      <c r="B1657" s="149" t="s">
        <v>33256</v>
      </c>
      <c r="C1657" s="153" t="s">
        <v>31</v>
      </c>
      <c r="D1657" s="154">
        <v>503.2</v>
      </c>
      <c r="E1657" s="231">
        <v>44849</v>
      </c>
      <c r="F1657" s="154">
        <v>503.2</v>
      </c>
      <c r="G1657" s="197">
        <f>Tabla111[[#This Row],[Importe]]-Tabla111[[#This Row],[Pagado]]</f>
        <v>0</v>
      </c>
      <c r="H1657" s="153" t="s">
        <v>10</v>
      </c>
    </row>
    <row r="1658" spans="1:8" x14ac:dyDescent="0.25">
      <c r="A1658" s="73">
        <v>44849</v>
      </c>
      <c r="B1658" s="74" t="s">
        <v>33257</v>
      </c>
      <c r="C1658" s="75" t="s">
        <v>857</v>
      </c>
      <c r="D1658" s="81">
        <v>1258.7</v>
      </c>
      <c r="E1658" s="230">
        <v>44849</v>
      </c>
      <c r="F1658" s="81">
        <v>1258.7</v>
      </c>
      <c r="G1658" s="197">
        <f>Tabla111[[#This Row],[Importe]]-Tabla111[[#This Row],[Pagado]]</f>
        <v>0</v>
      </c>
      <c r="H1658" s="75" t="s">
        <v>10</v>
      </c>
    </row>
    <row r="1659" spans="1:8" x14ac:dyDescent="0.25">
      <c r="A1659" s="148">
        <v>44849</v>
      </c>
      <c r="B1659" s="149" t="s">
        <v>33258</v>
      </c>
      <c r="C1659" s="153" t="s">
        <v>28087</v>
      </c>
      <c r="D1659" s="154">
        <v>58798.2</v>
      </c>
      <c r="E1659" s="231">
        <v>44851</v>
      </c>
      <c r="F1659" s="154">
        <v>58798.2</v>
      </c>
      <c r="G1659" s="197">
        <f>Tabla111[[#This Row],[Importe]]-Tabla111[[#This Row],[Pagado]]</f>
        <v>0</v>
      </c>
      <c r="H1659" s="153" t="s">
        <v>10</v>
      </c>
    </row>
    <row r="1660" spans="1:8" x14ac:dyDescent="0.25">
      <c r="A1660" s="73">
        <v>44849</v>
      </c>
      <c r="B1660" s="74" t="s">
        <v>33259</v>
      </c>
      <c r="C1660" s="75" t="s">
        <v>5694</v>
      </c>
      <c r="D1660" s="81">
        <v>1400</v>
      </c>
      <c r="E1660" s="230">
        <v>44849</v>
      </c>
      <c r="F1660" s="81">
        <v>1400</v>
      </c>
      <c r="G1660" s="197">
        <f>Tabla111[[#This Row],[Importe]]-Tabla111[[#This Row],[Pagado]]</f>
        <v>0</v>
      </c>
      <c r="H1660" s="75" t="s">
        <v>10</v>
      </c>
    </row>
    <row r="1661" spans="1:8" x14ac:dyDescent="0.25">
      <c r="A1661" s="148">
        <v>44849</v>
      </c>
      <c r="B1661" s="149" t="s">
        <v>33260</v>
      </c>
      <c r="C1661" s="153" t="s">
        <v>31</v>
      </c>
      <c r="D1661" s="154">
        <v>662.2</v>
      </c>
      <c r="E1661" s="231">
        <v>44849</v>
      </c>
      <c r="F1661" s="154">
        <v>662.2</v>
      </c>
      <c r="G1661" s="197">
        <f>Tabla111[[#This Row],[Importe]]-Tabla111[[#This Row],[Pagado]]</f>
        <v>0</v>
      </c>
      <c r="H1661" s="153" t="s">
        <v>10</v>
      </c>
    </row>
    <row r="1662" spans="1:8" x14ac:dyDescent="0.25">
      <c r="A1662" s="73">
        <v>44849</v>
      </c>
      <c r="B1662" s="74" t="s">
        <v>33261</v>
      </c>
      <c r="C1662" s="75" t="s">
        <v>8190</v>
      </c>
      <c r="D1662" s="81">
        <v>3489.1</v>
      </c>
      <c r="E1662" s="230">
        <v>44849</v>
      </c>
      <c r="F1662" s="81">
        <v>3489.1</v>
      </c>
      <c r="G1662" s="197">
        <f>Tabla111[[#This Row],[Importe]]-Tabla111[[#This Row],[Pagado]]</f>
        <v>0</v>
      </c>
      <c r="H1662" s="75" t="s">
        <v>10</v>
      </c>
    </row>
    <row r="1663" spans="1:8" x14ac:dyDescent="0.25">
      <c r="A1663" s="148">
        <v>44849</v>
      </c>
      <c r="B1663" s="149" t="s">
        <v>33262</v>
      </c>
      <c r="C1663" s="153" t="s">
        <v>27857</v>
      </c>
      <c r="D1663" s="154">
        <v>0</v>
      </c>
      <c r="E1663" s="233" t="s">
        <v>189</v>
      </c>
      <c r="F1663" s="154">
        <v>0</v>
      </c>
      <c r="G1663" s="197">
        <f>Tabla111[[#This Row],[Importe]]-Tabla111[[#This Row],[Pagado]]</f>
        <v>0</v>
      </c>
      <c r="H1663" s="159" t="s">
        <v>33263</v>
      </c>
    </row>
    <row r="1664" spans="1:8" x14ac:dyDescent="0.25">
      <c r="A1664" s="73">
        <v>44849</v>
      </c>
      <c r="B1664" s="74" t="s">
        <v>33264</v>
      </c>
      <c r="C1664" s="75" t="s">
        <v>224</v>
      </c>
      <c r="D1664" s="81">
        <v>2125.8000000000002</v>
      </c>
      <c r="E1664" s="230">
        <v>44849</v>
      </c>
      <c r="F1664" s="81">
        <v>2125.8000000000002</v>
      </c>
      <c r="G1664" s="197">
        <f>Tabla111[[#This Row],[Importe]]-Tabla111[[#This Row],[Pagado]]</f>
        <v>0</v>
      </c>
      <c r="H1664" s="75" t="s">
        <v>10</v>
      </c>
    </row>
    <row r="1665" spans="1:8" x14ac:dyDescent="0.25">
      <c r="A1665" s="148">
        <v>44849</v>
      </c>
      <c r="B1665" s="149" t="s">
        <v>33265</v>
      </c>
      <c r="C1665" s="153" t="s">
        <v>167</v>
      </c>
      <c r="D1665" s="154">
        <v>95265</v>
      </c>
      <c r="E1665" s="231">
        <v>44849</v>
      </c>
      <c r="F1665" s="154">
        <v>95265</v>
      </c>
      <c r="G1665" s="197">
        <f>Tabla111[[#This Row],[Importe]]-Tabla111[[#This Row],[Pagado]]</f>
        <v>0</v>
      </c>
      <c r="H1665" s="153" t="s">
        <v>10</v>
      </c>
    </row>
    <row r="1666" spans="1:8" x14ac:dyDescent="0.25">
      <c r="A1666" s="73">
        <v>44850</v>
      </c>
      <c r="B1666" s="74" t="s">
        <v>33266</v>
      </c>
      <c r="C1666" s="75" t="s">
        <v>28087</v>
      </c>
      <c r="D1666" s="81">
        <v>56012.24</v>
      </c>
      <c r="E1666" s="230">
        <v>44851</v>
      </c>
      <c r="F1666" s="81">
        <v>56012.24</v>
      </c>
      <c r="G1666" s="197">
        <f>Tabla111[[#This Row],[Importe]]-Tabla111[[#This Row],[Pagado]]</f>
        <v>0</v>
      </c>
      <c r="H1666" s="75" t="s">
        <v>10</v>
      </c>
    </row>
    <row r="1667" spans="1:8" x14ac:dyDescent="0.25">
      <c r="A1667" s="148">
        <v>44850</v>
      </c>
      <c r="B1667" s="149" t="s">
        <v>33267</v>
      </c>
      <c r="C1667" s="153" t="s">
        <v>481</v>
      </c>
      <c r="D1667" s="154">
        <v>779</v>
      </c>
      <c r="E1667" s="231">
        <v>44850</v>
      </c>
      <c r="F1667" s="154">
        <v>779</v>
      </c>
      <c r="G1667" s="197">
        <f>Tabla111[[#This Row],[Importe]]-Tabla111[[#This Row],[Pagado]]</f>
        <v>0</v>
      </c>
      <c r="H1667" s="153" t="s">
        <v>10</v>
      </c>
    </row>
    <row r="1668" spans="1:8" x14ac:dyDescent="0.25">
      <c r="A1668" s="73">
        <v>44850</v>
      </c>
      <c r="B1668" s="74" t="s">
        <v>33268</v>
      </c>
      <c r="C1668" s="75" t="s">
        <v>12</v>
      </c>
      <c r="D1668" s="81">
        <v>28479.9</v>
      </c>
      <c r="E1668" s="230">
        <v>44850</v>
      </c>
      <c r="F1668" s="81">
        <v>28479.9</v>
      </c>
      <c r="G1668" s="197">
        <f>Tabla111[[#This Row],[Importe]]-Tabla111[[#This Row],[Pagado]]</f>
        <v>0</v>
      </c>
      <c r="H1668" s="75" t="s">
        <v>10</v>
      </c>
    </row>
    <row r="1669" spans="1:8" x14ac:dyDescent="0.25">
      <c r="A1669" s="148">
        <v>44850</v>
      </c>
      <c r="B1669" s="149" t="s">
        <v>33269</v>
      </c>
      <c r="C1669" s="153" t="s">
        <v>20</v>
      </c>
      <c r="D1669" s="154">
        <v>12988.8</v>
      </c>
      <c r="E1669" s="231">
        <v>44850</v>
      </c>
      <c r="F1669" s="154">
        <v>12988.8</v>
      </c>
      <c r="G1669" s="197">
        <f>Tabla111[[#This Row],[Importe]]-Tabla111[[#This Row],[Pagado]]</f>
        <v>0</v>
      </c>
      <c r="H1669" s="153" t="s">
        <v>10</v>
      </c>
    </row>
    <row r="1670" spans="1:8" x14ac:dyDescent="0.25">
      <c r="A1670" s="73">
        <v>44850</v>
      </c>
      <c r="B1670" s="74" t="s">
        <v>33270</v>
      </c>
      <c r="C1670" s="75" t="s">
        <v>20</v>
      </c>
      <c r="D1670" s="81">
        <v>3515.4</v>
      </c>
      <c r="E1670" s="230">
        <v>44850</v>
      </c>
      <c r="F1670" s="81">
        <v>3515.4</v>
      </c>
      <c r="G1670" s="197">
        <f>Tabla111[[#This Row],[Importe]]-Tabla111[[#This Row],[Pagado]]</f>
        <v>0</v>
      </c>
      <c r="H1670" s="75" t="s">
        <v>10</v>
      </c>
    </row>
    <row r="1671" spans="1:8" x14ac:dyDescent="0.25">
      <c r="A1671" s="148">
        <v>44850</v>
      </c>
      <c r="B1671" s="149" t="s">
        <v>33271</v>
      </c>
      <c r="C1671" s="153" t="s">
        <v>9</v>
      </c>
      <c r="D1671" s="154">
        <v>9197.4</v>
      </c>
      <c r="E1671" s="231">
        <v>44850</v>
      </c>
      <c r="F1671" s="154">
        <v>9197.4</v>
      </c>
      <c r="G1671" s="197">
        <f>Tabla111[[#This Row],[Importe]]-Tabla111[[#This Row],[Pagado]]</f>
        <v>0</v>
      </c>
      <c r="H1671" s="153" t="s">
        <v>10</v>
      </c>
    </row>
    <row r="1672" spans="1:8" x14ac:dyDescent="0.25">
      <c r="A1672" s="73">
        <v>44850</v>
      </c>
      <c r="B1672" s="74" t="s">
        <v>33272</v>
      </c>
      <c r="C1672" s="75" t="s">
        <v>475</v>
      </c>
      <c r="D1672" s="81">
        <v>49774.3</v>
      </c>
      <c r="E1672" s="230">
        <v>44851</v>
      </c>
      <c r="F1672" s="81">
        <v>49774.3</v>
      </c>
      <c r="G1672" s="197">
        <f>Tabla111[[#This Row],[Importe]]-Tabla111[[#This Row],[Pagado]]</f>
        <v>0</v>
      </c>
      <c r="H1672" s="75" t="s">
        <v>10</v>
      </c>
    </row>
    <row r="1673" spans="1:8" x14ac:dyDescent="0.25">
      <c r="A1673" s="148">
        <v>44850</v>
      </c>
      <c r="B1673" s="149" t="s">
        <v>33273</v>
      </c>
      <c r="C1673" s="153" t="s">
        <v>1187</v>
      </c>
      <c r="D1673" s="154">
        <v>1073.8</v>
      </c>
      <c r="E1673" s="231">
        <v>44850</v>
      </c>
      <c r="F1673" s="154">
        <v>1073.8</v>
      </c>
      <c r="G1673" s="197">
        <f>Tabla111[[#This Row],[Importe]]-Tabla111[[#This Row],[Pagado]]</f>
        <v>0</v>
      </c>
      <c r="H1673" s="153" t="s">
        <v>10</v>
      </c>
    </row>
    <row r="1674" spans="1:8" x14ac:dyDescent="0.25">
      <c r="A1674" s="73">
        <v>44850</v>
      </c>
      <c r="B1674" s="74" t="s">
        <v>33274</v>
      </c>
      <c r="C1674" s="75" t="s">
        <v>27</v>
      </c>
      <c r="D1674" s="81">
        <v>2633</v>
      </c>
      <c r="E1674" s="230">
        <v>44850</v>
      </c>
      <c r="F1674" s="81">
        <v>2633</v>
      </c>
      <c r="G1674" s="197">
        <f>Tabla111[[#This Row],[Importe]]-Tabla111[[#This Row],[Pagado]]</f>
        <v>0</v>
      </c>
      <c r="H1674" s="75" t="s">
        <v>10</v>
      </c>
    </row>
    <row r="1675" spans="1:8" x14ac:dyDescent="0.25">
      <c r="A1675" s="148">
        <v>44850</v>
      </c>
      <c r="B1675" s="149" t="s">
        <v>33275</v>
      </c>
      <c r="C1675" s="153" t="s">
        <v>29</v>
      </c>
      <c r="D1675" s="154">
        <v>11704</v>
      </c>
      <c r="E1675" s="231">
        <v>44850</v>
      </c>
      <c r="F1675" s="154">
        <v>11704</v>
      </c>
      <c r="G1675" s="197">
        <f>Tabla111[[#This Row],[Importe]]-Tabla111[[#This Row],[Pagado]]</f>
        <v>0</v>
      </c>
      <c r="H1675" s="153" t="s">
        <v>10</v>
      </c>
    </row>
    <row r="1676" spans="1:8" x14ac:dyDescent="0.25">
      <c r="A1676" s="73">
        <v>44850</v>
      </c>
      <c r="B1676" s="74" t="s">
        <v>33276</v>
      </c>
      <c r="C1676" s="75" t="s">
        <v>16</v>
      </c>
      <c r="D1676" s="81">
        <v>11512.8</v>
      </c>
      <c r="E1676" s="230">
        <v>44850</v>
      </c>
      <c r="F1676" s="81">
        <v>11512.8</v>
      </c>
      <c r="G1676" s="197">
        <f>Tabla111[[#This Row],[Importe]]-Tabla111[[#This Row],[Pagado]]</f>
        <v>0</v>
      </c>
      <c r="H1676" s="75" t="s">
        <v>10</v>
      </c>
    </row>
    <row r="1677" spans="1:8" x14ac:dyDescent="0.25">
      <c r="A1677" s="148">
        <v>44850</v>
      </c>
      <c r="B1677" s="149" t="s">
        <v>33277</v>
      </c>
      <c r="C1677" s="153" t="s">
        <v>365</v>
      </c>
      <c r="D1677" s="154">
        <v>992</v>
      </c>
      <c r="E1677" s="231">
        <v>44850</v>
      </c>
      <c r="F1677" s="154">
        <v>992</v>
      </c>
      <c r="G1677" s="197">
        <f>Tabla111[[#This Row],[Importe]]-Tabla111[[#This Row],[Pagado]]</f>
        <v>0</v>
      </c>
      <c r="H1677" s="153" t="s">
        <v>10</v>
      </c>
    </row>
    <row r="1678" spans="1:8" x14ac:dyDescent="0.25">
      <c r="A1678" s="73">
        <v>44850</v>
      </c>
      <c r="B1678" s="74" t="s">
        <v>33278</v>
      </c>
      <c r="C1678" s="75" t="s">
        <v>22</v>
      </c>
      <c r="D1678" s="81">
        <v>72251.899999999994</v>
      </c>
      <c r="E1678" s="230" t="s">
        <v>33279</v>
      </c>
      <c r="F1678" s="81">
        <f>50000+22251.9</f>
        <v>72251.899999999994</v>
      </c>
      <c r="G1678" s="197">
        <f>Tabla111[[#This Row],[Importe]]-Tabla111[[#This Row],[Pagado]]</f>
        <v>0</v>
      </c>
      <c r="H1678" s="75" t="s">
        <v>10</v>
      </c>
    </row>
    <row r="1679" spans="1:8" x14ac:dyDescent="0.25">
      <c r="A1679" s="148">
        <v>44850</v>
      </c>
      <c r="B1679" s="149" t="s">
        <v>33280</v>
      </c>
      <c r="C1679" s="153" t="s">
        <v>348</v>
      </c>
      <c r="D1679" s="154">
        <v>4721.3999999999996</v>
      </c>
      <c r="E1679" s="231">
        <v>44850</v>
      </c>
      <c r="F1679" s="154">
        <v>4721.3999999999996</v>
      </c>
      <c r="G1679" s="197">
        <f>Tabla111[[#This Row],[Importe]]-Tabla111[[#This Row],[Pagado]]</f>
        <v>0</v>
      </c>
      <c r="H1679" s="153" t="s">
        <v>10</v>
      </c>
    </row>
    <row r="1680" spans="1:8" x14ac:dyDescent="0.25">
      <c r="A1680" s="73">
        <v>44850</v>
      </c>
      <c r="B1680" s="74" t="s">
        <v>33281</v>
      </c>
      <c r="C1680" s="75" t="s">
        <v>37</v>
      </c>
      <c r="D1680" s="81">
        <v>4237.1000000000004</v>
      </c>
      <c r="E1680" s="230">
        <v>44850</v>
      </c>
      <c r="F1680" s="81">
        <v>4237.1000000000004</v>
      </c>
      <c r="G1680" s="197">
        <f>Tabla111[[#This Row],[Importe]]-Tabla111[[#This Row],[Pagado]]</f>
        <v>0</v>
      </c>
      <c r="H1680" s="75" t="s">
        <v>10</v>
      </c>
    </row>
    <row r="1681" spans="1:8" x14ac:dyDescent="0.25">
      <c r="A1681" s="148">
        <v>44850</v>
      </c>
      <c r="B1681" s="149" t="s">
        <v>33282</v>
      </c>
      <c r="C1681" s="153" t="s">
        <v>21812</v>
      </c>
      <c r="D1681" s="154">
        <v>1867.5</v>
      </c>
      <c r="E1681" s="231">
        <v>44850</v>
      </c>
      <c r="F1681" s="154">
        <v>1867.5</v>
      </c>
      <c r="G1681" s="197">
        <f>Tabla111[[#This Row],[Importe]]-Tabla111[[#This Row],[Pagado]]</f>
        <v>0</v>
      </c>
      <c r="H1681" s="153" t="s">
        <v>10</v>
      </c>
    </row>
    <row r="1682" spans="1:8" x14ac:dyDescent="0.25">
      <c r="A1682" s="73">
        <v>44850</v>
      </c>
      <c r="B1682" s="74" t="s">
        <v>33283</v>
      </c>
      <c r="C1682" s="75" t="s">
        <v>31</v>
      </c>
      <c r="D1682" s="81">
        <v>706.8</v>
      </c>
      <c r="E1682" s="230">
        <v>44850</v>
      </c>
      <c r="F1682" s="81">
        <v>706.8</v>
      </c>
      <c r="G1682" s="197">
        <f>Tabla111[[#This Row],[Importe]]-Tabla111[[#This Row],[Pagado]]</f>
        <v>0</v>
      </c>
      <c r="H1682" s="75" t="s">
        <v>10</v>
      </c>
    </row>
    <row r="1683" spans="1:8" x14ac:dyDescent="0.25">
      <c r="A1683" s="148">
        <v>44850</v>
      </c>
      <c r="B1683" s="149" t="s">
        <v>33284</v>
      </c>
      <c r="C1683" s="153" t="s">
        <v>216</v>
      </c>
      <c r="D1683" s="154">
        <v>2779.7</v>
      </c>
      <c r="E1683" s="231">
        <v>44850</v>
      </c>
      <c r="F1683" s="154">
        <v>2779.7</v>
      </c>
      <c r="G1683" s="197">
        <f>Tabla111[[#This Row],[Importe]]-Tabla111[[#This Row],[Pagado]]</f>
        <v>0</v>
      </c>
      <c r="H1683" s="153" t="s">
        <v>10</v>
      </c>
    </row>
    <row r="1684" spans="1:8" x14ac:dyDescent="0.25">
      <c r="A1684" s="73">
        <v>44850</v>
      </c>
      <c r="B1684" s="74" t="s">
        <v>33285</v>
      </c>
      <c r="C1684" s="75" t="s">
        <v>56</v>
      </c>
      <c r="D1684" s="81">
        <v>7554.4</v>
      </c>
      <c r="E1684" s="230">
        <v>44850</v>
      </c>
      <c r="F1684" s="81">
        <v>7554.4</v>
      </c>
      <c r="G1684" s="197">
        <f>Tabla111[[#This Row],[Importe]]-Tabla111[[#This Row],[Pagado]]</f>
        <v>0</v>
      </c>
      <c r="H1684" s="75" t="s">
        <v>10</v>
      </c>
    </row>
    <row r="1685" spans="1:8" x14ac:dyDescent="0.25">
      <c r="A1685" s="148">
        <v>44850</v>
      </c>
      <c r="B1685" s="149" t="s">
        <v>33286</v>
      </c>
      <c r="C1685" s="153" t="s">
        <v>45</v>
      </c>
      <c r="D1685" s="154">
        <v>12807.2</v>
      </c>
      <c r="E1685" s="231">
        <v>44850</v>
      </c>
      <c r="F1685" s="154">
        <v>12807.2</v>
      </c>
      <c r="G1685" s="197">
        <f>Tabla111[[#This Row],[Importe]]-Tabla111[[#This Row],[Pagado]]</f>
        <v>0</v>
      </c>
      <c r="H1685" s="153" t="s">
        <v>10</v>
      </c>
    </row>
    <row r="1686" spans="1:8" x14ac:dyDescent="0.25">
      <c r="A1686" s="73">
        <v>44850</v>
      </c>
      <c r="B1686" s="74" t="s">
        <v>33287</v>
      </c>
      <c r="C1686" s="75" t="s">
        <v>33288</v>
      </c>
      <c r="D1686" s="81">
        <v>0</v>
      </c>
      <c r="E1686" s="232" t="s">
        <v>189</v>
      </c>
      <c r="F1686" s="81">
        <v>0</v>
      </c>
      <c r="G1686" s="197">
        <f>Tabla111[[#This Row],[Importe]]-Tabla111[[#This Row],[Pagado]]</f>
        <v>0</v>
      </c>
      <c r="H1686" s="75" t="s">
        <v>189</v>
      </c>
    </row>
    <row r="1687" spans="1:8" x14ac:dyDescent="0.25">
      <c r="A1687" s="148">
        <v>44850</v>
      </c>
      <c r="B1687" s="149" t="s">
        <v>33289</v>
      </c>
      <c r="C1687" s="153" t="s">
        <v>1676</v>
      </c>
      <c r="D1687" s="154">
        <v>4142.6000000000004</v>
      </c>
      <c r="E1687" s="231">
        <v>44850</v>
      </c>
      <c r="F1687" s="154">
        <v>4142.6000000000004</v>
      </c>
      <c r="G1687" s="197">
        <f>Tabla111[[#This Row],[Importe]]-Tabla111[[#This Row],[Pagado]]</f>
        <v>0</v>
      </c>
      <c r="H1687" s="153" t="s">
        <v>10</v>
      </c>
    </row>
    <row r="1688" spans="1:8" x14ac:dyDescent="0.25">
      <c r="A1688" s="73">
        <v>44850</v>
      </c>
      <c r="B1688" s="74" t="s">
        <v>33290</v>
      </c>
      <c r="C1688" s="75" t="s">
        <v>97</v>
      </c>
      <c r="D1688" s="81">
        <v>9270</v>
      </c>
      <c r="E1688" s="230">
        <v>44850</v>
      </c>
      <c r="F1688" s="81">
        <v>9270</v>
      </c>
      <c r="G1688" s="197">
        <f>Tabla111[[#This Row],[Importe]]-Tabla111[[#This Row],[Pagado]]</f>
        <v>0</v>
      </c>
      <c r="H1688" s="75" t="s">
        <v>10</v>
      </c>
    </row>
    <row r="1689" spans="1:8" x14ac:dyDescent="0.25">
      <c r="A1689" s="148">
        <v>44850</v>
      </c>
      <c r="B1689" s="149" t="s">
        <v>33291</v>
      </c>
      <c r="C1689" s="153" t="s">
        <v>49</v>
      </c>
      <c r="D1689" s="154">
        <v>4737.2</v>
      </c>
      <c r="E1689" s="231">
        <v>44850</v>
      </c>
      <c r="F1689" s="154">
        <v>4737.2</v>
      </c>
      <c r="G1689" s="197">
        <f>Tabla111[[#This Row],[Importe]]-Tabla111[[#This Row],[Pagado]]</f>
        <v>0</v>
      </c>
      <c r="H1689" s="153" t="s">
        <v>10</v>
      </c>
    </row>
    <row r="1690" spans="1:8" x14ac:dyDescent="0.25">
      <c r="A1690" s="73">
        <v>44850</v>
      </c>
      <c r="B1690" s="74" t="s">
        <v>33292</v>
      </c>
      <c r="C1690" s="75" t="s">
        <v>382</v>
      </c>
      <c r="D1690" s="81">
        <v>7589.4</v>
      </c>
      <c r="E1690" s="230">
        <v>44850</v>
      </c>
      <c r="F1690" s="81">
        <v>7589.4</v>
      </c>
      <c r="G1690" s="197">
        <f>Tabla111[[#This Row],[Importe]]-Tabla111[[#This Row],[Pagado]]</f>
        <v>0</v>
      </c>
      <c r="H1690" s="75" t="s">
        <v>10</v>
      </c>
    </row>
    <row r="1691" spans="1:8" x14ac:dyDescent="0.25">
      <c r="A1691" s="148">
        <v>44850</v>
      </c>
      <c r="B1691" s="149" t="s">
        <v>33293</v>
      </c>
      <c r="C1691" s="153" t="s">
        <v>1003</v>
      </c>
      <c r="D1691" s="154">
        <v>12190.2</v>
      </c>
      <c r="E1691" s="231">
        <v>44851</v>
      </c>
      <c r="F1691" s="154">
        <v>12190.2</v>
      </c>
      <c r="G1691" s="197">
        <f>Tabla111[[#This Row],[Importe]]-Tabla111[[#This Row],[Pagado]]</f>
        <v>0</v>
      </c>
      <c r="H1691" s="153" t="s">
        <v>10</v>
      </c>
    </row>
    <row r="1692" spans="1:8" x14ac:dyDescent="0.25">
      <c r="A1692" s="73">
        <v>44850</v>
      </c>
      <c r="B1692" s="74" t="s">
        <v>33294</v>
      </c>
      <c r="C1692" s="75" t="s">
        <v>224</v>
      </c>
      <c r="D1692" s="81">
        <v>3638.8</v>
      </c>
      <c r="E1692" s="230">
        <v>44850</v>
      </c>
      <c r="F1692" s="81">
        <v>3638.8</v>
      </c>
      <c r="G1692" s="197">
        <f>Tabla111[[#This Row],[Importe]]-Tabla111[[#This Row],[Pagado]]</f>
        <v>0</v>
      </c>
      <c r="H1692" s="75" t="s">
        <v>10</v>
      </c>
    </row>
    <row r="1693" spans="1:8" x14ac:dyDescent="0.25">
      <c r="A1693" s="148">
        <v>44850</v>
      </c>
      <c r="B1693" s="149" t="s">
        <v>33295</v>
      </c>
      <c r="C1693" s="153" t="s">
        <v>31</v>
      </c>
      <c r="D1693" s="154">
        <v>331.3</v>
      </c>
      <c r="E1693" s="231">
        <v>44850</v>
      </c>
      <c r="F1693" s="154">
        <v>331.3</v>
      </c>
      <c r="G1693" s="197">
        <f>Tabla111[[#This Row],[Importe]]-Tabla111[[#This Row],[Pagado]]</f>
        <v>0</v>
      </c>
      <c r="H1693" s="153" t="s">
        <v>10</v>
      </c>
    </row>
    <row r="1694" spans="1:8" x14ac:dyDescent="0.25">
      <c r="A1694" s="73">
        <v>44850</v>
      </c>
      <c r="B1694" s="74" t="s">
        <v>33296</v>
      </c>
      <c r="C1694" s="75" t="s">
        <v>24</v>
      </c>
      <c r="D1694" s="81">
        <v>3997.2</v>
      </c>
      <c r="E1694" s="230">
        <v>44850</v>
      </c>
      <c r="F1694" s="81">
        <v>3997.2</v>
      </c>
      <c r="G1694" s="197">
        <f>Tabla111[[#This Row],[Importe]]-Tabla111[[#This Row],[Pagado]]</f>
        <v>0</v>
      </c>
      <c r="H1694" s="75" t="s">
        <v>10</v>
      </c>
    </row>
    <row r="1695" spans="1:8" x14ac:dyDescent="0.25">
      <c r="A1695" s="148">
        <v>44850</v>
      </c>
      <c r="B1695" s="149" t="s">
        <v>33297</v>
      </c>
      <c r="C1695" s="153" t="s">
        <v>191</v>
      </c>
      <c r="D1695" s="154">
        <v>2571.6</v>
      </c>
      <c r="E1695" s="231">
        <v>44850</v>
      </c>
      <c r="F1695" s="154">
        <v>2571.6</v>
      </c>
      <c r="G1695" s="197">
        <f>Tabla111[[#This Row],[Importe]]-Tabla111[[#This Row],[Pagado]]</f>
        <v>0</v>
      </c>
      <c r="H1695" s="153" t="s">
        <v>10</v>
      </c>
    </row>
    <row r="1696" spans="1:8" x14ac:dyDescent="0.25">
      <c r="A1696" s="73">
        <v>44850</v>
      </c>
      <c r="B1696" s="74" t="s">
        <v>33298</v>
      </c>
      <c r="C1696" s="75" t="s">
        <v>289</v>
      </c>
      <c r="D1696" s="81">
        <v>16398.900000000001</v>
      </c>
      <c r="E1696" s="230">
        <v>44850</v>
      </c>
      <c r="F1696" s="81">
        <v>16398.900000000001</v>
      </c>
      <c r="G1696" s="197">
        <f>Tabla111[[#This Row],[Importe]]-Tabla111[[#This Row],[Pagado]]</f>
        <v>0</v>
      </c>
      <c r="H1696" s="75" t="s">
        <v>10</v>
      </c>
    </row>
    <row r="1697" spans="1:8" x14ac:dyDescent="0.25">
      <c r="A1697" s="148">
        <v>44850</v>
      </c>
      <c r="B1697" s="149" t="s">
        <v>33299</v>
      </c>
      <c r="C1697" s="153" t="s">
        <v>244</v>
      </c>
      <c r="D1697" s="154">
        <v>1137.5999999999999</v>
      </c>
      <c r="E1697" s="231">
        <v>44850</v>
      </c>
      <c r="F1697" s="154">
        <v>1137.5999999999999</v>
      </c>
      <c r="G1697" s="197">
        <f>Tabla111[[#This Row],[Importe]]-Tabla111[[#This Row],[Pagado]]</f>
        <v>0</v>
      </c>
      <c r="H1697" s="153" t="s">
        <v>10</v>
      </c>
    </row>
    <row r="1698" spans="1:8" x14ac:dyDescent="0.25">
      <c r="A1698" s="73">
        <v>44850</v>
      </c>
      <c r="B1698" s="74" t="s">
        <v>33300</v>
      </c>
      <c r="C1698" s="75" t="s">
        <v>58</v>
      </c>
      <c r="D1698" s="81">
        <v>3550.2</v>
      </c>
      <c r="E1698" s="230">
        <v>44850</v>
      </c>
      <c r="F1698" s="81">
        <v>3550.2</v>
      </c>
      <c r="G1698" s="197">
        <f>Tabla111[[#This Row],[Importe]]-Tabla111[[#This Row],[Pagado]]</f>
        <v>0</v>
      </c>
      <c r="H1698" s="75" t="s">
        <v>10</v>
      </c>
    </row>
    <row r="1699" spans="1:8" x14ac:dyDescent="0.25">
      <c r="A1699" s="148">
        <v>44850</v>
      </c>
      <c r="B1699" s="149" t="s">
        <v>33301</v>
      </c>
      <c r="C1699" s="153" t="s">
        <v>58</v>
      </c>
      <c r="D1699" s="154">
        <v>633.6</v>
      </c>
      <c r="E1699" s="231">
        <v>44850</v>
      </c>
      <c r="F1699" s="154">
        <v>633.6</v>
      </c>
      <c r="G1699" s="197">
        <f>Tabla111[[#This Row],[Importe]]-Tabla111[[#This Row],[Pagado]]</f>
        <v>0</v>
      </c>
      <c r="H1699" s="153" t="s">
        <v>10</v>
      </c>
    </row>
    <row r="1700" spans="1:8" x14ac:dyDescent="0.25">
      <c r="A1700" s="73">
        <v>44850</v>
      </c>
      <c r="B1700" s="74" t="s">
        <v>33302</v>
      </c>
      <c r="C1700" s="75" t="s">
        <v>58</v>
      </c>
      <c r="D1700" s="81">
        <v>1689.7</v>
      </c>
      <c r="E1700" s="230">
        <v>44850</v>
      </c>
      <c r="F1700" s="81">
        <v>1689.7</v>
      </c>
      <c r="G1700" s="197">
        <f>Tabla111[[#This Row],[Importe]]-Tabla111[[#This Row],[Pagado]]</f>
        <v>0</v>
      </c>
      <c r="H1700" s="75" t="s">
        <v>10</v>
      </c>
    </row>
    <row r="1701" spans="1:8" x14ac:dyDescent="0.25">
      <c r="A1701" s="148">
        <v>44850</v>
      </c>
      <c r="B1701" s="149" t="s">
        <v>33303</v>
      </c>
      <c r="C1701" s="153" t="s">
        <v>24284</v>
      </c>
      <c r="D1701" s="154">
        <v>1378.3</v>
      </c>
      <c r="E1701" s="231">
        <v>44850</v>
      </c>
      <c r="F1701" s="154">
        <v>1378.3</v>
      </c>
      <c r="G1701" s="197">
        <f>Tabla111[[#This Row],[Importe]]-Tabla111[[#This Row],[Pagado]]</f>
        <v>0</v>
      </c>
      <c r="H1701" s="153" t="s">
        <v>10</v>
      </c>
    </row>
    <row r="1702" spans="1:8" x14ac:dyDescent="0.25">
      <c r="A1702" s="73">
        <v>44850</v>
      </c>
      <c r="B1702" s="74" t="s">
        <v>33304</v>
      </c>
      <c r="C1702" s="75" t="s">
        <v>857</v>
      </c>
      <c r="D1702" s="81">
        <v>975.8</v>
      </c>
      <c r="E1702" s="230">
        <v>44850</v>
      </c>
      <c r="F1702" s="81">
        <v>975.8</v>
      </c>
      <c r="G1702" s="197">
        <f>Tabla111[[#This Row],[Importe]]-Tabla111[[#This Row],[Pagado]]</f>
        <v>0</v>
      </c>
      <c r="H1702" s="75" t="s">
        <v>10</v>
      </c>
    </row>
    <row r="1703" spans="1:8" x14ac:dyDescent="0.25">
      <c r="A1703" s="148">
        <v>44850</v>
      </c>
      <c r="B1703" s="149" t="s">
        <v>33305</v>
      </c>
      <c r="C1703" s="153" t="s">
        <v>31</v>
      </c>
      <c r="D1703" s="154">
        <v>7915.6</v>
      </c>
      <c r="E1703" s="231">
        <v>44850</v>
      </c>
      <c r="F1703" s="154">
        <v>7915.6</v>
      </c>
      <c r="G1703" s="197">
        <f>Tabla111[[#This Row],[Importe]]-Tabla111[[#This Row],[Pagado]]</f>
        <v>0</v>
      </c>
      <c r="H1703" s="153" t="s">
        <v>10</v>
      </c>
    </row>
    <row r="1704" spans="1:8" x14ac:dyDescent="0.25">
      <c r="A1704" s="73">
        <v>44850</v>
      </c>
      <c r="B1704" s="74" t="s">
        <v>33306</v>
      </c>
      <c r="C1704" s="75" t="s">
        <v>31</v>
      </c>
      <c r="D1704" s="81">
        <v>366</v>
      </c>
      <c r="E1704" s="230">
        <v>44850</v>
      </c>
      <c r="F1704" s="81">
        <v>366</v>
      </c>
      <c r="G1704" s="197">
        <f>Tabla111[[#This Row],[Importe]]-Tabla111[[#This Row],[Pagado]]</f>
        <v>0</v>
      </c>
      <c r="H1704" s="75" t="s">
        <v>10</v>
      </c>
    </row>
    <row r="1705" spans="1:8" x14ac:dyDescent="0.25">
      <c r="A1705" s="148">
        <v>44850</v>
      </c>
      <c r="B1705" s="149" t="s">
        <v>33307</v>
      </c>
      <c r="C1705" s="153" t="s">
        <v>296</v>
      </c>
      <c r="D1705" s="154">
        <v>4504.5</v>
      </c>
      <c r="E1705" s="231">
        <v>44850</v>
      </c>
      <c r="F1705" s="154">
        <v>4504.5</v>
      </c>
      <c r="G1705" s="197">
        <f>Tabla111[[#This Row],[Importe]]-Tabla111[[#This Row],[Pagado]]</f>
        <v>0</v>
      </c>
      <c r="H1705" s="153" t="s">
        <v>10</v>
      </c>
    </row>
    <row r="1706" spans="1:8" x14ac:dyDescent="0.25">
      <c r="A1706" s="73">
        <v>44850</v>
      </c>
      <c r="B1706" s="74" t="s">
        <v>33308</v>
      </c>
      <c r="C1706" s="75" t="s">
        <v>67</v>
      </c>
      <c r="D1706" s="81">
        <v>3041.2</v>
      </c>
      <c r="E1706" s="230">
        <v>44850</v>
      </c>
      <c r="F1706" s="81">
        <v>3041.2</v>
      </c>
      <c r="G1706" s="197">
        <f>Tabla111[[#This Row],[Importe]]-Tabla111[[#This Row],[Pagado]]</f>
        <v>0</v>
      </c>
      <c r="H1706" s="75" t="s">
        <v>10</v>
      </c>
    </row>
    <row r="1707" spans="1:8" x14ac:dyDescent="0.25">
      <c r="A1707" s="148">
        <v>44850</v>
      </c>
      <c r="B1707" s="149" t="s">
        <v>33309</v>
      </c>
      <c r="C1707" s="153" t="s">
        <v>226</v>
      </c>
      <c r="D1707" s="154">
        <v>17958.8</v>
      </c>
      <c r="E1707" s="231">
        <v>44850</v>
      </c>
      <c r="F1707" s="154">
        <v>17958.8</v>
      </c>
      <c r="G1707" s="197">
        <f>Tabla111[[#This Row],[Importe]]-Tabla111[[#This Row],[Pagado]]</f>
        <v>0</v>
      </c>
      <c r="H1707" s="153" t="s">
        <v>10</v>
      </c>
    </row>
    <row r="1708" spans="1:8" x14ac:dyDescent="0.25">
      <c r="A1708" s="73">
        <v>44850</v>
      </c>
      <c r="B1708" s="74" t="s">
        <v>33310</v>
      </c>
      <c r="C1708" s="75" t="s">
        <v>53</v>
      </c>
      <c r="D1708" s="81">
        <v>2460.3000000000002</v>
      </c>
      <c r="E1708" s="230">
        <v>44850</v>
      </c>
      <c r="F1708" s="81">
        <v>2460.3000000000002</v>
      </c>
      <c r="G1708" s="197">
        <f>Tabla111[[#This Row],[Importe]]-Tabla111[[#This Row],[Pagado]]</f>
        <v>0</v>
      </c>
      <c r="H1708" s="75" t="s">
        <v>10</v>
      </c>
    </row>
    <row r="1709" spans="1:8" x14ac:dyDescent="0.25">
      <c r="A1709" s="148">
        <v>44850</v>
      </c>
      <c r="B1709" s="149" t="s">
        <v>33311</v>
      </c>
      <c r="C1709" s="153" t="s">
        <v>31</v>
      </c>
      <c r="D1709" s="154">
        <v>600.6</v>
      </c>
      <c r="E1709" s="231">
        <v>44850</v>
      </c>
      <c r="F1709" s="154">
        <v>600.6</v>
      </c>
      <c r="G1709" s="197">
        <f>Tabla111[[#This Row],[Importe]]-Tabla111[[#This Row],[Pagado]]</f>
        <v>0</v>
      </c>
      <c r="H1709" s="153" t="s">
        <v>10</v>
      </c>
    </row>
    <row r="1710" spans="1:8" x14ac:dyDescent="0.25">
      <c r="A1710" s="73">
        <v>44850</v>
      </c>
      <c r="B1710" s="74" t="s">
        <v>33312</v>
      </c>
      <c r="C1710" s="75" t="s">
        <v>71</v>
      </c>
      <c r="D1710" s="81">
        <v>4004</v>
      </c>
      <c r="E1710" s="230">
        <v>44850</v>
      </c>
      <c r="F1710" s="81">
        <v>4004</v>
      </c>
      <c r="G1710" s="197">
        <f>Tabla111[[#This Row],[Importe]]-Tabla111[[#This Row],[Pagado]]</f>
        <v>0</v>
      </c>
      <c r="H1710" s="75" t="s">
        <v>10</v>
      </c>
    </row>
    <row r="1711" spans="1:8" x14ac:dyDescent="0.25">
      <c r="A1711" s="148">
        <v>44850</v>
      </c>
      <c r="B1711" s="149" t="s">
        <v>33313</v>
      </c>
      <c r="C1711" s="153" t="s">
        <v>51</v>
      </c>
      <c r="D1711" s="154">
        <v>1590.8</v>
      </c>
      <c r="E1711" s="231">
        <v>44850</v>
      </c>
      <c r="F1711" s="154">
        <v>1590.8</v>
      </c>
      <c r="G1711" s="197">
        <f>Tabla111[[#This Row],[Importe]]-Tabla111[[#This Row],[Pagado]]</f>
        <v>0</v>
      </c>
      <c r="H1711" s="153" t="s">
        <v>10</v>
      </c>
    </row>
    <row r="1712" spans="1:8" x14ac:dyDescent="0.25">
      <c r="A1712" s="73">
        <v>44850</v>
      </c>
      <c r="B1712" s="74" t="s">
        <v>33314</v>
      </c>
      <c r="C1712" s="75" t="s">
        <v>31</v>
      </c>
      <c r="D1712" s="81">
        <v>250</v>
      </c>
      <c r="E1712" s="230">
        <v>44850</v>
      </c>
      <c r="F1712" s="81">
        <v>250</v>
      </c>
      <c r="G1712" s="197">
        <f>Tabla111[[#This Row],[Importe]]-Tabla111[[#This Row],[Pagado]]</f>
        <v>0</v>
      </c>
      <c r="H1712" s="75" t="s">
        <v>10</v>
      </c>
    </row>
    <row r="1713" spans="1:8" x14ac:dyDescent="0.25">
      <c r="A1713" s="148">
        <v>44850</v>
      </c>
      <c r="B1713" s="149" t="s">
        <v>33315</v>
      </c>
      <c r="C1713" s="153" t="s">
        <v>191</v>
      </c>
      <c r="D1713" s="154">
        <v>564.29999999999995</v>
      </c>
      <c r="E1713" s="231">
        <v>44850</v>
      </c>
      <c r="F1713" s="154">
        <v>564.29999999999995</v>
      </c>
      <c r="G1713" s="197">
        <f>Tabla111[[#This Row],[Importe]]-Tabla111[[#This Row],[Pagado]]</f>
        <v>0</v>
      </c>
      <c r="H1713" s="153" t="s">
        <v>10</v>
      </c>
    </row>
    <row r="1714" spans="1:8" x14ac:dyDescent="0.25">
      <c r="A1714" s="73">
        <v>44850</v>
      </c>
      <c r="B1714" s="74" t="s">
        <v>33316</v>
      </c>
      <c r="C1714" s="75" t="s">
        <v>214</v>
      </c>
      <c r="D1714" s="81">
        <v>1863.4</v>
      </c>
      <c r="E1714" s="230">
        <v>44850</v>
      </c>
      <c r="F1714" s="81">
        <v>1863.4</v>
      </c>
      <c r="G1714" s="197">
        <f>Tabla111[[#This Row],[Importe]]-Tabla111[[#This Row],[Pagado]]</f>
        <v>0</v>
      </c>
      <c r="H1714" s="75" t="s">
        <v>10</v>
      </c>
    </row>
    <row r="1715" spans="1:8" x14ac:dyDescent="0.25">
      <c r="A1715" s="148">
        <v>44850</v>
      </c>
      <c r="B1715" s="149" t="s">
        <v>33317</v>
      </c>
      <c r="C1715" s="153" t="s">
        <v>69</v>
      </c>
      <c r="D1715" s="154">
        <v>2017.4</v>
      </c>
      <c r="E1715" s="231">
        <v>44850</v>
      </c>
      <c r="F1715" s="154">
        <v>2017.4</v>
      </c>
      <c r="G1715" s="197">
        <f>Tabla111[[#This Row],[Importe]]-Tabla111[[#This Row],[Pagado]]</f>
        <v>0</v>
      </c>
      <c r="H1715" s="153" t="s">
        <v>10</v>
      </c>
    </row>
    <row r="1716" spans="1:8" x14ac:dyDescent="0.25">
      <c r="A1716" s="73">
        <v>44850</v>
      </c>
      <c r="B1716" s="74" t="s">
        <v>33318</v>
      </c>
      <c r="C1716" s="75" t="s">
        <v>296</v>
      </c>
      <c r="D1716" s="81">
        <v>1860.5</v>
      </c>
      <c r="E1716" s="230">
        <v>44850</v>
      </c>
      <c r="F1716" s="81">
        <v>1860.5</v>
      </c>
      <c r="G1716" s="197">
        <f>Tabla111[[#This Row],[Importe]]-Tabla111[[#This Row],[Pagado]]</f>
        <v>0</v>
      </c>
      <c r="H1716" s="75" t="s">
        <v>10</v>
      </c>
    </row>
    <row r="1717" spans="1:8" x14ac:dyDescent="0.25">
      <c r="A1717" s="148">
        <v>44850</v>
      </c>
      <c r="B1717" s="149" t="s">
        <v>33319</v>
      </c>
      <c r="C1717" s="153" t="s">
        <v>56</v>
      </c>
      <c r="D1717" s="154">
        <v>2724.2</v>
      </c>
      <c r="E1717" s="231">
        <v>44850</v>
      </c>
      <c r="F1717" s="154">
        <v>2724.2</v>
      </c>
      <c r="G1717" s="197">
        <f>Tabla111[[#This Row],[Importe]]-Tabla111[[#This Row],[Pagado]]</f>
        <v>0</v>
      </c>
      <c r="H1717" s="153" t="s">
        <v>10</v>
      </c>
    </row>
    <row r="1718" spans="1:8" x14ac:dyDescent="0.25">
      <c r="A1718" s="73">
        <v>44850</v>
      </c>
      <c r="B1718" s="74" t="s">
        <v>33320</v>
      </c>
      <c r="C1718" s="75" t="s">
        <v>56</v>
      </c>
      <c r="D1718" s="81">
        <v>4164.8</v>
      </c>
      <c r="E1718" s="230">
        <v>44850</v>
      </c>
      <c r="F1718" s="81">
        <v>4164.8</v>
      </c>
      <c r="G1718" s="197">
        <f>Tabla111[[#This Row],[Importe]]-Tabla111[[#This Row],[Pagado]]</f>
        <v>0</v>
      </c>
      <c r="H1718" s="75" t="s">
        <v>10</v>
      </c>
    </row>
    <row r="1719" spans="1:8" x14ac:dyDescent="0.25">
      <c r="A1719" s="148">
        <v>44850</v>
      </c>
      <c r="B1719" s="149" t="s">
        <v>33321</v>
      </c>
      <c r="C1719" s="153" t="s">
        <v>75</v>
      </c>
      <c r="D1719" s="154">
        <v>13475</v>
      </c>
      <c r="E1719" s="231">
        <v>44850</v>
      </c>
      <c r="F1719" s="154">
        <v>13475</v>
      </c>
      <c r="G1719" s="197">
        <f>Tabla111[[#This Row],[Importe]]-Tabla111[[#This Row],[Pagado]]</f>
        <v>0</v>
      </c>
      <c r="H1719" s="153" t="s">
        <v>10</v>
      </c>
    </row>
    <row r="1720" spans="1:8" x14ac:dyDescent="0.25">
      <c r="A1720" s="73">
        <v>44850</v>
      </c>
      <c r="B1720" s="74" t="s">
        <v>33322</v>
      </c>
      <c r="C1720" s="75" t="s">
        <v>16</v>
      </c>
      <c r="D1720" s="81">
        <v>899</v>
      </c>
      <c r="E1720" s="230">
        <v>44850</v>
      </c>
      <c r="F1720" s="81">
        <v>899</v>
      </c>
      <c r="G1720" s="197">
        <f>Tabla111[[#This Row],[Importe]]-Tabla111[[#This Row],[Pagado]]</f>
        <v>0</v>
      </c>
      <c r="H1720" s="75" t="s">
        <v>10</v>
      </c>
    </row>
    <row r="1721" spans="1:8" x14ac:dyDescent="0.25">
      <c r="A1721" s="148">
        <v>44850</v>
      </c>
      <c r="B1721" s="149" t="s">
        <v>33323</v>
      </c>
      <c r="C1721" s="153" t="s">
        <v>296</v>
      </c>
      <c r="D1721" s="154">
        <v>3049.8</v>
      </c>
      <c r="E1721" s="231">
        <v>44850</v>
      </c>
      <c r="F1721" s="154">
        <v>3049.8</v>
      </c>
      <c r="G1721" s="197">
        <f>Tabla111[[#This Row],[Importe]]-Tabla111[[#This Row],[Pagado]]</f>
        <v>0</v>
      </c>
      <c r="H1721" s="153" t="s">
        <v>10</v>
      </c>
    </row>
    <row r="1722" spans="1:8" x14ac:dyDescent="0.25">
      <c r="A1722" s="73">
        <v>44850</v>
      </c>
      <c r="B1722" s="74" t="s">
        <v>33324</v>
      </c>
      <c r="C1722" s="75" t="s">
        <v>67</v>
      </c>
      <c r="D1722" s="81">
        <v>1200.8</v>
      </c>
      <c r="E1722" s="230">
        <v>44850</v>
      </c>
      <c r="F1722" s="81">
        <v>1200.8</v>
      </c>
      <c r="G1722" s="197">
        <f>Tabla111[[#This Row],[Importe]]-Tabla111[[#This Row],[Pagado]]</f>
        <v>0</v>
      </c>
      <c r="H1722" s="75" t="s">
        <v>10</v>
      </c>
    </row>
    <row r="1723" spans="1:8" x14ac:dyDescent="0.25">
      <c r="A1723" s="148">
        <v>44850</v>
      </c>
      <c r="B1723" s="149" t="s">
        <v>33325</v>
      </c>
      <c r="C1723" s="153" t="s">
        <v>804</v>
      </c>
      <c r="D1723" s="154">
        <v>20186.599999999999</v>
      </c>
      <c r="E1723" s="231">
        <v>44851</v>
      </c>
      <c r="F1723" s="154">
        <v>20186.599999999999</v>
      </c>
      <c r="G1723" s="197">
        <f>Tabla111[[#This Row],[Importe]]-Tabla111[[#This Row],[Pagado]]</f>
        <v>0</v>
      </c>
      <c r="H1723" s="153" t="s">
        <v>10</v>
      </c>
    </row>
    <row r="1724" spans="1:8" x14ac:dyDescent="0.25">
      <c r="A1724" s="73">
        <v>44851</v>
      </c>
      <c r="B1724" s="74" t="s">
        <v>33326</v>
      </c>
      <c r="C1724" s="75" t="s">
        <v>887</v>
      </c>
      <c r="D1724" s="81">
        <v>17044.8</v>
      </c>
      <c r="E1724" s="230">
        <v>44852</v>
      </c>
      <c r="F1724" s="81">
        <v>17044.8</v>
      </c>
      <c r="G1724" s="197">
        <f>Tabla111[[#This Row],[Importe]]-Tabla111[[#This Row],[Pagado]]</f>
        <v>0</v>
      </c>
      <c r="H1724" s="75" t="s">
        <v>10</v>
      </c>
    </row>
    <row r="1725" spans="1:8" x14ac:dyDescent="0.25">
      <c r="A1725" s="148">
        <v>44851</v>
      </c>
      <c r="B1725" s="149" t="s">
        <v>33327</v>
      </c>
      <c r="C1725" s="153" t="s">
        <v>475</v>
      </c>
      <c r="D1725" s="154">
        <v>113535.7</v>
      </c>
      <c r="E1725" s="231">
        <v>44853</v>
      </c>
      <c r="F1725" s="154">
        <v>113535.7</v>
      </c>
      <c r="G1725" s="197">
        <f>Tabla111[[#This Row],[Importe]]-Tabla111[[#This Row],[Pagado]]</f>
        <v>0</v>
      </c>
      <c r="H1725" s="153" t="s">
        <v>10</v>
      </c>
    </row>
    <row r="1726" spans="1:8" x14ac:dyDescent="0.25">
      <c r="A1726" s="73">
        <v>44851</v>
      </c>
      <c r="B1726" s="74" t="s">
        <v>33328</v>
      </c>
      <c r="C1726" s="75" t="s">
        <v>1187</v>
      </c>
      <c r="D1726" s="81">
        <v>2143.8000000000002</v>
      </c>
      <c r="E1726" s="230">
        <v>44851</v>
      </c>
      <c r="F1726" s="81">
        <v>2143.8000000000002</v>
      </c>
      <c r="G1726" s="197">
        <f>Tabla111[[#This Row],[Importe]]-Tabla111[[#This Row],[Pagado]]</f>
        <v>0</v>
      </c>
      <c r="H1726" s="75" t="s">
        <v>10</v>
      </c>
    </row>
    <row r="1727" spans="1:8" x14ac:dyDescent="0.25">
      <c r="A1727" s="148">
        <v>44851</v>
      </c>
      <c r="B1727" s="149" t="s">
        <v>33329</v>
      </c>
      <c r="C1727" s="153" t="s">
        <v>12</v>
      </c>
      <c r="D1727" s="154">
        <v>38232.949999999997</v>
      </c>
      <c r="E1727" s="231">
        <v>44851</v>
      </c>
      <c r="F1727" s="154">
        <v>38232.949999999997</v>
      </c>
      <c r="G1727" s="197">
        <f>Tabla111[[#This Row],[Importe]]-Tabla111[[#This Row],[Pagado]]</f>
        <v>0</v>
      </c>
      <c r="H1727" s="153" t="s">
        <v>10</v>
      </c>
    </row>
    <row r="1728" spans="1:8" x14ac:dyDescent="0.25">
      <c r="A1728" s="73">
        <v>44851</v>
      </c>
      <c r="B1728" s="74" t="s">
        <v>33330</v>
      </c>
      <c r="C1728" s="75" t="s">
        <v>33331</v>
      </c>
      <c r="D1728" s="81">
        <v>0</v>
      </c>
      <c r="E1728" s="232" t="s">
        <v>189</v>
      </c>
      <c r="F1728" s="81">
        <v>0</v>
      </c>
      <c r="G1728" s="197">
        <f>Tabla111[[#This Row],[Importe]]-Tabla111[[#This Row],[Pagado]]</f>
        <v>0</v>
      </c>
      <c r="H1728" s="75" t="s">
        <v>189</v>
      </c>
    </row>
    <row r="1729" spans="1:8" x14ac:dyDescent="0.25">
      <c r="A1729" s="148">
        <v>44851</v>
      </c>
      <c r="B1729" s="149" t="s">
        <v>33332</v>
      </c>
      <c r="C1729" s="153" t="s">
        <v>28087</v>
      </c>
      <c r="D1729" s="154">
        <v>202691.25</v>
      </c>
      <c r="E1729" s="231" t="s">
        <v>33333</v>
      </c>
      <c r="F1729" s="154">
        <f>6907.96+195783.29</f>
        <v>202691.25</v>
      </c>
      <c r="G1729" s="197">
        <f>Tabla111[[#This Row],[Importe]]-Tabla111[[#This Row],[Pagado]]</f>
        <v>0</v>
      </c>
      <c r="H1729" s="153" t="s">
        <v>10</v>
      </c>
    </row>
    <row r="1730" spans="1:8" x14ac:dyDescent="0.25">
      <c r="A1730" s="73">
        <v>44851</v>
      </c>
      <c r="B1730" s="74" t="s">
        <v>33334</v>
      </c>
      <c r="C1730" s="75" t="s">
        <v>87</v>
      </c>
      <c r="D1730" s="81">
        <v>3071.2</v>
      </c>
      <c r="E1730" s="230">
        <v>44851</v>
      </c>
      <c r="F1730" s="81">
        <v>3071.2</v>
      </c>
      <c r="G1730" s="197">
        <f>Tabla111[[#This Row],[Importe]]-Tabla111[[#This Row],[Pagado]]</f>
        <v>0</v>
      </c>
      <c r="H1730" s="75" t="s">
        <v>10</v>
      </c>
    </row>
    <row r="1731" spans="1:8" x14ac:dyDescent="0.25">
      <c r="A1731" s="148">
        <v>44851</v>
      </c>
      <c r="B1731" s="149" t="s">
        <v>33335</v>
      </c>
      <c r="C1731" s="153" t="s">
        <v>18</v>
      </c>
      <c r="D1731" s="154">
        <v>1700.4</v>
      </c>
      <c r="E1731" s="231">
        <v>44851</v>
      </c>
      <c r="F1731" s="154">
        <v>1700.4</v>
      </c>
      <c r="G1731" s="197">
        <f>Tabla111[[#This Row],[Importe]]-Tabla111[[#This Row],[Pagado]]</f>
        <v>0</v>
      </c>
      <c r="H1731" s="153" t="s">
        <v>10</v>
      </c>
    </row>
    <row r="1732" spans="1:8" x14ac:dyDescent="0.25">
      <c r="A1732" s="73">
        <v>44851</v>
      </c>
      <c r="B1732" s="74" t="s">
        <v>33336</v>
      </c>
      <c r="C1732" s="75" t="s">
        <v>31</v>
      </c>
      <c r="D1732" s="81">
        <v>4197.3999999999996</v>
      </c>
      <c r="E1732" s="230">
        <v>44851</v>
      </c>
      <c r="F1732" s="81">
        <v>4197.3999999999996</v>
      </c>
      <c r="G1732" s="197">
        <f>Tabla111[[#This Row],[Importe]]-Tabla111[[#This Row],[Pagado]]</f>
        <v>0</v>
      </c>
      <c r="H1732" s="75" t="s">
        <v>10</v>
      </c>
    </row>
    <row r="1733" spans="1:8" x14ac:dyDescent="0.25">
      <c r="A1733" s="148">
        <v>44851</v>
      </c>
      <c r="B1733" s="149" t="s">
        <v>33337</v>
      </c>
      <c r="C1733" s="153" t="s">
        <v>49</v>
      </c>
      <c r="D1733" s="154">
        <v>4466</v>
      </c>
      <c r="E1733" s="231">
        <v>44851</v>
      </c>
      <c r="F1733" s="154">
        <v>4466</v>
      </c>
      <c r="G1733" s="197">
        <f>Tabla111[[#This Row],[Importe]]-Tabla111[[#This Row],[Pagado]]</f>
        <v>0</v>
      </c>
      <c r="H1733" s="153" t="s">
        <v>10</v>
      </c>
    </row>
    <row r="1734" spans="1:8" x14ac:dyDescent="0.25">
      <c r="A1734" s="73">
        <v>44851</v>
      </c>
      <c r="B1734" s="74" t="s">
        <v>33338</v>
      </c>
      <c r="C1734" s="75" t="s">
        <v>314</v>
      </c>
      <c r="D1734" s="81">
        <v>3075.2</v>
      </c>
      <c r="E1734" s="230">
        <v>44851</v>
      </c>
      <c r="F1734" s="81">
        <v>3075.2</v>
      </c>
      <c r="G1734" s="197">
        <f>Tabla111[[#This Row],[Importe]]-Tabla111[[#This Row],[Pagado]]</f>
        <v>0</v>
      </c>
      <c r="H1734" s="75" t="s">
        <v>10</v>
      </c>
    </row>
    <row r="1735" spans="1:8" x14ac:dyDescent="0.25">
      <c r="A1735" s="148">
        <v>44851</v>
      </c>
      <c r="B1735" s="149" t="s">
        <v>33339</v>
      </c>
      <c r="C1735" s="153" t="s">
        <v>9</v>
      </c>
      <c r="D1735" s="154">
        <v>8940.7000000000007</v>
      </c>
      <c r="E1735" s="231">
        <v>44851</v>
      </c>
      <c r="F1735" s="154">
        <v>8940.7000000000007</v>
      </c>
      <c r="G1735" s="197">
        <f>Tabla111[[#This Row],[Importe]]-Tabla111[[#This Row],[Pagado]]</f>
        <v>0</v>
      </c>
      <c r="H1735" s="153" t="s">
        <v>10</v>
      </c>
    </row>
    <row r="1736" spans="1:8" x14ac:dyDescent="0.25">
      <c r="A1736" s="73">
        <v>44851</v>
      </c>
      <c r="B1736" s="74" t="s">
        <v>33340</v>
      </c>
      <c r="C1736" s="75" t="s">
        <v>83</v>
      </c>
      <c r="D1736" s="81">
        <v>9744.2000000000007</v>
      </c>
      <c r="E1736" s="230">
        <v>44851</v>
      </c>
      <c r="F1736" s="81">
        <v>9744.2000000000007</v>
      </c>
      <c r="G1736" s="197">
        <f>Tabla111[[#This Row],[Importe]]-Tabla111[[#This Row],[Pagado]]</f>
        <v>0</v>
      </c>
      <c r="H1736" s="75" t="s">
        <v>10</v>
      </c>
    </row>
    <row r="1737" spans="1:8" x14ac:dyDescent="0.25">
      <c r="A1737" s="148">
        <v>44851</v>
      </c>
      <c r="B1737" s="149" t="s">
        <v>33341</v>
      </c>
      <c r="C1737" s="153" t="s">
        <v>481</v>
      </c>
      <c r="D1737" s="154">
        <v>1598.9</v>
      </c>
      <c r="E1737" s="231">
        <v>44851</v>
      </c>
      <c r="F1737" s="154">
        <v>1598.9</v>
      </c>
      <c r="G1737" s="197">
        <f>Tabla111[[#This Row],[Importe]]-Tabla111[[#This Row],[Pagado]]</f>
        <v>0</v>
      </c>
      <c r="H1737" s="153" t="s">
        <v>10</v>
      </c>
    </row>
    <row r="1738" spans="1:8" x14ac:dyDescent="0.25">
      <c r="A1738" s="73">
        <v>44851</v>
      </c>
      <c r="B1738" s="74" t="s">
        <v>33342</v>
      </c>
      <c r="C1738" s="75" t="s">
        <v>18</v>
      </c>
      <c r="D1738" s="81">
        <v>70</v>
      </c>
      <c r="E1738" s="230">
        <v>44851</v>
      </c>
      <c r="F1738" s="81">
        <v>70</v>
      </c>
      <c r="G1738" s="197">
        <f>Tabla111[[#This Row],[Importe]]-Tabla111[[#This Row],[Pagado]]</f>
        <v>0</v>
      </c>
      <c r="H1738" s="75" t="s">
        <v>10</v>
      </c>
    </row>
    <row r="1739" spans="1:8" x14ac:dyDescent="0.25">
      <c r="A1739" s="148">
        <v>44851</v>
      </c>
      <c r="B1739" s="149" t="s">
        <v>33343</v>
      </c>
      <c r="C1739" s="153" t="s">
        <v>89</v>
      </c>
      <c r="D1739" s="154">
        <v>11815.7</v>
      </c>
      <c r="E1739" s="231">
        <v>44852</v>
      </c>
      <c r="F1739" s="154">
        <v>11815.7</v>
      </c>
      <c r="G1739" s="197">
        <f>Tabla111[[#This Row],[Importe]]-Tabla111[[#This Row],[Pagado]]</f>
        <v>0</v>
      </c>
      <c r="H1739" s="153" t="s">
        <v>10</v>
      </c>
    </row>
    <row r="1740" spans="1:8" x14ac:dyDescent="0.25">
      <c r="A1740" s="73">
        <v>44851</v>
      </c>
      <c r="B1740" s="74" t="s">
        <v>33344</v>
      </c>
      <c r="C1740" s="75" t="s">
        <v>111</v>
      </c>
      <c r="D1740" s="81">
        <v>5850</v>
      </c>
      <c r="E1740" s="230">
        <v>44853</v>
      </c>
      <c r="F1740" s="81">
        <v>5850</v>
      </c>
      <c r="G1740" s="197">
        <f>Tabla111[[#This Row],[Importe]]-Tabla111[[#This Row],[Pagado]]</f>
        <v>0</v>
      </c>
      <c r="H1740" s="75" t="s">
        <v>10</v>
      </c>
    </row>
    <row r="1741" spans="1:8" x14ac:dyDescent="0.25">
      <c r="A1741" s="148">
        <v>44851</v>
      </c>
      <c r="B1741" s="149" t="s">
        <v>33345</v>
      </c>
      <c r="C1741" s="153" t="s">
        <v>64</v>
      </c>
      <c r="D1741" s="154">
        <v>11453</v>
      </c>
      <c r="E1741" s="231">
        <v>44852</v>
      </c>
      <c r="F1741" s="154">
        <v>11453</v>
      </c>
      <c r="G1741" s="197">
        <f>Tabla111[[#This Row],[Importe]]-Tabla111[[#This Row],[Pagado]]</f>
        <v>0</v>
      </c>
      <c r="H1741" s="153" t="s">
        <v>10</v>
      </c>
    </row>
    <row r="1742" spans="1:8" x14ac:dyDescent="0.25">
      <c r="A1742" s="73">
        <v>44851</v>
      </c>
      <c r="B1742" s="74" t="s">
        <v>33346</v>
      </c>
      <c r="C1742" s="75" t="s">
        <v>924</v>
      </c>
      <c r="D1742" s="81">
        <v>11017.8</v>
      </c>
      <c r="E1742" s="230">
        <v>44851</v>
      </c>
      <c r="F1742" s="81">
        <v>11017.8</v>
      </c>
      <c r="G1742" s="197">
        <f>Tabla111[[#This Row],[Importe]]-Tabla111[[#This Row],[Pagado]]</f>
        <v>0</v>
      </c>
      <c r="H1742" s="75" t="s">
        <v>10</v>
      </c>
    </row>
    <row r="1743" spans="1:8" x14ac:dyDescent="0.25">
      <c r="A1743" s="148">
        <v>44851</v>
      </c>
      <c r="B1743" s="149" t="s">
        <v>33347</v>
      </c>
      <c r="C1743" s="153" t="s">
        <v>75</v>
      </c>
      <c r="D1743" s="154">
        <v>9209.2000000000007</v>
      </c>
      <c r="E1743" s="231">
        <v>44851</v>
      </c>
      <c r="F1743" s="154">
        <v>9209.2000000000007</v>
      </c>
      <c r="G1743" s="197">
        <f>Tabla111[[#This Row],[Importe]]-Tabla111[[#This Row],[Pagado]]</f>
        <v>0</v>
      </c>
      <c r="H1743" s="153" t="s">
        <v>10</v>
      </c>
    </row>
    <row r="1744" spans="1:8" x14ac:dyDescent="0.25">
      <c r="A1744" s="73">
        <v>44851</v>
      </c>
      <c r="B1744" s="74" t="s">
        <v>33348</v>
      </c>
      <c r="C1744" s="75" t="s">
        <v>105</v>
      </c>
      <c r="D1744" s="81">
        <v>7590.7</v>
      </c>
      <c r="E1744" s="230">
        <v>44851</v>
      </c>
      <c r="F1744" s="81">
        <v>7590.7</v>
      </c>
      <c r="G1744" s="197">
        <f>Tabla111[[#This Row],[Importe]]-Tabla111[[#This Row],[Pagado]]</f>
        <v>0</v>
      </c>
      <c r="H1744" s="75" t="s">
        <v>10</v>
      </c>
    </row>
    <row r="1745" spans="1:8" x14ac:dyDescent="0.25">
      <c r="A1745" s="148">
        <v>44851</v>
      </c>
      <c r="B1745" s="149" t="s">
        <v>33349</v>
      </c>
      <c r="C1745" s="153" t="s">
        <v>114</v>
      </c>
      <c r="D1745" s="154">
        <v>6930.2</v>
      </c>
      <c r="E1745" s="231">
        <v>44852</v>
      </c>
      <c r="F1745" s="154">
        <v>6930.2</v>
      </c>
      <c r="G1745" s="197">
        <f>Tabla111[[#This Row],[Importe]]-Tabla111[[#This Row],[Pagado]]</f>
        <v>0</v>
      </c>
      <c r="H1745" s="153" t="s">
        <v>10</v>
      </c>
    </row>
    <row r="1746" spans="1:8" x14ac:dyDescent="0.25">
      <c r="A1746" s="73">
        <v>44851</v>
      </c>
      <c r="B1746" s="74" t="s">
        <v>33350</v>
      </c>
      <c r="C1746" s="75" t="s">
        <v>60</v>
      </c>
      <c r="D1746" s="81">
        <v>5180.5</v>
      </c>
      <c r="E1746" s="230">
        <v>44853</v>
      </c>
      <c r="F1746" s="81">
        <v>5180.5</v>
      </c>
      <c r="G1746" s="197">
        <f>Tabla111[[#This Row],[Importe]]-Tabla111[[#This Row],[Pagado]]</f>
        <v>0</v>
      </c>
      <c r="H1746" s="75" t="s">
        <v>10</v>
      </c>
    </row>
    <row r="1747" spans="1:8" x14ac:dyDescent="0.25">
      <c r="A1747" s="148">
        <v>44851</v>
      </c>
      <c r="B1747" s="149" t="s">
        <v>33351</v>
      </c>
      <c r="C1747" s="153" t="s">
        <v>93</v>
      </c>
      <c r="D1747" s="154">
        <v>9655.7000000000007</v>
      </c>
      <c r="E1747" s="231" t="s">
        <v>33352</v>
      </c>
      <c r="F1747" s="154">
        <f>7000+2655.7</f>
        <v>9655.7000000000007</v>
      </c>
      <c r="G1747" s="197">
        <f>Tabla111[[#This Row],[Importe]]-Tabla111[[#This Row],[Pagado]]</f>
        <v>0</v>
      </c>
      <c r="H1747" s="153" t="s">
        <v>10</v>
      </c>
    </row>
    <row r="1748" spans="1:8" x14ac:dyDescent="0.25">
      <c r="A1748" s="73">
        <v>44851</v>
      </c>
      <c r="B1748" s="74" t="s">
        <v>33353</v>
      </c>
      <c r="C1748" s="75" t="s">
        <v>97</v>
      </c>
      <c r="D1748" s="81">
        <v>8317.5</v>
      </c>
      <c r="E1748" s="230">
        <v>44852</v>
      </c>
      <c r="F1748" s="81">
        <v>8317.5</v>
      </c>
      <c r="G1748" s="197">
        <f>Tabla111[[#This Row],[Importe]]-Tabla111[[#This Row],[Pagado]]</f>
        <v>0</v>
      </c>
      <c r="H1748" s="75" t="s">
        <v>10</v>
      </c>
    </row>
    <row r="1749" spans="1:8" x14ac:dyDescent="0.25">
      <c r="A1749" s="148">
        <v>44851</v>
      </c>
      <c r="B1749" s="149" t="s">
        <v>33354</v>
      </c>
      <c r="C1749" s="153" t="s">
        <v>2151</v>
      </c>
      <c r="D1749" s="154">
        <v>18714.3</v>
      </c>
      <c r="E1749" s="231">
        <v>44851</v>
      </c>
      <c r="F1749" s="154">
        <v>18714.3</v>
      </c>
      <c r="G1749" s="197">
        <f>Tabla111[[#This Row],[Importe]]-Tabla111[[#This Row],[Pagado]]</f>
        <v>0</v>
      </c>
      <c r="H1749" s="153" t="s">
        <v>10</v>
      </c>
    </row>
    <row r="1750" spans="1:8" x14ac:dyDescent="0.25">
      <c r="A1750" s="73">
        <v>44851</v>
      </c>
      <c r="B1750" s="74" t="s">
        <v>33355</v>
      </c>
      <c r="C1750" s="75" t="s">
        <v>22</v>
      </c>
      <c r="D1750" s="81">
        <v>16991.2</v>
      </c>
      <c r="E1750" s="230">
        <v>44851</v>
      </c>
      <c r="F1750" s="81">
        <v>16991.2</v>
      </c>
      <c r="G1750" s="197">
        <f>Tabla111[[#This Row],[Importe]]-Tabla111[[#This Row],[Pagado]]</f>
        <v>0</v>
      </c>
      <c r="H1750" s="75" t="s">
        <v>10</v>
      </c>
    </row>
    <row r="1751" spans="1:8" x14ac:dyDescent="0.25">
      <c r="A1751" s="148">
        <v>44851</v>
      </c>
      <c r="B1751" s="149" t="s">
        <v>33356</v>
      </c>
      <c r="C1751" s="153" t="s">
        <v>196</v>
      </c>
      <c r="D1751" s="154">
        <v>63549.9</v>
      </c>
      <c r="E1751" s="231">
        <v>44855</v>
      </c>
      <c r="F1751" s="154">
        <v>63549.9</v>
      </c>
      <c r="G1751" s="197">
        <f>Tabla111[[#This Row],[Importe]]-Tabla111[[#This Row],[Pagado]]</f>
        <v>0</v>
      </c>
      <c r="H1751" s="153" t="s">
        <v>10</v>
      </c>
    </row>
    <row r="1752" spans="1:8" x14ac:dyDescent="0.25">
      <c r="A1752" s="73">
        <v>44851</v>
      </c>
      <c r="B1752" s="74" t="s">
        <v>33357</v>
      </c>
      <c r="C1752" s="75" t="s">
        <v>7444</v>
      </c>
      <c r="D1752" s="81">
        <v>1156</v>
      </c>
      <c r="E1752" s="230">
        <v>44851</v>
      </c>
      <c r="F1752" s="81">
        <v>1156</v>
      </c>
      <c r="G1752" s="197">
        <f>Tabla111[[#This Row],[Importe]]-Tabla111[[#This Row],[Pagado]]</f>
        <v>0</v>
      </c>
      <c r="H1752" s="75" t="s">
        <v>10</v>
      </c>
    </row>
    <row r="1753" spans="1:8" x14ac:dyDescent="0.25">
      <c r="A1753" s="148">
        <v>44851</v>
      </c>
      <c r="B1753" s="149" t="s">
        <v>33358</v>
      </c>
      <c r="C1753" s="153" t="s">
        <v>31</v>
      </c>
      <c r="D1753" s="154">
        <v>7526.4</v>
      </c>
      <c r="E1753" s="231">
        <v>44851</v>
      </c>
      <c r="F1753" s="154">
        <v>7526.4</v>
      </c>
      <c r="G1753" s="197">
        <f>Tabla111[[#This Row],[Importe]]-Tabla111[[#This Row],[Pagado]]</f>
        <v>0</v>
      </c>
      <c r="H1753" s="153" t="s">
        <v>10</v>
      </c>
    </row>
    <row r="1754" spans="1:8" x14ac:dyDescent="0.25">
      <c r="A1754" s="73">
        <v>44851</v>
      </c>
      <c r="B1754" s="74" t="s">
        <v>33359</v>
      </c>
      <c r="C1754" s="75" t="s">
        <v>27</v>
      </c>
      <c r="D1754" s="81">
        <v>3962.7</v>
      </c>
      <c r="E1754" s="230">
        <v>44851</v>
      </c>
      <c r="F1754" s="81">
        <v>3962.7</v>
      </c>
      <c r="G1754" s="197">
        <f>Tabla111[[#This Row],[Importe]]-Tabla111[[#This Row],[Pagado]]</f>
        <v>0</v>
      </c>
      <c r="H1754" s="75" t="s">
        <v>10</v>
      </c>
    </row>
    <row r="1755" spans="1:8" x14ac:dyDescent="0.25">
      <c r="A1755" s="148">
        <v>44851</v>
      </c>
      <c r="B1755" s="149" t="s">
        <v>33360</v>
      </c>
      <c r="C1755" s="153" t="s">
        <v>17556</v>
      </c>
      <c r="D1755" s="154">
        <v>4219.6000000000004</v>
      </c>
      <c r="E1755" s="231">
        <v>44851</v>
      </c>
      <c r="F1755" s="154">
        <v>4219.6000000000004</v>
      </c>
      <c r="G1755" s="197">
        <f>Tabla111[[#This Row],[Importe]]-Tabla111[[#This Row],[Pagado]]</f>
        <v>0</v>
      </c>
      <c r="H1755" s="153" t="s">
        <v>10</v>
      </c>
    </row>
    <row r="1756" spans="1:8" x14ac:dyDescent="0.25">
      <c r="A1756" s="73">
        <v>44851</v>
      </c>
      <c r="B1756" s="74" t="s">
        <v>33361</v>
      </c>
      <c r="C1756" s="75" t="s">
        <v>875</v>
      </c>
      <c r="D1756" s="81">
        <v>56104</v>
      </c>
      <c r="E1756" s="230">
        <v>44851</v>
      </c>
      <c r="F1756" s="81">
        <v>56104</v>
      </c>
      <c r="G1756" s="197">
        <f>Tabla111[[#This Row],[Importe]]-Tabla111[[#This Row],[Pagado]]</f>
        <v>0</v>
      </c>
      <c r="H1756" s="75" t="s">
        <v>10</v>
      </c>
    </row>
    <row r="1757" spans="1:8" x14ac:dyDescent="0.25">
      <c r="A1757" s="148">
        <v>44851</v>
      </c>
      <c r="B1757" s="149" t="s">
        <v>33362</v>
      </c>
      <c r="C1757" s="153" t="s">
        <v>16</v>
      </c>
      <c r="D1757" s="154">
        <v>7332.2</v>
      </c>
      <c r="E1757" s="231">
        <v>44851</v>
      </c>
      <c r="F1757" s="154">
        <v>7332.2</v>
      </c>
      <c r="G1757" s="197">
        <f>Tabla111[[#This Row],[Importe]]-Tabla111[[#This Row],[Pagado]]</f>
        <v>0</v>
      </c>
      <c r="H1757" s="153" t="s">
        <v>10</v>
      </c>
    </row>
    <row r="1758" spans="1:8" x14ac:dyDescent="0.25">
      <c r="A1758" s="73">
        <v>44851</v>
      </c>
      <c r="B1758" s="74" t="s">
        <v>33363</v>
      </c>
      <c r="C1758" s="75" t="s">
        <v>53</v>
      </c>
      <c r="D1758" s="81">
        <v>1927.6</v>
      </c>
      <c r="E1758" s="230">
        <v>44851</v>
      </c>
      <c r="F1758" s="81">
        <v>1927.6</v>
      </c>
      <c r="G1758" s="197">
        <f>Tabla111[[#This Row],[Importe]]-Tabla111[[#This Row],[Pagado]]</f>
        <v>0</v>
      </c>
      <c r="H1758" s="75" t="s">
        <v>10</v>
      </c>
    </row>
    <row r="1759" spans="1:8" x14ac:dyDescent="0.25">
      <c r="A1759" s="148">
        <v>44851</v>
      </c>
      <c r="B1759" s="149" t="s">
        <v>33364</v>
      </c>
      <c r="C1759" s="153" t="s">
        <v>365</v>
      </c>
      <c r="D1759" s="154">
        <v>1090.8</v>
      </c>
      <c r="E1759" s="231">
        <v>44851</v>
      </c>
      <c r="F1759" s="154">
        <v>1090.8</v>
      </c>
      <c r="G1759" s="197">
        <f>Tabla111[[#This Row],[Importe]]-Tabla111[[#This Row],[Pagado]]</f>
        <v>0</v>
      </c>
      <c r="H1759" s="153" t="s">
        <v>10</v>
      </c>
    </row>
    <row r="1760" spans="1:8" x14ac:dyDescent="0.25">
      <c r="A1760" s="73">
        <v>44851</v>
      </c>
      <c r="B1760" s="74" t="s">
        <v>33365</v>
      </c>
      <c r="C1760" s="75" t="s">
        <v>777</v>
      </c>
      <c r="D1760" s="81">
        <v>2385</v>
      </c>
      <c r="E1760" s="230">
        <v>44851</v>
      </c>
      <c r="F1760" s="81">
        <v>2385</v>
      </c>
      <c r="G1760" s="197">
        <f>Tabla111[[#This Row],[Importe]]-Tabla111[[#This Row],[Pagado]]</f>
        <v>0</v>
      </c>
      <c r="H1760" s="75" t="s">
        <v>10</v>
      </c>
    </row>
    <row r="1761" spans="1:8" x14ac:dyDescent="0.25">
      <c r="A1761" s="148">
        <v>44851</v>
      </c>
      <c r="B1761" s="149" t="s">
        <v>33366</v>
      </c>
      <c r="C1761" s="153" t="s">
        <v>357</v>
      </c>
      <c r="D1761" s="154">
        <v>1118.2</v>
      </c>
      <c r="E1761" s="231">
        <v>44851</v>
      </c>
      <c r="F1761" s="154">
        <v>1118.2</v>
      </c>
      <c r="G1761" s="197">
        <f>Tabla111[[#This Row],[Importe]]-Tabla111[[#This Row],[Pagado]]</f>
        <v>0</v>
      </c>
      <c r="H1761" s="153" t="s">
        <v>10</v>
      </c>
    </row>
    <row r="1762" spans="1:8" x14ac:dyDescent="0.25">
      <c r="A1762" s="73">
        <v>44851</v>
      </c>
      <c r="B1762" s="74" t="s">
        <v>33367</v>
      </c>
      <c r="C1762" s="75" t="s">
        <v>140</v>
      </c>
      <c r="D1762" s="81">
        <v>2491.6</v>
      </c>
      <c r="E1762" s="230">
        <v>44851</v>
      </c>
      <c r="F1762" s="81">
        <v>2491.6</v>
      </c>
      <c r="G1762" s="197">
        <f>Tabla111[[#This Row],[Importe]]-Tabla111[[#This Row],[Pagado]]</f>
        <v>0</v>
      </c>
      <c r="H1762" s="75" t="s">
        <v>10</v>
      </c>
    </row>
    <row r="1763" spans="1:8" x14ac:dyDescent="0.25">
      <c r="A1763" s="148">
        <v>44851</v>
      </c>
      <c r="B1763" s="149" t="s">
        <v>33368</v>
      </c>
      <c r="C1763" s="153" t="s">
        <v>58</v>
      </c>
      <c r="D1763" s="154">
        <v>1464</v>
      </c>
      <c r="E1763" s="231">
        <v>44851</v>
      </c>
      <c r="F1763" s="154">
        <v>1464</v>
      </c>
      <c r="G1763" s="197">
        <f>Tabla111[[#This Row],[Importe]]-Tabla111[[#This Row],[Pagado]]</f>
        <v>0</v>
      </c>
      <c r="H1763" s="153" t="s">
        <v>10</v>
      </c>
    </row>
    <row r="1764" spans="1:8" x14ac:dyDescent="0.25">
      <c r="A1764" s="73">
        <v>44851</v>
      </c>
      <c r="B1764" s="74" t="s">
        <v>33369</v>
      </c>
      <c r="C1764" s="75" t="s">
        <v>339</v>
      </c>
      <c r="D1764" s="81">
        <v>980.7</v>
      </c>
      <c r="E1764" s="230">
        <v>44851</v>
      </c>
      <c r="F1764" s="81">
        <v>980.7</v>
      </c>
      <c r="G1764" s="197">
        <f>Tabla111[[#This Row],[Importe]]-Tabla111[[#This Row],[Pagado]]</f>
        <v>0</v>
      </c>
      <c r="H1764" s="75" t="s">
        <v>10</v>
      </c>
    </row>
    <row r="1765" spans="1:8" x14ac:dyDescent="0.25">
      <c r="A1765" s="148">
        <v>44851</v>
      </c>
      <c r="B1765" s="149" t="s">
        <v>33370</v>
      </c>
      <c r="C1765" s="153" t="s">
        <v>127</v>
      </c>
      <c r="D1765" s="154">
        <v>7151</v>
      </c>
      <c r="E1765" s="231">
        <v>44851</v>
      </c>
      <c r="F1765" s="154">
        <v>7151</v>
      </c>
      <c r="G1765" s="197">
        <f>Tabla111[[#This Row],[Importe]]-Tabla111[[#This Row],[Pagado]]</f>
        <v>0</v>
      </c>
      <c r="H1765" s="153" t="s">
        <v>10</v>
      </c>
    </row>
    <row r="1766" spans="1:8" x14ac:dyDescent="0.25">
      <c r="A1766" s="73">
        <v>44851</v>
      </c>
      <c r="B1766" s="74" t="s">
        <v>33371</v>
      </c>
      <c r="C1766" s="75" t="s">
        <v>131</v>
      </c>
      <c r="D1766" s="81">
        <v>5035.8</v>
      </c>
      <c r="E1766" s="230">
        <v>44851</v>
      </c>
      <c r="F1766" s="81">
        <v>5035.8</v>
      </c>
      <c r="G1766" s="197">
        <f>Tabla111[[#This Row],[Importe]]-Tabla111[[#This Row],[Pagado]]</f>
        <v>0</v>
      </c>
      <c r="H1766" s="75" t="s">
        <v>10</v>
      </c>
    </row>
    <row r="1767" spans="1:8" x14ac:dyDescent="0.25">
      <c r="A1767" s="148">
        <v>44851</v>
      </c>
      <c r="B1767" s="149" t="s">
        <v>33372</v>
      </c>
      <c r="C1767" s="153" t="s">
        <v>37</v>
      </c>
      <c r="D1767" s="154">
        <v>3389.1</v>
      </c>
      <c r="E1767" s="231">
        <v>44851</v>
      </c>
      <c r="F1767" s="154">
        <v>3389.1</v>
      </c>
      <c r="G1767" s="197">
        <f>Tabla111[[#This Row],[Importe]]-Tabla111[[#This Row],[Pagado]]</f>
        <v>0</v>
      </c>
      <c r="H1767" s="153" t="s">
        <v>10</v>
      </c>
    </row>
    <row r="1768" spans="1:8" x14ac:dyDescent="0.25">
      <c r="A1768" s="73">
        <v>44851</v>
      </c>
      <c r="B1768" s="74" t="s">
        <v>33373</v>
      </c>
      <c r="C1768" s="75" t="s">
        <v>79</v>
      </c>
      <c r="D1768" s="81">
        <v>20068.599999999999</v>
      </c>
      <c r="E1768" s="230">
        <v>44851</v>
      </c>
      <c r="F1768" s="81">
        <v>20068.599999999999</v>
      </c>
      <c r="G1768" s="197">
        <f>Tabla111[[#This Row],[Importe]]-Tabla111[[#This Row],[Pagado]]</f>
        <v>0</v>
      </c>
      <c r="H1768" s="75" t="s">
        <v>10</v>
      </c>
    </row>
    <row r="1769" spans="1:8" x14ac:dyDescent="0.25">
      <c r="A1769" s="148">
        <v>44851</v>
      </c>
      <c r="B1769" s="149" t="s">
        <v>33374</v>
      </c>
      <c r="C1769" s="153" t="s">
        <v>149</v>
      </c>
      <c r="D1769" s="154">
        <v>1156.5</v>
      </c>
      <c r="E1769" s="231">
        <v>44851</v>
      </c>
      <c r="F1769" s="154">
        <v>1156.5</v>
      </c>
      <c r="G1769" s="197">
        <f>Tabla111[[#This Row],[Importe]]-Tabla111[[#This Row],[Pagado]]</f>
        <v>0</v>
      </c>
      <c r="H1769" s="153" t="s">
        <v>10</v>
      </c>
    </row>
    <row r="1770" spans="1:8" x14ac:dyDescent="0.25">
      <c r="A1770" s="73">
        <v>44851</v>
      </c>
      <c r="B1770" s="74" t="s">
        <v>33375</v>
      </c>
      <c r="C1770" s="75" t="s">
        <v>45</v>
      </c>
      <c r="D1770" s="81">
        <v>11688.6</v>
      </c>
      <c r="E1770" s="230">
        <v>44851</v>
      </c>
      <c r="F1770" s="81">
        <v>11688.6</v>
      </c>
      <c r="G1770" s="197">
        <f>Tabla111[[#This Row],[Importe]]-Tabla111[[#This Row],[Pagado]]</f>
        <v>0</v>
      </c>
      <c r="H1770" s="75" t="s">
        <v>10</v>
      </c>
    </row>
    <row r="1771" spans="1:8" x14ac:dyDescent="0.25">
      <c r="A1771" s="148">
        <v>44851</v>
      </c>
      <c r="B1771" s="149" t="s">
        <v>33376</v>
      </c>
      <c r="C1771" s="153" t="s">
        <v>204</v>
      </c>
      <c r="D1771" s="154">
        <v>2557.8000000000002</v>
      </c>
      <c r="E1771" s="231">
        <v>44851</v>
      </c>
      <c r="F1771" s="154">
        <v>2557.8000000000002</v>
      </c>
      <c r="G1771" s="197">
        <f>Tabla111[[#This Row],[Importe]]-Tabla111[[#This Row],[Pagado]]</f>
        <v>0</v>
      </c>
      <c r="H1771" s="153" t="s">
        <v>10</v>
      </c>
    </row>
    <row r="1772" spans="1:8" x14ac:dyDescent="0.25">
      <c r="A1772" s="73">
        <v>44851</v>
      </c>
      <c r="B1772" s="74" t="s">
        <v>33377</v>
      </c>
      <c r="C1772" s="75" t="s">
        <v>135</v>
      </c>
      <c r="D1772" s="81">
        <v>1450.44</v>
      </c>
      <c r="E1772" s="230">
        <v>44851</v>
      </c>
      <c r="F1772" s="81">
        <v>1450.44</v>
      </c>
      <c r="G1772" s="197">
        <f>Tabla111[[#This Row],[Importe]]-Tabla111[[#This Row],[Pagado]]</f>
        <v>0</v>
      </c>
      <c r="H1772" s="75" t="s">
        <v>10</v>
      </c>
    </row>
    <row r="1773" spans="1:8" x14ac:dyDescent="0.25">
      <c r="A1773" s="148">
        <v>44851</v>
      </c>
      <c r="B1773" s="149" t="s">
        <v>33378</v>
      </c>
      <c r="C1773" s="153" t="s">
        <v>348</v>
      </c>
      <c r="D1773" s="154">
        <v>7039.4</v>
      </c>
      <c r="E1773" s="231">
        <v>44851</v>
      </c>
      <c r="F1773" s="154">
        <v>7039.4</v>
      </c>
      <c r="G1773" s="197">
        <f>Tabla111[[#This Row],[Importe]]-Tabla111[[#This Row],[Pagado]]</f>
        <v>0</v>
      </c>
      <c r="H1773" s="153" t="s">
        <v>10</v>
      </c>
    </row>
    <row r="1774" spans="1:8" x14ac:dyDescent="0.25">
      <c r="A1774" s="73">
        <v>44851</v>
      </c>
      <c r="B1774" s="74" t="s">
        <v>33379</v>
      </c>
      <c r="C1774" s="75" t="s">
        <v>670</v>
      </c>
      <c r="D1774" s="81">
        <v>4522.5</v>
      </c>
      <c r="E1774" s="230">
        <v>44851</v>
      </c>
      <c r="F1774" s="81">
        <v>4522.5</v>
      </c>
      <c r="G1774" s="197">
        <f>Tabla111[[#This Row],[Importe]]-Tabla111[[#This Row],[Pagado]]</f>
        <v>0</v>
      </c>
      <c r="H1774" s="75" t="s">
        <v>10</v>
      </c>
    </row>
    <row r="1775" spans="1:8" x14ac:dyDescent="0.25">
      <c r="A1775" s="148">
        <v>44851</v>
      </c>
      <c r="B1775" s="149" t="s">
        <v>33380</v>
      </c>
      <c r="C1775" s="153" t="s">
        <v>392</v>
      </c>
      <c r="D1775" s="154">
        <v>29086</v>
      </c>
      <c r="E1775" s="231">
        <v>44858</v>
      </c>
      <c r="F1775" s="154">
        <v>29086</v>
      </c>
      <c r="G1775" s="197">
        <f>Tabla111[[#This Row],[Importe]]-Tabla111[[#This Row],[Pagado]]</f>
        <v>0</v>
      </c>
      <c r="H1775" s="153" t="s">
        <v>10</v>
      </c>
    </row>
    <row r="1776" spans="1:8" x14ac:dyDescent="0.25">
      <c r="A1776" s="73">
        <v>44851</v>
      </c>
      <c r="B1776" s="74" t="s">
        <v>33381</v>
      </c>
      <c r="C1776" s="75" t="s">
        <v>3971</v>
      </c>
      <c r="D1776" s="81">
        <v>4092.2</v>
      </c>
      <c r="E1776" s="230">
        <v>44851</v>
      </c>
      <c r="F1776" s="81">
        <v>4092.2</v>
      </c>
      <c r="G1776" s="197">
        <f>Tabla111[[#This Row],[Importe]]-Tabla111[[#This Row],[Pagado]]</f>
        <v>0</v>
      </c>
      <c r="H1776" s="75" t="s">
        <v>10</v>
      </c>
    </row>
    <row r="1777" spans="1:8" x14ac:dyDescent="0.25">
      <c r="A1777" s="148">
        <v>44851</v>
      </c>
      <c r="B1777" s="149" t="s">
        <v>33382</v>
      </c>
      <c r="C1777" s="153" t="s">
        <v>214</v>
      </c>
      <c r="D1777" s="154">
        <v>1478.4</v>
      </c>
      <c r="E1777" s="231">
        <v>44851</v>
      </c>
      <c r="F1777" s="154">
        <v>1478.4</v>
      </c>
      <c r="G1777" s="197">
        <f>Tabla111[[#This Row],[Importe]]-Tabla111[[#This Row],[Pagado]]</f>
        <v>0</v>
      </c>
      <c r="H1777" s="153" t="s">
        <v>10</v>
      </c>
    </row>
    <row r="1778" spans="1:8" x14ac:dyDescent="0.25">
      <c r="A1778" s="73">
        <v>44851</v>
      </c>
      <c r="B1778" s="74" t="s">
        <v>33383</v>
      </c>
      <c r="C1778" s="75" t="s">
        <v>3971</v>
      </c>
      <c r="D1778" s="81">
        <v>568.4</v>
      </c>
      <c r="E1778" s="230">
        <v>44851</v>
      </c>
      <c r="F1778" s="81">
        <v>568.4</v>
      </c>
      <c r="G1778" s="197">
        <f>Tabla111[[#This Row],[Importe]]-Tabla111[[#This Row],[Pagado]]</f>
        <v>0</v>
      </c>
      <c r="H1778" s="75" t="s">
        <v>10</v>
      </c>
    </row>
    <row r="1779" spans="1:8" x14ac:dyDescent="0.25">
      <c r="A1779" s="148">
        <v>44851</v>
      </c>
      <c r="B1779" s="149" t="s">
        <v>33384</v>
      </c>
      <c r="C1779" s="153" t="s">
        <v>230</v>
      </c>
      <c r="D1779" s="154">
        <v>5168</v>
      </c>
      <c r="E1779" s="231">
        <v>44851</v>
      </c>
      <c r="F1779" s="154">
        <v>5168</v>
      </c>
      <c r="G1779" s="197">
        <f>Tabla111[[#This Row],[Importe]]-Tabla111[[#This Row],[Pagado]]</f>
        <v>0</v>
      </c>
      <c r="H1779" s="153" t="s">
        <v>10</v>
      </c>
    </row>
    <row r="1780" spans="1:8" x14ac:dyDescent="0.25">
      <c r="A1780" s="73">
        <v>44851</v>
      </c>
      <c r="B1780" s="74" t="s">
        <v>33385</v>
      </c>
      <c r="C1780" s="75" t="s">
        <v>296</v>
      </c>
      <c r="D1780" s="81">
        <v>703.1</v>
      </c>
      <c r="E1780" s="230">
        <v>44851</v>
      </c>
      <c r="F1780" s="81">
        <v>703.1</v>
      </c>
      <c r="G1780" s="197">
        <f>Tabla111[[#This Row],[Importe]]-Tabla111[[#This Row],[Pagado]]</f>
        <v>0</v>
      </c>
      <c r="H1780" s="75" t="s">
        <v>10</v>
      </c>
    </row>
    <row r="1781" spans="1:8" x14ac:dyDescent="0.25">
      <c r="A1781" s="148">
        <v>44851</v>
      </c>
      <c r="B1781" s="149" t="s">
        <v>33386</v>
      </c>
      <c r="C1781" s="153" t="s">
        <v>24</v>
      </c>
      <c r="D1781" s="154">
        <v>3751.1</v>
      </c>
      <c r="E1781" s="231">
        <v>44851</v>
      </c>
      <c r="F1781" s="154">
        <v>3751.1</v>
      </c>
      <c r="G1781" s="197">
        <f>Tabla111[[#This Row],[Importe]]-Tabla111[[#This Row],[Pagado]]</f>
        <v>0</v>
      </c>
      <c r="H1781" s="153" t="s">
        <v>10</v>
      </c>
    </row>
    <row r="1782" spans="1:8" x14ac:dyDescent="0.25">
      <c r="A1782" s="73">
        <v>44851</v>
      </c>
      <c r="B1782" s="74" t="s">
        <v>33387</v>
      </c>
      <c r="C1782" s="75" t="s">
        <v>222</v>
      </c>
      <c r="D1782" s="81">
        <v>12161.2</v>
      </c>
      <c r="E1782" s="230">
        <v>44851</v>
      </c>
      <c r="F1782" s="81">
        <v>12161.2</v>
      </c>
      <c r="G1782" s="197">
        <f>Tabla111[[#This Row],[Importe]]-Tabla111[[#This Row],[Pagado]]</f>
        <v>0</v>
      </c>
      <c r="H1782" s="75" t="s">
        <v>10</v>
      </c>
    </row>
    <row r="1783" spans="1:8" x14ac:dyDescent="0.25">
      <c r="A1783" s="148">
        <v>44851</v>
      </c>
      <c r="B1783" s="149" t="s">
        <v>33388</v>
      </c>
      <c r="C1783" s="153" t="s">
        <v>1003</v>
      </c>
      <c r="D1783" s="154">
        <v>6388.2</v>
      </c>
      <c r="E1783" s="231">
        <v>44852</v>
      </c>
      <c r="F1783" s="154">
        <v>6388.2</v>
      </c>
      <c r="G1783" s="197">
        <f>Tabla111[[#This Row],[Importe]]-Tabla111[[#This Row],[Pagado]]</f>
        <v>0</v>
      </c>
      <c r="H1783" s="153" t="s">
        <v>10</v>
      </c>
    </row>
    <row r="1784" spans="1:8" x14ac:dyDescent="0.25">
      <c r="A1784" s="73">
        <v>44851</v>
      </c>
      <c r="B1784" s="74" t="s">
        <v>33389</v>
      </c>
      <c r="C1784" s="75" t="s">
        <v>414</v>
      </c>
      <c r="D1784" s="81">
        <v>24008.6</v>
      </c>
      <c r="E1784" s="230">
        <v>44852</v>
      </c>
      <c r="F1784" s="81">
        <v>24008.6</v>
      </c>
      <c r="G1784" s="197">
        <f>Tabla111[[#This Row],[Importe]]-Tabla111[[#This Row],[Pagado]]</f>
        <v>0</v>
      </c>
      <c r="H1784" s="75" t="s">
        <v>10</v>
      </c>
    </row>
    <row r="1785" spans="1:8" x14ac:dyDescent="0.25">
      <c r="A1785" s="148">
        <v>44851</v>
      </c>
      <c r="B1785" s="149" t="s">
        <v>33390</v>
      </c>
      <c r="C1785" s="153" t="s">
        <v>31323</v>
      </c>
      <c r="D1785" s="154">
        <v>3908</v>
      </c>
      <c r="E1785" s="231">
        <v>44851</v>
      </c>
      <c r="F1785" s="154">
        <v>3908</v>
      </c>
      <c r="G1785" s="197">
        <f>Tabla111[[#This Row],[Importe]]-Tabla111[[#This Row],[Pagado]]</f>
        <v>0</v>
      </c>
      <c r="H1785" s="153" t="s">
        <v>10</v>
      </c>
    </row>
    <row r="1786" spans="1:8" x14ac:dyDescent="0.25">
      <c r="A1786" s="73">
        <v>44851</v>
      </c>
      <c r="B1786" s="74" t="s">
        <v>33391</v>
      </c>
      <c r="C1786" s="75" t="s">
        <v>216</v>
      </c>
      <c r="D1786" s="81">
        <v>3395.7</v>
      </c>
      <c r="E1786" s="230">
        <v>44851</v>
      </c>
      <c r="F1786" s="81">
        <v>3395.7</v>
      </c>
      <c r="G1786" s="197">
        <f>Tabla111[[#This Row],[Importe]]-Tabla111[[#This Row],[Pagado]]</f>
        <v>0</v>
      </c>
      <c r="H1786" s="75" t="s">
        <v>10</v>
      </c>
    </row>
    <row r="1787" spans="1:8" x14ac:dyDescent="0.25">
      <c r="A1787" s="148">
        <v>44851</v>
      </c>
      <c r="B1787" s="149" t="s">
        <v>33392</v>
      </c>
      <c r="C1787" s="153" t="s">
        <v>35</v>
      </c>
      <c r="D1787" s="154">
        <v>2437.1999999999998</v>
      </c>
      <c r="E1787" s="231">
        <v>44851</v>
      </c>
      <c r="F1787" s="154">
        <v>2437.1999999999998</v>
      </c>
      <c r="G1787" s="197">
        <f>Tabla111[[#This Row],[Importe]]-Tabla111[[#This Row],[Pagado]]</f>
        <v>0</v>
      </c>
      <c r="H1787" s="153" t="s">
        <v>10</v>
      </c>
    </row>
    <row r="1788" spans="1:8" x14ac:dyDescent="0.25">
      <c r="A1788" s="73">
        <v>44851</v>
      </c>
      <c r="B1788" s="74" t="s">
        <v>33393</v>
      </c>
      <c r="C1788" s="75" t="s">
        <v>240</v>
      </c>
      <c r="D1788" s="81">
        <v>12506.6</v>
      </c>
      <c r="E1788" s="230">
        <v>44851</v>
      </c>
      <c r="F1788" s="81">
        <v>12506.6</v>
      </c>
      <c r="G1788" s="197">
        <f>Tabla111[[#This Row],[Importe]]-Tabla111[[#This Row],[Pagado]]</f>
        <v>0</v>
      </c>
      <c r="H1788" s="75" t="s">
        <v>10</v>
      </c>
    </row>
    <row r="1789" spans="1:8" x14ac:dyDescent="0.25">
      <c r="A1789" s="148">
        <v>44851</v>
      </c>
      <c r="B1789" s="149" t="s">
        <v>33394</v>
      </c>
      <c r="C1789" s="153" t="s">
        <v>240</v>
      </c>
      <c r="D1789" s="154">
        <v>877.81</v>
      </c>
      <c r="E1789" s="231">
        <v>44851</v>
      </c>
      <c r="F1789" s="154">
        <v>877.81</v>
      </c>
      <c r="G1789" s="197">
        <f>Tabla111[[#This Row],[Importe]]-Tabla111[[#This Row],[Pagado]]</f>
        <v>0</v>
      </c>
      <c r="H1789" s="153" t="s">
        <v>10</v>
      </c>
    </row>
    <row r="1790" spans="1:8" x14ac:dyDescent="0.25">
      <c r="A1790" s="73">
        <v>44851</v>
      </c>
      <c r="B1790" s="74" t="s">
        <v>33395</v>
      </c>
      <c r="C1790" s="75" t="s">
        <v>698</v>
      </c>
      <c r="D1790" s="81">
        <v>11890.4</v>
      </c>
      <c r="E1790" s="230">
        <v>44851</v>
      </c>
      <c r="F1790" s="81">
        <v>11890.4</v>
      </c>
      <c r="G1790" s="197">
        <f>Tabla111[[#This Row],[Importe]]-Tabla111[[#This Row],[Pagado]]</f>
        <v>0</v>
      </c>
      <c r="H1790" s="75" t="s">
        <v>10</v>
      </c>
    </row>
    <row r="1791" spans="1:8" x14ac:dyDescent="0.25">
      <c r="A1791" s="148">
        <v>44851</v>
      </c>
      <c r="B1791" s="149" t="s">
        <v>33396</v>
      </c>
      <c r="C1791" s="153" t="s">
        <v>28087</v>
      </c>
      <c r="D1791" s="154">
        <v>2366.19</v>
      </c>
      <c r="E1791" s="231">
        <v>44851</v>
      </c>
      <c r="F1791" s="154">
        <v>2366.19</v>
      </c>
      <c r="G1791" s="197">
        <f>Tabla111[[#This Row],[Importe]]-Tabla111[[#This Row],[Pagado]]</f>
        <v>0</v>
      </c>
      <c r="H1791" s="153" t="s">
        <v>10</v>
      </c>
    </row>
    <row r="1792" spans="1:8" x14ac:dyDescent="0.25">
      <c r="A1792" s="73">
        <v>44851</v>
      </c>
      <c r="B1792" s="74" t="s">
        <v>33397</v>
      </c>
      <c r="C1792" s="75" t="s">
        <v>206</v>
      </c>
      <c r="D1792" s="81">
        <v>20672.400000000001</v>
      </c>
      <c r="E1792" s="230">
        <v>44854</v>
      </c>
      <c r="F1792" s="81">
        <v>20672.400000000001</v>
      </c>
      <c r="G1792" s="197">
        <f>Tabla111[[#This Row],[Importe]]-Tabla111[[#This Row],[Pagado]]</f>
        <v>0</v>
      </c>
      <c r="H1792" s="75" t="s">
        <v>10</v>
      </c>
    </row>
    <row r="1793" spans="1:8" x14ac:dyDescent="0.25">
      <c r="A1793" s="148">
        <v>44851</v>
      </c>
      <c r="B1793" s="149" t="s">
        <v>33398</v>
      </c>
      <c r="C1793" s="153" t="s">
        <v>212</v>
      </c>
      <c r="D1793" s="154">
        <v>50175.3</v>
      </c>
      <c r="E1793" s="231">
        <v>44854</v>
      </c>
      <c r="F1793" s="154">
        <v>50175.3</v>
      </c>
      <c r="G1793" s="197">
        <f>Tabla111[[#This Row],[Importe]]-Tabla111[[#This Row],[Pagado]]</f>
        <v>0</v>
      </c>
      <c r="H1793" s="153" t="s">
        <v>10</v>
      </c>
    </row>
    <row r="1794" spans="1:8" x14ac:dyDescent="0.25">
      <c r="A1794" s="73">
        <v>44851</v>
      </c>
      <c r="B1794" s="74" t="s">
        <v>33399</v>
      </c>
      <c r="C1794" s="75" t="s">
        <v>154</v>
      </c>
      <c r="D1794" s="81">
        <v>34752</v>
      </c>
      <c r="E1794" s="230">
        <v>44856</v>
      </c>
      <c r="F1794" s="81">
        <v>34752</v>
      </c>
      <c r="G1794" s="197">
        <f>Tabla111[[#This Row],[Importe]]-Tabla111[[#This Row],[Pagado]]</f>
        <v>0</v>
      </c>
      <c r="H1794" s="75" t="s">
        <v>10</v>
      </c>
    </row>
    <row r="1795" spans="1:8" x14ac:dyDescent="0.25">
      <c r="A1795" s="148">
        <v>44851</v>
      </c>
      <c r="B1795" s="149" t="s">
        <v>33400</v>
      </c>
      <c r="C1795" s="153" t="s">
        <v>218</v>
      </c>
      <c r="D1795" s="154">
        <v>11331.3</v>
      </c>
      <c r="E1795" s="231">
        <v>44854</v>
      </c>
      <c r="F1795" s="154">
        <v>11331.3</v>
      </c>
      <c r="G1795" s="197">
        <f>Tabla111[[#This Row],[Importe]]-Tabla111[[#This Row],[Pagado]]</f>
        <v>0</v>
      </c>
      <c r="H1795" s="153" t="s">
        <v>10</v>
      </c>
    </row>
    <row r="1796" spans="1:8" x14ac:dyDescent="0.25">
      <c r="A1796" s="73">
        <v>44851</v>
      </c>
      <c r="B1796" s="74" t="s">
        <v>33401</v>
      </c>
      <c r="C1796" s="75" t="s">
        <v>208</v>
      </c>
      <c r="D1796" s="81">
        <v>21381</v>
      </c>
      <c r="E1796" s="230">
        <v>44852</v>
      </c>
      <c r="F1796" s="81">
        <v>21381</v>
      </c>
      <c r="G1796" s="197">
        <f>Tabla111[[#This Row],[Importe]]-Tabla111[[#This Row],[Pagado]]</f>
        <v>0</v>
      </c>
      <c r="H1796" s="75" t="s">
        <v>10</v>
      </c>
    </row>
    <row r="1797" spans="1:8" x14ac:dyDescent="0.25">
      <c r="A1797" s="148">
        <v>44851</v>
      </c>
      <c r="B1797" s="149" t="s">
        <v>33402</v>
      </c>
      <c r="C1797" s="153" t="s">
        <v>31</v>
      </c>
      <c r="D1797" s="154">
        <v>6650</v>
      </c>
      <c r="E1797" s="231">
        <v>44851</v>
      </c>
      <c r="F1797" s="154">
        <v>6650</v>
      </c>
      <c r="G1797" s="197">
        <f>Tabla111[[#This Row],[Importe]]-Tabla111[[#This Row],[Pagado]]</f>
        <v>0</v>
      </c>
      <c r="H1797" s="153" t="s">
        <v>10</v>
      </c>
    </row>
    <row r="1798" spans="1:8" x14ac:dyDescent="0.25">
      <c r="A1798" s="73">
        <v>44851</v>
      </c>
      <c r="B1798" s="74" t="s">
        <v>33403</v>
      </c>
      <c r="C1798" s="75" t="s">
        <v>233</v>
      </c>
      <c r="D1798" s="81">
        <v>5830.2</v>
      </c>
      <c r="E1798" s="230">
        <v>44851</v>
      </c>
      <c r="F1798" s="81">
        <v>5830.2</v>
      </c>
      <c r="G1798" s="197">
        <f>Tabla111[[#This Row],[Importe]]-Tabla111[[#This Row],[Pagado]]</f>
        <v>0</v>
      </c>
      <c r="H1798" s="75" t="s">
        <v>10</v>
      </c>
    </row>
    <row r="1799" spans="1:8" x14ac:dyDescent="0.25">
      <c r="A1799" s="148">
        <v>44851</v>
      </c>
      <c r="B1799" s="149" t="s">
        <v>33404</v>
      </c>
      <c r="C1799" s="153" t="s">
        <v>56</v>
      </c>
      <c r="D1799" s="154">
        <v>5296.6</v>
      </c>
      <c r="E1799" s="231">
        <v>44851</v>
      </c>
      <c r="F1799" s="154">
        <v>5296.6</v>
      </c>
      <c r="G1799" s="197">
        <f>Tabla111[[#This Row],[Importe]]-Tabla111[[#This Row],[Pagado]]</f>
        <v>0</v>
      </c>
      <c r="H1799" s="153" t="s">
        <v>10</v>
      </c>
    </row>
    <row r="1800" spans="1:8" x14ac:dyDescent="0.25">
      <c r="A1800" s="73">
        <v>44851</v>
      </c>
      <c r="B1800" s="74" t="s">
        <v>33405</v>
      </c>
      <c r="C1800" s="75" t="s">
        <v>1644</v>
      </c>
      <c r="D1800" s="81">
        <v>18915.599999999999</v>
      </c>
      <c r="E1800" s="230">
        <v>44852</v>
      </c>
      <c r="F1800" s="81">
        <v>18915.599999999999</v>
      </c>
      <c r="G1800" s="197">
        <f>Tabla111[[#This Row],[Importe]]-Tabla111[[#This Row],[Pagado]]</f>
        <v>0</v>
      </c>
      <c r="H1800" s="75" t="s">
        <v>10</v>
      </c>
    </row>
    <row r="1801" spans="1:8" x14ac:dyDescent="0.25">
      <c r="A1801" s="148">
        <v>44851</v>
      </c>
      <c r="B1801" s="149" t="s">
        <v>33406</v>
      </c>
      <c r="C1801" s="153" t="s">
        <v>173</v>
      </c>
      <c r="D1801" s="154">
        <v>52108.6</v>
      </c>
      <c r="E1801" s="231">
        <v>44852</v>
      </c>
      <c r="F1801" s="154">
        <v>52108.6</v>
      </c>
      <c r="G1801" s="197">
        <f>Tabla111[[#This Row],[Importe]]-Tabla111[[#This Row],[Pagado]]</f>
        <v>0</v>
      </c>
      <c r="H1801" s="153" t="s">
        <v>10</v>
      </c>
    </row>
    <row r="1802" spans="1:8" x14ac:dyDescent="0.25">
      <c r="A1802" s="73">
        <v>44851</v>
      </c>
      <c r="B1802" s="74" t="s">
        <v>33407</v>
      </c>
      <c r="C1802" s="75" t="s">
        <v>426</v>
      </c>
      <c r="D1802" s="81">
        <v>7402.8</v>
      </c>
      <c r="E1802" s="230">
        <v>44851</v>
      </c>
      <c r="F1802" s="81">
        <v>7402.8</v>
      </c>
      <c r="G1802" s="197">
        <f>Tabla111[[#This Row],[Importe]]-Tabla111[[#This Row],[Pagado]]</f>
        <v>0</v>
      </c>
      <c r="H1802" s="75" t="s">
        <v>10</v>
      </c>
    </row>
    <row r="1803" spans="1:8" x14ac:dyDescent="0.25">
      <c r="A1803" s="148">
        <v>44851</v>
      </c>
      <c r="B1803" s="149" t="s">
        <v>33408</v>
      </c>
      <c r="C1803" s="153" t="s">
        <v>175</v>
      </c>
      <c r="D1803" s="154">
        <v>17361.5</v>
      </c>
      <c r="E1803" s="231">
        <v>44851</v>
      </c>
      <c r="F1803" s="154">
        <v>17361.5</v>
      </c>
      <c r="G1803" s="197">
        <f>Tabla111[[#This Row],[Importe]]-Tabla111[[#This Row],[Pagado]]</f>
        <v>0</v>
      </c>
      <c r="H1803" s="153" t="s">
        <v>10</v>
      </c>
    </row>
    <row r="1804" spans="1:8" x14ac:dyDescent="0.25">
      <c r="A1804" s="73">
        <v>44851</v>
      </c>
      <c r="B1804" s="74" t="s">
        <v>33409</v>
      </c>
      <c r="C1804" s="75" t="s">
        <v>33</v>
      </c>
      <c r="D1804" s="81">
        <v>28217.8</v>
      </c>
      <c r="E1804" s="230">
        <v>44851</v>
      </c>
      <c r="F1804" s="81">
        <v>28217.8</v>
      </c>
      <c r="G1804" s="197">
        <f>Tabla111[[#This Row],[Importe]]-Tabla111[[#This Row],[Pagado]]</f>
        <v>0</v>
      </c>
      <c r="H1804" s="75" t="s">
        <v>10</v>
      </c>
    </row>
    <row r="1805" spans="1:8" x14ac:dyDescent="0.25">
      <c r="A1805" s="148">
        <v>44851</v>
      </c>
      <c r="B1805" s="149" t="s">
        <v>33410</v>
      </c>
      <c r="C1805" s="153" t="s">
        <v>67</v>
      </c>
      <c r="D1805" s="154">
        <v>3235.9</v>
      </c>
      <c r="E1805" s="231">
        <v>44851</v>
      </c>
      <c r="F1805" s="154">
        <v>3235.9</v>
      </c>
      <c r="G1805" s="197">
        <f>Tabla111[[#This Row],[Importe]]-Tabla111[[#This Row],[Pagado]]</f>
        <v>0</v>
      </c>
      <c r="H1805" s="153" t="s">
        <v>10</v>
      </c>
    </row>
    <row r="1806" spans="1:8" x14ac:dyDescent="0.25">
      <c r="A1806" s="73">
        <v>44851</v>
      </c>
      <c r="B1806" s="74" t="s">
        <v>33411</v>
      </c>
      <c r="C1806" s="75" t="s">
        <v>133</v>
      </c>
      <c r="D1806" s="81">
        <v>23415.599999999999</v>
      </c>
      <c r="E1806" s="230">
        <v>44852</v>
      </c>
      <c r="F1806" s="81">
        <v>23415.599999999999</v>
      </c>
      <c r="G1806" s="197">
        <f>Tabla111[[#This Row],[Importe]]-Tabla111[[#This Row],[Pagado]]</f>
        <v>0</v>
      </c>
      <c r="H1806" s="75" t="s">
        <v>10</v>
      </c>
    </row>
    <row r="1807" spans="1:8" x14ac:dyDescent="0.25">
      <c r="A1807" s="148">
        <v>44851</v>
      </c>
      <c r="B1807" s="149" t="s">
        <v>33412</v>
      </c>
      <c r="C1807" s="153" t="s">
        <v>181</v>
      </c>
      <c r="D1807" s="154">
        <v>13833.2</v>
      </c>
      <c r="E1807" s="231">
        <v>44851</v>
      </c>
      <c r="F1807" s="154">
        <v>13833.2</v>
      </c>
      <c r="G1807" s="197">
        <f>Tabla111[[#This Row],[Importe]]-Tabla111[[#This Row],[Pagado]]</f>
        <v>0</v>
      </c>
      <c r="H1807" s="153" t="s">
        <v>10</v>
      </c>
    </row>
    <row r="1808" spans="1:8" x14ac:dyDescent="0.25">
      <c r="A1808" s="73">
        <v>44851</v>
      </c>
      <c r="B1808" s="74" t="s">
        <v>33413</v>
      </c>
      <c r="C1808" s="75" t="s">
        <v>541</v>
      </c>
      <c r="D1808" s="81">
        <v>14608.8</v>
      </c>
      <c r="E1808" s="230">
        <v>44852</v>
      </c>
      <c r="F1808" s="81">
        <v>14608.8</v>
      </c>
      <c r="G1808" s="197">
        <f>Tabla111[[#This Row],[Importe]]-Tabla111[[#This Row],[Pagado]]</f>
        <v>0</v>
      </c>
      <c r="H1808" s="75" t="s">
        <v>10</v>
      </c>
    </row>
    <row r="1809" spans="1:8" x14ac:dyDescent="0.25">
      <c r="A1809" s="148">
        <v>44851</v>
      </c>
      <c r="B1809" s="149" t="s">
        <v>33414</v>
      </c>
      <c r="C1809" s="153" t="s">
        <v>146</v>
      </c>
      <c r="D1809" s="154">
        <v>4280.3999999999996</v>
      </c>
      <c r="E1809" s="231">
        <v>44851</v>
      </c>
      <c r="F1809" s="154">
        <v>4280.3999999999996</v>
      </c>
      <c r="G1809" s="197">
        <f>Tabla111[[#This Row],[Importe]]-Tabla111[[#This Row],[Pagado]]</f>
        <v>0</v>
      </c>
      <c r="H1809" s="153" t="s">
        <v>10</v>
      </c>
    </row>
    <row r="1810" spans="1:8" x14ac:dyDescent="0.25">
      <c r="A1810" s="73">
        <v>44851</v>
      </c>
      <c r="B1810" s="74" t="s">
        <v>33415</v>
      </c>
      <c r="C1810" s="75" t="s">
        <v>419</v>
      </c>
      <c r="D1810" s="81">
        <v>7439.7</v>
      </c>
      <c r="E1810" s="230">
        <v>44851</v>
      </c>
      <c r="F1810" s="81">
        <v>7439.7</v>
      </c>
      <c r="G1810" s="197">
        <f>Tabla111[[#This Row],[Importe]]-Tabla111[[#This Row],[Pagado]]</f>
        <v>0</v>
      </c>
      <c r="H1810" s="75" t="s">
        <v>10</v>
      </c>
    </row>
    <row r="1811" spans="1:8" x14ac:dyDescent="0.25">
      <c r="A1811" s="148">
        <v>44851</v>
      </c>
      <c r="B1811" s="149" t="s">
        <v>33416</v>
      </c>
      <c r="C1811" s="153" t="s">
        <v>31</v>
      </c>
      <c r="D1811" s="154">
        <v>588</v>
      </c>
      <c r="E1811" s="231">
        <v>44851</v>
      </c>
      <c r="F1811" s="154">
        <v>588</v>
      </c>
      <c r="G1811" s="197">
        <f>Tabla111[[#This Row],[Importe]]-Tabla111[[#This Row],[Pagado]]</f>
        <v>0</v>
      </c>
      <c r="H1811" s="153" t="s">
        <v>10</v>
      </c>
    </row>
    <row r="1812" spans="1:8" x14ac:dyDescent="0.25">
      <c r="A1812" s="73">
        <v>44851</v>
      </c>
      <c r="B1812" s="74" t="s">
        <v>33417</v>
      </c>
      <c r="C1812" s="75" t="s">
        <v>1362</v>
      </c>
      <c r="D1812" s="81">
        <v>4929.6000000000004</v>
      </c>
      <c r="E1812" s="230">
        <v>44851</v>
      </c>
      <c r="F1812" s="81">
        <v>4929.6000000000004</v>
      </c>
      <c r="G1812" s="197">
        <f>Tabla111[[#This Row],[Importe]]-Tabla111[[#This Row],[Pagado]]</f>
        <v>0</v>
      </c>
      <c r="H1812" s="75" t="s">
        <v>10</v>
      </c>
    </row>
    <row r="1813" spans="1:8" x14ac:dyDescent="0.25">
      <c r="A1813" s="148">
        <v>44851</v>
      </c>
      <c r="B1813" s="149" t="s">
        <v>33418</v>
      </c>
      <c r="C1813" s="153" t="s">
        <v>1362</v>
      </c>
      <c r="D1813" s="154">
        <v>1602.1</v>
      </c>
      <c r="E1813" s="231">
        <v>44851</v>
      </c>
      <c r="F1813" s="154">
        <v>1602.1</v>
      </c>
      <c r="G1813" s="197">
        <f>Tabla111[[#This Row],[Importe]]-Tabla111[[#This Row],[Pagado]]</f>
        <v>0</v>
      </c>
      <c r="H1813" s="153" t="s">
        <v>10</v>
      </c>
    </row>
    <row r="1814" spans="1:8" x14ac:dyDescent="0.25">
      <c r="A1814" s="73">
        <v>44851</v>
      </c>
      <c r="B1814" s="74" t="s">
        <v>33419</v>
      </c>
      <c r="C1814" s="75" t="s">
        <v>541</v>
      </c>
      <c r="D1814" s="81">
        <v>8316</v>
      </c>
      <c r="E1814" s="230">
        <v>44852</v>
      </c>
      <c r="F1814" s="81">
        <v>8316</v>
      </c>
      <c r="G1814" s="197">
        <f>Tabla111[[#This Row],[Importe]]-Tabla111[[#This Row],[Pagado]]</f>
        <v>0</v>
      </c>
      <c r="H1814" s="75" t="s">
        <v>10</v>
      </c>
    </row>
    <row r="1815" spans="1:8" x14ac:dyDescent="0.25">
      <c r="A1815" s="148">
        <v>44851</v>
      </c>
      <c r="B1815" s="149" t="s">
        <v>33420</v>
      </c>
      <c r="C1815" s="153" t="s">
        <v>28284</v>
      </c>
      <c r="D1815" s="154">
        <v>0</v>
      </c>
      <c r="E1815" s="233" t="s">
        <v>189</v>
      </c>
      <c r="F1815" s="154">
        <v>0</v>
      </c>
      <c r="G1815" s="197">
        <f>Tabla111[[#This Row],[Importe]]-Tabla111[[#This Row],[Pagado]]</f>
        <v>0</v>
      </c>
      <c r="H1815" s="153" t="s">
        <v>189</v>
      </c>
    </row>
    <row r="1816" spans="1:8" x14ac:dyDescent="0.25">
      <c r="A1816" s="73">
        <v>44851</v>
      </c>
      <c r="B1816" s="74" t="s">
        <v>33421</v>
      </c>
      <c r="C1816" s="75" t="s">
        <v>144</v>
      </c>
      <c r="D1816" s="81">
        <v>5029.2</v>
      </c>
      <c r="E1816" s="230">
        <v>44851</v>
      </c>
      <c r="F1816" s="81">
        <v>5029.2</v>
      </c>
      <c r="G1816" s="197">
        <f>Tabla111[[#This Row],[Importe]]-Tabla111[[#This Row],[Pagado]]</f>
        <v>0</v>
      </c>
      <c r="H1816" s="75" t="s">
        <v>10</v>
      </c>
    </row>
    <row r="1817" spans="1:8" x14ac:dyDescent="0.25">
      <c r="A1817" s="148">
        <v>44851</v>
      </c>
      <c r="B1817" s="149" t="s">
        <v>33422</v>
      </c>
      <c r="C1817" s="153" t="s">
        <v>214</v>
      </c>
      <c r="D1817" s="154">
        <v>4175</v>
      </c>
      <c r="E1817" s="231">
        <v>44851</v>
      </c>
      <c r="F1817" s="154">
        <v>4175</v>
      </c>
      <c r="G1817" s="197">
        <f>Tabla111[[#This Row],[Importe]]-Tabla111[[#This Row],[Pagado]]</f>
        <v>0</v>
      </c>
      <c r="H1817" s="153" t="s">
        <v>10</v>
      </c>
    </row>
    <row r="1818" spans="1:8" x14ac:dyDescent="0.25">
      <c r="A1818" s="73">
        <v>44851</v>
      </c>
      <c r="B1818" s="74" t="s">
        <v>33423</v>
      </c>
      <c r="C1818" s="75" t="s">
        <v>296</v>
      </c>
      <c r="D1818" s="81">
        <v>4573.8</v>
      </c>
      <c r="E1818" s="230">
        <v>44851</v>
      </c>
      <c r="F1818" s="81">
        <v>4573.8</v>
      </c>
      <c r="G1818" s="197">
        <f>Tabla111[[#This Row],[Importe]]-Tabla111[[#This Row],[Pagado]]</f>
        <v>0</v>
      </c>
      <c r="H1818" s="75" t="s">
        <v>10</v>
      </c>
    </row>
    <row r="1819" spans="1:8" x14ac:dyDescent="0.25">
      <c r="A1819" s="148">
        <v>44851</v>
      </c>
      <c r="B1819" s="149" t="s">
        <v>33424</v>
      </c>
      <c r="C1819" s="153" t="s">
        <v>107</v>
      </c>
      <c r="D1819" s="154">
        <v>11275.5</v>
      </c>
      <c r="E1819" s="231">
        <v>44851</v>
      </c>
      <c r="F1819" s="154">
        <v>11275.5</v>
      </c>
      <c r="G1819" s="197">
        <f>Tabla111[[#This Row],[Importe]]-Tabla111[[#This Row],[Pagado]]</f>
        <v>0</v>
      </c>
      <c r="H1819" s="153" t="s">
        <v>10</v>
      </c>
    </row>
    <row r="1820" spans="1:8" x14ac:dyDescent="0.25">
      <c r="A1820" s="73">
        <v>44851</v>
      </c>
      <c r="B1820" s="74" t="s">
        <v>33425</v>
      </c>
      <c r="C1820" s="75" t="s">
        <v>291</v>
      </c>
      <c r="D1820" s="81">
        <v>3620</v>
      </c>
      <c r="E1820" s="230">
        <v>44851</v>
      </c>
      <c r="F1820" s="81">
        <v>3620</v>
      </c>
      <c r="G1820" s="197">
        <f>Tabla111[[#This Row],[Importe]]-Tabla111[[#This Row],[Pagado]]</f>
        <v>0</v>
      </c>
      <c r="H1820" s="75" t="s">
        <v>10</v>
      </c>
    </row>
    <row r="1821" spans="1:8" x14ac:dyDescent="0.25">
      <c r="A1821" s="148">
        <v>44851</v>
      </c>
      <c r="B1821" s="149" t="s">
        <v>33426</v>
      </c>
      <c r="C1821" s="153" t="s">
        <v>14</v>
      </c>
      <c r="D1821" s="154">
        <v>26701.8</v>
      </c>
      <c r="E1821" s="231">
        <v>44851</v>
      </c>
      <c r="F1821" s="154">
        <v>26701.8</v>
      </c>
      <c r="G1821" s="197">
        <f>Tabla111[[#This Row],[Importe]]-Tabla111[[#This Row],[Pagado]]</f>
        <v>0</v>
      </c>
      <c r="H1821" s="153" t="s">
        <v>10</v>
      </c>
    </row>
    <row r="1822" spans="1:8" x14ac:dyDescent="0.25">
      <c r="A1822" s="73">
        <v>44851</v>
      </c>
      <c r="B1822" s="74" t="s">
        <v>33427</v>
      </c>
      <c r="C1822" s="75" t="s">
        <v>14</v>
      </c>
      <c r="D1822" s="81">
        <v>5085</v>
      </c>
      <c r="E1822" s="230">
        <v>44851</v>
      </c>
      <c r="F1822" s="81">
        <v>5085</v>
      </c>
      <c r="G1822" s="197">
        <f>Tabla111[[#This Row],[Importe]]-Tabla111[[#This Row],[Pagado]]</f>
        <v>0</v>
      </c>
      <c r="H1822" s="75" t="s">
        <v>10</v>
      </c>
    </row>
    <row r="1823" spans="1:8" x14ac:dyDescent="0.25">
      <c r="A1823" s="148">
        <v>44851</v>
      </c>
      <c r="B1823" s="149" t="s">
        <v>33428</v>
      </c>
      <c r="C1823" s="153" t="s">
        <v>31</v>
      </c>
      <c r="D1823" s="154">
        <v>1537.6</v>
      </c>
      <c r="E1823" s="231">
        <v>44851</v>
      </c>
      <c r="F1823" s="154">
        <v>1537.6</v>
      </c>
      <c r="G1823" s="197">
        <f>Tabla111[[#This Row],[Importe]]-Tabla111[[#This Row],[Pagado]]</f>
        <v>0</v>
      </c>
      <c r="H1823" s="153" t="s">
        <v>10</v>
      </c>
    </row>
    <row r="1824" spans="1:8" x14ac:dyDescent="0.25">
      <c r="A1824" s="73">
        <v>44851</v>
      </c>
      <c r="B1824" s="74" t="s">
        <v>33429</v>
      </c>
      <c r="C1824" s="75" t="s">
        <v>69</v>
      </c>
      <c r="D1824" s="81">
        <v>1516.9</v>
      </c>
      <c r="E1824" s="230">
        <v>44851</v>
      </c>
      <c r="F1824" s="81">
        <v>1516.9</v>
      </c>
      <c r="G1824" s="197">
        <f>Tabla111[[#This Row],[Importe]]-Tabla111[[#This Row],[Pagado]]</f>
        <v>0</v>
      </c>
      <c r="H1824" s="75" t="s">
        <v>10</v>
      </c>
    </row>
    <row r="1825" spans="1:8" x14ac:dyDescent="0.25">
      <c r="A1825" s="148">
        <v>44851</v>
      </c>
      <c r="B1825" s="149" t="s">
        <v>33430</v>
      </c>
      <c r="C1825" s="153" t="s">
        <v>9827</v>
      </c>
      <c r="D1825" s="154">
        <v>4666.2</v>
      </c>
      <c r="E1825" s="231">
        <v>44851</v>
      </c>
      <c r="F1825" s="154">
        <v>4666.2</v>
      </c>
      <c r="G1825" s="197">
        <f>Tabla111[[#This Row],[Importe]]-Tabla111[[#This Row],[Pagado]]</f>
        <v>0</v>
      </c>
      <c r="H1825" s="153" t="s">
        <v>10</v>
      </c>
    </row>
    <row r="1826" spans="1:8" x14ac:dyDescent="0.25">
      <c r="A1826" s="73">
        <v>44851</v>
      </c>
      <c r="B1826" s="74" t="s">
        <v>33431</v>
      </c>
      <c r="C1826" s="75" t="s">
        <v>450</v>
      </c>
      <c r="D1826" s="81">
        <v>9085.6</v>
      </c>
      <c r="E1826" s="230">
        <v>44851</v>
      </c>
      <c r="F1826" s="81">
        <v>9085.6</v>
      </c>
      <c r="G1826" s="197">
        <f>Tabla111[[#This Row],[Importe]]-Tabla111[[#This Row],[Pagado]]</f>
        <v>0</v>
      </c>
      <c r="H1826" s="75" t="s">
        <v>10</v>
      </c>
    </row>
    <row r="1827" spans="1:8" x14ac:dyDescent="0.25">
      <c r="A1827" s="148">
        <v>44851</v>
      </c>
      <c r="B1827" s="149" t="s">
        <v>33432</v>
      </c>
      <c r="C1827" s="153" t="s">
        <v>1008</v>
      </c>
      <c r="D1827" s="154">
        <v>4256</v>
      </c>
      <c r="E1827" s="231">
        <v>44851</v>
      </c>
      <c r="F1827" s="154">
        <v>4256</v>
      </c>
      <c r="G1827" s="197">
        <f>Tabla111[[#This Row],[Importe]]-Tabla111[[#This Row],[Pagado]]</f>
        <v>0</v>
      </c>
      <c r="H1827" s="153" t="s">
        <v>10</v>
      </c>
    </row>
    <row r="1828" spans="1:8" x14ac:dyDescent="0.25">
      <c r="A1828" s="73">
        <v>44851</v>
      </c>
      <c r="B1828" s="74" t="s">
        <v>33433</v>
      </c>
      <c r="C1828" s="75" t="s">
        <v>62</v>
      </c>
      <c r="D1828" s="81">
        <v>4202.8</v>
      </c>
      <c r="E1828" s="230">
        <v>44851</v>
      </c>
      <c r="F1828" s="81">
        <v>4202.8</v>
      </c>
      <c r="G1828" s="197">
        <f>Tabla111[[#This Row],[Importe]]-Tabla111[[#This Row],[Pagado]]</f>
        <v>0</v>
      </c>
      <c r="H1828" s="75" t="s">
        <v>10</v>
      </c>
    </row>
    <row r="1829" spans="1:8" x14ac:dyDescent="0.25">
      <c r="A1829" s="148">
        <v>44851</v>
      </c>
      <c r="B1829" s="149" t="s">
        <v>33434</v>
      </c>
      <c r="C1829" s="153" t="s">
        <v>431</v>
      </c>
      <c r="D1829" s="154">
        <v>1570.8</v>
      </c>
      <c r="E1829" s="231">
        <v>44851</v>
      </c>
      <c r="F1829" s="154">
        <v>1570.8</v>
      </c>
      <c r="G1829" s="197">
        <f>Tabla111[[#This Row],[Importe]]-Tabla111[[#This Row],[Pagado]]</f>
        <v>0</v>
      </c>
      <c r="H1829" s="153" t="s">
        <v>10</v>
      </c>
    </row>
    <row r="1830" spans="1:8" x14ac:dyDescent="0.25">
      <c r="A1830" s="73">
        <v>44851</v>
      </c>
      <c r="B1830" s="74" t="s">
        <v>33435</v>
      </c>
      <c r="C1830" s="75" t="s">
        <v>282</v>
      </c>
      <c r="D1830" s="81">
        <v>1201.2</v>
      </c>
      <c r="E1830" s="230">
        <v>44851</v>
      </c>
      <c r="F1830" s="81">
        <v>1201.2</v>
      </c>
      <c r="G1830" s="197">
        <f>Tabla111[[#This Row],[Importe]]-Tabla111[[#This Row],[Pagado]]</f>
        <v>0</v>
      </c>
      <c r="H1830" s="75" t="s">
        <v>10</v>
      </c>
    </row>
    <row r="1831" spans="1:8" x14ac:dyDescent="0.25">
      <c r="A1831" s="148">
        <v>44851</v>
      </c>
      <c r="B1831" s="149" t="s">
        <v>33436</v>
      </c>
      <c r="C1831" s="153" t="s">
        <v>284</v>
      </c>
      <c r="D1831" s="154">
        <v>8223.6</v>
      </c>
      <c r="E1831" s="231">
        <v>44851</v>
      </c>
      <c r="F1831" s="154">
        <v>8223.6</v>
      </c>
      <c r="G1831" s="197">
        <f>Tabla111[[#This Row],[Importe]]-Tabla111[[#This Row],[Pagado]]</f>
        <v>0</v>
      </c>
      <c r="H1831" s="153" t="s">
        <v>10</v>
      </c>
    </row>
    <row r="1832" spans="1:8" x14ac:dyDescent="0.25">
      <c r="A1832" s="73">
        <v>44851</v>
      </c>
      <c r="B1832" s="74" t="s">
        <v>33437</v>
      </c>
      <c r="C1832" s="75" t="s">
        <v>10819</v>
      </c>
      <c r="D1832" s="81">
        <v>1593.9</v>
      </c>
      <c r="E1832" s="230">
        <v>44851</v>
      </c>
      <c r="F1832" s="81">
        <v>1593.9</v>
      </c>
      <c r="G1832" s="197">
        <f>Tabla111[[#This Row],[Importe]]-Tabla111[[#This Row],[Pagado]]</f>
        <v>0</v>
      </c>
      <c r="H1832" s="75" t="s">
        <v>10</v>
      </c>
    </row>
    <row r="1833" spans="1:8" x14ac:dyDescent="0.25">
      <c r="A1833" s="148">
        <v>44851</v>
      </c>
      <c r="B1833" s="149" t="s">
        <v>33438</v>
      </c>
      <c r="C1833" s="153" t="s">
        <v>16</v>
      </c>
      <c r="D1833" s="154">
        <v>1581</v>
      </c>
      <c r="E1833" s="231">
        <v>44851</v>
      </c>
      <c r="F1833" s="154">
        <v>1581</v>
      </c>
      <c r="G1833" s="197">
        <f>Tabla111[[#This Row],[Importe]]-Tabla111[[#This Row],[Pagado]]</f>
        <v>0</v>
      </c>
      <c r="H1833" s="153" t="s">
        <v>10</v>
      </c>
    </row>
    <row r="1834" spans="1:8" x14ac:dyDescent="0.25">
      <c r="A1834" s="73">
        <v>44851</v>
      </c>
      <c r="B1834" s="74" t="s">
        <v>33439</v>
      </c>
      <c r="C1834" s="75" t="s">
        <v>1378</v>
      </c>
      <c r="D1834" s="81">
        <v>100852.8</v>
      </c>
      <c r="E1834" s="230">
        <v>44852</v>
      </c>
      <c r="F1834" s="81">
        <v>100852.8</v>
      </c>
      <c r="G1834" s="197">
        <f>Tabla111[[#This Row],[Importe]]-Tabla111[[#This Row],[Pagado]]</f>
        <v>0</v>
      </c>
      <c r="H1834" s="75" t="s">
        <v>10</v>
      </c>
    </row>
    <row r="1835" spans="1:8" x14ac:dyDescent="0.25">
      <c r="A1835" s="148">
        <v>44851</v>
      </c>
      <c r="B1835" s="149" t="s">
        <v>33440</v>
      </c>
      <c r="C1835" s="153" t="s">
        <v>450</v>
      </c>
      <c r="D1835" s="154">
        <v>1500.4</v>
      </c>
      <c r="E1835" s="231">
        <v>44851</v>
      </c>
      <c r="F1835" s="154">
        <v>1500.4</v>
      </c>
      <c r="G1835" s="197">
        <f>Tabla111[[#This Row],[Importe]]-Tabla111[[#This Row],[Pagado]]</f>
        <v>0</v>
      </c>
      <c r="H1835" s="153" t="s">
        <v>10</v>
      </c>
    </row>
    <row r="1836" spans="1:8" x14ac:dyDescent="0.25">
      <c r="A1836" s="73">
        <v>44851</v>
      </c>
      <c r="B1836" s="74" t="s">
        <v>33441</v>
      </c>
      <c r="C1836" s="75" t="s">
        <v>19271</v>
      </c>
      <c r="D1836" s="81">
        <v>56442</v>
      </c>
      <c r="E1836" s="230">
        <v>44851</v>
      </c>
      <c r="F1836" s="81">
        <v>56442</v>
      </c>
      <c r="G1836" s="197">
        <f>Tabla111[[#This Row],[Importe]]-Tabla111[[#This Row],[Pagado]]</f>
        <v>0</v>
      </c>
      <c r="H1836" s="75" t="s">
        <v>10</v>
      </c>
    </row>
    <row r="1837" spans="1:8" x14ac:dyDescent="0.25">
      <c r="A1837" s="148">
        <v>44851</v>
      </c>
      <c r="B1837" s="149" t="s">
        <v>33442</v>
      </c>
      <c r="C1837" s="153" t="s">
        <v>53</v>
      </c>
      <c r="D1837" s="154">
        <v>1919.7</v>
      </c>
      <c r="E1837" s="231">
        <v>44851</v>
      </c>
      <c r="F1837" s="154">
        <v>1919.7</v>
      </c>
      <c r="G1837" s="197">
        <f>Tabla111[[#This Row],[Importe]]-Tabla111[[#This Row],[Pagado]]</f>
        <v>0</v>
      </c>
      <c r="H1837" s="153" t="s">
        <v>10</v>
      </c>
    </row>
    <row r="1838" spans="1:8" x14ac:dyDescent="0.25">
      <c r="A1838" s="73">
        <v>44851</v>
      </c>
      <c r="B1838" s="74" t="s">
        <v>33443</v>
      </c>
      <c r="C1838" s="75" t="s">
        <v>421</v>
      </c>
      <c r="D1838" s="81">
        <v>13128.6</v>
      </c>
      <c r="E1838" s="230">
        <v>44856</v>
      </c>
      <c r="F1838" s="81">
        <v>13128.6</v>
      </c>
      <c r="G1838" s="197">
        <f>Tabla111[[#This Row],[Importe]]-Tabla111[[#This Row],[Pagado]]</f>
        <v>0</v>
      </c>
      <c r="H1838" s="75" t="s">
        <v>10</v>
      </c>
    </row>
    <row r="1839" spans="1:8" x14ac:dyDescent="0.25">
      <c r="A1839" s="148">
        <v>44851</v>
      </c>
      <c r="B1839" s="149" t="s">
        <v>33444</v>
      </c>
      <c r="C1839" s="153" t="s">
        <v>31</v>
      </c>
      <c r="D1839" s="154">
        <v>315</v>
      </c>
      <c r="E1839" s="231">
        <v>44851</v>
      </c>
      <c r="F1839" s="154">
        <v>315</v>
      </c>
      <c r="G1839" s="197">
        <f>Tabla111[[#This Row],[Importe]]-Tabla111[[#This Row],[Pagado]]</f>
        <v>0</v>
      </c>
      <c r="H1839" s="153" t="s">
        <v>10</v>
      </c>
    </row>
    <row r="1840" spans="1:8" x14ac:dyDescent="0.25">
      <c r="A1840" s="73">
        <v>44851</v>
      </c>
      <c r="B1840" s="74" t="s">
        <v>33445</v>
      </c>
      <c r="C1840" s="75" t="s">
        <v>31</v>
      </c>
      <c r="D1840" s="81">
        <v>486</v>
      </c>
      <c r="E1840" s="230">
        <v>44851</v>
      </c>
      <c r="F1840" s="81">
        <v>486</v>
      </c>
      <c r="G1840" s="197">
        <f>Tabla111[[#This Row],[Importe]]-Tabla111[[#This Row],[Pagado]]</f>
        <v>0</v>
      </c>
      <c r="H1840" s="75" t="s">
        <v>10</v>
      </c>
    </row>
    <row r="1841" spans="1:8" x14ac:dyDescent="0.25">
      <c r="A1841" s="148">
        <v>44851</v>
      </c>
      <c r="B1841" s="149" t="s">
        <v>33446</v>
      </c>
      <c r="C1841" s="153" t="s">
        <v>440</v>
      </c>
      <c r="D1841" s="154">
        <v>13107.72</v>
      </c>
      <c r="E1841" s="231">
        <v>44862</v>
      </c>
      <c r="F1841" s="154">
        <v>13107.72</v>
      </c>
      <c r="G1841" s="197">
        <f>Tabla111[[#This Row],[Importe]]-Tabla111[[#This Row],[Pagado]]</f>
        <v>0</v>
      </c>
      <c r="H1841" s="153" t="s">
        <v>10</v>
      </c>
    </row>
    <row r="1842" spans="1:8" x14ac:dyDescent="0.25">
      <c r="A1842" s="73">
        <v>44851</v>
      </c>
      <c r="B1842" s="74" t="s">
        <v>33447</v>
      </c>
      <c r="C1842" s="75" t="s">
        <v>31</v>
      </c>
      <c r="D1842" s="81">
        <v>11454</v>
      </c>
      <c r="E1842" s="230">
        <v>44851</v>
      </c>
      <c r="F1842" s="81">
        <v>11454</v>
      </c>
      <c r="G1842" s="197">
        <f>Tabla111[[#This Row],[Importe]]-Tabla111[[#This Row],[Pagado]]</f>
        <v>0</v>
      </c>
      <c r="H1842" s="75" t="s">
        <v>10</v>
      </c>
    </row>
    <row r="1843" spans="1:8" x14ac:dyDescent="0.25">
      <c r="A1843" s="148">
        <v>44851</v>
      </c>
      <c r="B1843" s="149" t="s">
        <v>33448</v>
      </c>
      <c r="C1843" s="153" t="s">
        <v>10678</v>
      </c>
      <c r="D1843" s="154">
        <v>5236.8</v>
      </c>
      <c r="E1843" s="231">
        <v>44851</v>
      </c>
      <c r="F1843" s="154">
        <v>5236.8</v>
      </c>
      <c r="G1843" s="197">
        <f>Tabla111[[#This Row],[Importe]]-Tabla111[[#This Row],[Pagado]]</f>
        <v>0</v>
      </c>
      <c r="H1843" s="153" t="s">
        <v>10</v>
      </c>
    </row>
    <row r="1844" spans="1:8" x14ac:dyDescent="0.25">
      <c r="A1844" s="73">
        <v>44851</v>
      </c>
      <c r="B1844" s="74" t="s">
        <v>33449</v>
      </c>
      <c r="C1844" s="75" t="s">
        <v>5694</v>
      </c>
      <c r="D1844" s="81">
        <v>4407</v>
      </c>
      <c r="E1844" s="230">
        <v>44851</v>
      </c>
      <c r="F1844" s="81">
        <v>4407</v>
      </c>
      <c r="G1844" s="197">
        <f>Tabla111[[#This Row],[Importe]]-Tabla111[[#This Row],[Pagado]]</f>
        <v>0</v>
      </c>
      <c r="H1844" s="75" t="s">
        <v>10</v>
      </c>
    </row>
    <row r="1845" spans="1:8" x14ac:dyDescent="0.25">
      <c r="A1845" s="148">
        <v>44851</v>
      </c>
      <c r="B1845" s="149" t="s">
        <v>33450</v>
      </c>
      <c r="C1845" s="153" t="s">
        <v>1064</v>
      </c>
      <c r="D1845" s="154">
        <v>1428.8</v>
      </c>
      <c r="E1845" s="231">
        <v>44851</v>
      </c>
      <c r="F1845" s="154">
        <v>1428.8</v>
      </c>
      <c r="G1845" s="197">
        <f>Tabla111[[#This Row],[Importe]]-Tabla111[[#This Row],[Pagado]]</f>
        <v>0</v>
      </c>
      <c r="H1845" s="153" t="s">
        <v>10</v>
      </c>
    </row>
    <row r="1846" spans="1:8" x14ac:dyDescent="0.25">
      <c r="A1846" s="73">
        <v>44851</v>
      </c>
      <c r="B1846" s="74" t="s">
        <v>33451</v>
      </c>
      <c r="C1846" s="75" t="s">
        <v>296</v>
      </c>
      <c r="D1846" s="81">
        <v>3970.7</v>
      </c>
      <c r="E1846" s="230">
        <v>44851</v>
      </c>
      <c r="F1846" s="81">
        <v>3970.7</v>
      </c>
      <c r="G1846" s="197">
        <f>Tabla111[[#This Row],[Importe]]-Tabla111[[#This Row],[Pagado]]</f>
        <v>0</v>
      </c>
      <c r="H1846" s="75" t="s">
        <v>10</v>
      </c>
    </row>
    <row r="1847" spans="1:8" x14ac:dyDescent="0.25">
      <c r="A1847" s="148">
        <v>44851</v>
      </c>
      <c r="B1847" s="149" t="s">
        <v>33452</v>
      </c>
      <c r="C1847" s="153" t="s">
        <v>1064</v>
      </c>
      <c r="D1847" s="154">
        <v>664.2</v>
      </c>
      <c r="E1847" s="231">
        <v>44851</v>
      </c>
      <c r="F1847" s="154">
        <v>664.2</v>
      </c>
      <c r="G1847" s="197">
        <f>Tabla111[[#This Row],[Importe]]-Tabla111[[#This Row],[Pagado]]</f>
        <v>0</v>
      </c>
      <c r="H1847" s="153" t="s">
        <v>10</v>
      </c>
    </row>
    <row r="1848" spans="1:8" x14ac:dyDescent="0.25">
      <c r="A1848" s="73">
        <v>44851</v>
      </c>
      <c r="B1848" s="74" t="s">
        <v>33453</v>
      </c>
      <c r="C1848" s="75" t="s">
        <v>31</v>
      </c>
      <c r="D1848" s="81">
        <v>61776.800000000003</v>
      </c>
      <c r="E1848" s="230">
        <v>44851</v>
      </c>
      <c r="F1848" s="81">
        <v>61776.800000000003</v>
      </c>
      <c r="G1848" s="197">
        <f>Tabla111[[#This Row],[Importe]]-Tabla111[[#This Row],[Pagado]]</f>
        <v>0</v>
      </c>
      <c r="H1848" s="75" t="s">
        <v>10</v>
      </c>
    </row>
    <row r="1849" spans="1:8" x14ac:dyDescent="0.25">
      <c r="A1849" s="148">
        <v>44851</v>
      </c>
      <c r="B1849" s="149" t="s">
        <v>33454</v>
      </c>
      <c r="C1849" s="153" t="s">
        <v>414</v>
      </c>
      <c r="D1849" s="154">
        <v>48233.2</v>
      </c>
      <c r="E1849" s="231">
        <v>44860</v>
      </c>
      <c r="F1849" s="154">
        <v>48233.2</v>
      </c>
      <c r="G1849" s="197">
        <f>Tabla111[[#This Row],[Importe]]-Tabla111[[#This Row],[Pagado]]</f>
        <v>0</v>
      </c>
      <c r="H1849" s="153" t="s">
        <v>10</v>
      </c>
    </row>
    <row r="1850" spans="1:8" x14ac:dyDescent="0.25">
      <c r="A1850" s="73">
        <v>44851</v>
      </c>
      <c r="B1850" s="74" t="s">
        <v>33455</v>
      </c>
      <c r="C1850" s="75" t="s">
        <v>56</v>
      </c>
      <c r="D1850" s="81">
        <v>2919.2</v>
      </c>
      <c r="E1850" s="230">
        <v>44851</v>
      </c>
      <c r="F1850" s="81">
        <v>2919.2</v>
      </c>
      <c r="G1850" s="197">
        <f>Tabla111[[#This Row],[Importe]]-Tabla111[[#This Row],[Pagado]]</f>
        <v>0</v>
      </c>
      <c r="H1850" s="75" t="s">
        <v>10</v>
      </c>
    </row>
    <row r="1851" spans="1:8" x14ac:dyDescent="0.25">
      <c r="A1851" s="148">
        <v>44851</v>
      </c>
      <c r="B1851" s="149" t="s">
        <v>33456</v>
      </c>
      <c r="C1851" s="153" t="s">
        <v>196</v>
      </c>
      <c r="D1851" s="154">
        <v>14731.2</v>
      </c>
      <c r="E1851" s="231">
        <v>44855</v>
      </c>
      <c r="F1851" s="154">
        <v>14731.2</v>
      </c>
      <c r="G1851" s="197">
        <f>Tabla111[[#This Row],[Importe]]-Tabla111[[#This Row],[Pagado]]</f>
        <v>0</v>
      </c>
      <c r="H1851" s="153" t="s">
        <v>10</v>
      </c>
    </row>
    <row r="1852" spans="1:8" x14ac:dyDescent="0.25">
      <c r="A1852" s="73">
        <v>44851</v>
      </c>
      <c r="B1852" s="74" t="s">
        <v>33457</v>
      </c>
      <c r="C1852" s="75" t="s">
        <v>31</v>
      </c>
      <c r="D1852" s="81">
        <v>2745</v>
      </c>
      <c r="E1852" s="230">
        <v>44851</v>
      </c>
      <c r="F1852" s="81">
        <v>2745</v>
      </c>
      <c r="G1852" s="197">
        <f>Tabla111[[#This Row],[Importe]]-Tabla111[[#This Row],[Pagado]]</f>
        <v>0</v>
      </c>
      <c r="H1852" s="75" t="s">
        <v>10</v>
      </c>
    </row>
    <row r="1853" spans="1:8" x14ac:dyDescent="0.25">
      <c r="A1853" s="148">
        <v>44851</v>
      </c>
      <c r="B1853" s="149" t="s">
        <v>33458</v>
      </c>
      <c r="C1853" s="153" t="s">
        <v>10840</v>
      </c>
      <c r="D1853" s="154">
        <v>24366.400000000001</v>
      </c>
      <c r="E1853" s="231">
        <v>44860</v>
      </c>
      <c r="F1853" s="154">
        <v>24366.400000000001</v>
      </c>
      <c r="G1853" s="197">
        <f>Tabla111[[#This Row],[Importe]]-Tabla111[[#This Row],[Pagado]]</f>
        <v>0</v>
      </c>
      <c r="H1853" s="153" t="s">
        <v>10</v>
      </c>
    </row>
    <row r="1854" spans="1:8" x14ac:dyDescent="0.25">
      <c r="A1854" s="73">
        <v>44852</v>
      </c>
      <c r="B1854" s="74" t="s">
        <v>33459</v>
      </c>
      <c r="C1854" s="75" t="s">
        <v>887</v>
      </c>
      <c r="D1854" s="81">
        <v>15986.2</v>
      </c>
      <c r="E1854" s="230">
        <v>44853</v>
      </c>
      <c r="F1854" s="81">
        <v>15986.2</v>
      </c>
      <c r="G1854" s="197">
        <f>Tabla111[[#This Row],[Importe]]-Tabla111[[#This Row],[Pagado]]</f>
        <v>0</v>
      </c>
      <c r="H1854" s="75" t="s">
        <v>10</v>
      </c>
    </row>
    <row r="1855" spans="1:8" x14ac:dyDescent="0.25">
      <c r="A1855" s="148">
        <v>44852</v>
      </c>
      <c r="B1855" s="149" t="s">
        <v>33460</v>
      </c>
      <c r="C1855" s="153" t="s">
        <v>414</v>
      </c>
      <c r="D1855" s="154">
        <v>58824</v>
      </c>
      <c r="E1855" s="231">
        <v>44860</v>
      </c>
      <c r="F1855" s="154">
        <v>58824</v>
      </c>
      <c r="G1855" s="197">
        <f>Tabla111[[#This Row],[Importe]]-Tabla111[[#This Row],[Pagado]]</f>
        <v>0</v>
      </c>
      <c r="H1855" s="153" t="s">
        <v>10</v>
      </c>
    </row>
    <row r="1856" spans="1:8" x14ac:dyDescent="0.25">
      <c r="A1856" s="73">
        <v>44852</v>
      </c>
      <c r="B1856" s="74" t="s">
        <v>33461</v>
      </c>
      <c r="C1856" s="75" t="s">
        <v>887</v>
      </c>
      <c r="D1856" s="81">
        <v>5199.2</v>
      </c>
      <c r="E1856" s="230">
        <v>44853</v>
      </c>
      <c r="F1856" s="81">
        <v>5199.2</v>
      </c>
      <c r="G1856" s="197">
        <f>Tabla111[[#This Row],[Importe]]-Tabla111[[#This Row],[Pagado]]</f>
        <v>0</v>
      </c>
      <c r="H1856" s="75" t="s">
        <v>10</v>
      </c>
    </row>
    <row r="1857" spans="1:8" x14ac:dyDescent="0.25">
      <c r="A1857" s="148">
        <v>44852</v>
      </c>
      <c r="B1857" s="149" t="s">
        <v>33462</v>
      </c>
      <c r="C1857" s="153" t="s">
        <v>12</v>
      </c>
      <c r="D1857" s="154">
        <v>27932.15</v>
      </c>
      <c r="E1857" s="231">
        <v>44852</v>
      </c>
      <c r="F1857" s="154">
        <v>27932.15</v>
      </c>
      <c r="G1857" s="197">
        <f>Tabla111[[#This Row],[Importe]]-Tabla111[[#This Row],[Pagado]]</f>
        <v>0</v>
      </c>
      <c r="H1857" s="153" t="s">
        <v>10</v>
      </c>
    </row>
    <row r="1858" spans="1:8" x14ac:dyDescent="0.25">
      <c r="A1858" s="73">
        <v>44852</v>
      </c>
      <c r="B1858" s="74" t="s">
        <v>33463</v>
      </c>
      <c r="C1858" s="75" t="s">
        <v>18</v>
      </c>
      <c r="D1858" s="81">
        <v>1895.4</v>
      </c>
      <c r="E1858" s="230">
        <v>44852</v>
      </c>
      <c r="F1858" s="81">
        <v>1895.4</v>
      </c>
      <c r="G1858" s="197">
        <f>Tabla111[[#This Row],[Importe]]-Tabla111[[#This Row],[Pagado]]</f>
        <v>0</v>
      </c>
      <c r="H1858" s="75" t="s">
        <v>10</v>
      </c>
    </row>
    <row r="1859" spans="1:8" x14ac:dyDescent="0.25">
      <c r="A1859" s="148">
        <v>44852</v>
      </c>
      <c r="B1859" s="149" t="s">
        <v>33464</v>
      </c>
      <c r="C1859" s="153" t="s">
        <v>75</v>
      </c>
      <c r="D1859" s="154">
        <v>7984.9</v>
      </c>
      <c r="E1859" s="231">
        <v>44852</v>
      </c>
      <c r="F1859" s="154">
        <v>7984.9</v>
      </c>
      <c r="G1859" s="197">
        <f>Tabla111[[#This Row],[Importe]]-Tabla111[[#This Row],[Pagado]]</f>
        <v>0</v>
      </c>
      <c r="H1859" s="153" t="s">
        <v>10</v>
      </c>
    </row>
    <row r="1860" spans="1:8" x14ac:dyDescent="0.25">
      <c r="A1860" s="73">
        <v>44852</v>
      </c>
      <c r="B1860" s="74" t="s">
        <v>33465</v>
      </c>
      <c r="C1860" s="75" t="s">
        <v>24768</v>
      </c>
      <c r="D1860" s="81">
        <v>4624</v>
      </c>
      <c r="E1860" s="230">
        <v>44852</v>
      </c>
      <c r="F1860" s="81">
        <v>4624</v>
      </c>
      <c r="G1860" s="197">
        <f>Tabla111[[#This Row],[Importe]]-Tabla111[[#This Row],[Pagado]]</f>
        <v>0</v>
      </c>
      <c r="H1860" s="75" t="s">
        <v>10</v>
      </c>
    </row>
    <row r="1861" spans="1:8" x14ac:dyDescent="0.25">
      <c r="A1861" s="148">
        <v>44852</v>
      </c>
      <c r="B1861" s="149" t="s">
        <v>33466</v>
      </c>
      <c r="C1861" s="153" t="s">
        <v>95</v>
      </c>
      <c r="D1861" s="154">
        <v>25887.8</v>
      </c>
      <c r="E1861" s="231">
        <v>44852</v>
      </c>
      <c r="F1861" s="154">
        <v>25887.8</v>
      </c>
      <c r="G1861" s="197">
        <f>Tabla111[[#This Row],[Importe]]-Tabla111[[#This Row],[Pagado]]</f>
        <v>0</v>
      </c>
      <c r="H1861" s="153" t="s">
        <v>10</v>
      </c>
    </row>
    <row r="1862" spans="1:8" x14ac:dyDescent="0.25">
      <c r="A1862" s="73">
        <v>44852</v>
      </c>
      <c r="B1862" s="74" t="s">
        <v>33467</v>
      </c>
      <c r="C1862" s="75" t="s">
        <v>473</v>
      </c>
      <c r="D1862" s="81">
        <v>5478</v>
      </c>
      <c r="E1862" s="230">
        <v>44852</v>
      </c>
      <c r="F1862" s="81">
        <v>5478</v>
      </c>
      <c r="G1862" s="197">
        <f>Tabla111[[#This Row],[Importe]]-Tabla111[[#This Row],[Pagado]]</f>
        <v>0</v>
      </c>
      <c r="H1862" s="75" t="s">
        <v>10</v>
      </c>
    </row>
    <row r="1863" spans="1:8" x14ac:dyDescent="0.25">
      <c r="A1863" s="148">
        <v>44852</v>
      </c>
      <c r="B1863" s="149" t="s">
        <v>33468</v>
      </c>
      <c r="C1863" s="153" t="s">
        <v>27426</v>
      </c>
      <c r="D1863" s="154">
        <v>5998.5</v>
      </c>
      <c r="E1863" s="231">
        <v>44852</v>
      </c>
      <c r="F1863" s="154">
        <v>5998.5</v>
      </c>
      <c r="G1863" s="197">
        <f>Tabla111[[#This Row],[Importe]]-Tabla111[[#This Row],[Pagado]]</f>
        <v>0</v>
      </c>
      <c r="H1863" s="153" t="s">
        <v>10</v>
      </c>
    </row>
    <row r="1864" spans="1:8" x14ac:dyDescent="0.25">
      <c r="A1864" s="73">
        <v>44852</v>
      </c>
      <c r="B1864" s="74" t="s">
        <v>33469</v>
      </c>
      <c r="C1864" s="75" t="s">
        <v>31</v>
      </c>
      <c r="D1864" s="81">
        <v>4209.8</v>
      </c>
      <c r="E1864" s="230">
        <v>44852</v>
      </c>
      <c r="F1864" s="81">
        <v>4209.8</v>
      </c>
      <c r="G1864" s="197">
        <f>Tabla111[[#This Row],[Importe]]-Tabla111[[#This Row],[Pagado]]</f>
        <v>0</v>
      </c>
      <c r="H1864" s="75" t="s">
        <v>10</v>
      </c>
    </row>
    <row r="1865" spans="1:8" x14ac:dyDescent="0.25">
      <c r="A1865" s="148">
        <v>44852</v>
      </c>
      <c r="B1865" s="149" t="s">
        <v>33470</v>
      </c>
      <c r="C1865" s="153" t="s">
        <v>9</v>
      </c>
      <c r="D1865" s="154">
        <v>8830.2000000000007</v>
      </c>
      <c r="E1865" s="231">
        <v>44852</v>
      </c>
      <c r="F1865" s="154">
        <v>8830.2000000000007</v>
      </c>
      <c r="G1865" s="197">
        <f>Tabla111[[#This Row],[Importe]]-Tabla111[[#This Row],[Pagado]]</f>
        <v>0</v>
      </c>
      <c r="H1865" s="153" t="s">
        <v>10</v>
      </c>
    </row>
    <row r="1866" spans="1:8" x14ac:dyDescent="0.25">
      <c r="A1866" s="73">
        <v>44852</v>
      </c>
      <c r="B1866" s="74" t="s">
        <v>33471</v>
      </c>
      <c r="C1866" s="75" t="s">
        <v>93</v>
      </c>
      <c r="D1866" s="81">
        <v>8792.1</v>
      </c>
      <c r="E1866" s="230" t="s">
        <v>33472</v>
      </c>
      <c r="F1866" s="81">
        <f>3000+5792.1</f>
        <v>8792.1</v>
      </c>
      <c r="G1866" s="197">
        <f>Tabla111[[#This Row],[Importe]]-Tabla111[[#This Row],[Pagado]]</f>
        <v>0</v>
      </c>
      <c r="H1866" s="75" t="s">
        <v>10</v>
      </c>
    </row>
    <row r="1867" spans="1:8" x14ac:dyDescent="0.25">
      <c r="A1867" s="148">
        <v>44852</v>
      </c>
      <c r="B1867" s="149" t="s">
        <v>33473</v>
      </c>
      <c r="C1867" s="153" t="s">
        <v>97</v>
      </c>
      <c r="D1867" s="154">
        <v>7126.8</v>
      </c>
      <c r="E1867" s="231">
        <v>44853</v>
      </c>
      <c r="F1867" s="154">
        <v>7126.8</v>
      </c>
      <c r="G1867" s="197">
        <f>Tabla111[[#This Row],[Importe]]-Tabla111[[#This Row],[Pagado]]</f>
        <v>0</v>
      </c>
      <c r="H1867" s="153" t="s">
        <v>10</v>
      </c>
    </row>
    <row r="1868" spans="1:8" x14ac:dyDescent="0.25">
      <c r="A1868" s="73">
        <v>44852</v>
      </c>
      <c r="B1868" s="74" t="s">
        <v>33474</v>
      </c>
      <c r="C1868" s="75" t="s">
        <v>2563</v>
      </c>
      <c r="D1868" s="81">
        <v>5400.2</v>
      </c>
      <c r="E1868" s="230">
        <v>44853</v>
      </c>
      <c r="F1868" s="81">
        <v>5400.2</v>
      </c>
      <c r="G1868" s="197">
        <f>Tabla111[[#This Row],[Importe]]-Tabla111[[#This Row],[Pagado]]</f>
        <v>0</v>
      </c>
      <c r="H1868" s="75" t="s">
        <v>10</v>
      </c>
    </row>
    <row r="1869" spans="1:8" x14ac:dyDescent="0.25">
      <c r="A1869" s="148">
        <v>44852</v>
      </c>
      <c r="B1869" s="149" t="s">
        <v>33475</v>
      </c>
      <c r="C1869" s="153" t="s">
        <v>114</v>
      </c>
      <c r="D1869" s="154">
        <v>5141.5</v>
      </c>
      <c r="E1869" s="231">
        <v>44853</v>
      </c>
      <c r="F1869" s="154">
        <v>5141.5</v>
      </c>
      <c r="G1869" s="197">
        <f>Tabla111[[#This Row],[Importe]]-Tabla111[[#This Row],[Pagado]]</f>
        <v>0</v>
      </c>
      <c r="H1869" s="153" t="s">
        <v>10</v>
      </c>
    </row>
    <row r="1870" spans="1:8" x14ac:dyDescent="0.25">
      <c r="A1870" s="73">
        <v>44852</v>
      </c>
      <c r="B1870" s="74" t="s">
        <v>33476</v>
      </c>
      <c r="C1870" s="75" t="s">
        <v>64</v>
      </c>
      <c r="D1870" s="81">
        <v>4797</v>
      </c>
      <c r="E1870" s="230">
        <v>44853</v>
      </c>
      <c r="F1870" s="81">
        <v>4797</v>
      </c>
      <c r="G1870" s="197">
        <f>Tabla111[[#This Row],[Importe]]-Tabla111[[#This Row],[Pagado]]</f>
        <v>0</v>
      </c>
      <c r="H1870" s="75" t="s">
        <v>10</v>
      </c>
    </row>
    <row r="1871" spans="1:8" x14ac:dyDescent="0.25">
      <c r="A1871" s="148">
        <v>44852</v>
      </c>
      <c r="B1871" s="149" t="s">
        <v>33477</v>
      </c>
      <c r="C1871" s="153" t="s">
        <v>326</v>
      </c>
      <c r="D1871" s="154">
        <v>11316.3</v>
      </c>
      <c r="E1871" s="231">
        <v>44854</v>
      </c>
      <c r="F1871" s="154">
        <v>11316.3</v>
      </c>
      <c r="G1871" s="197">
        <f>Tabla111[[#This Row],[Importe]]-Tabla111[[#This Row],[Pagado]]</f>
        <v>0</v>
      </c>
      <c r="H1871" s="153" t="s">
        <v>10</v>
      </c>
    </row>
    <row r="1872" spans="1:8" x14ac:dyDescent="0.25">
      <c r="A1872" s="73">
        <v>44852</v>
      </c>
      <c r="B1872" s="74" t="s">
        <v>33478</v>
      </c>
      <c r="C1872" s="75" t="s">
        <v>2151</v>
      </c>
      <c r="D1872" s="81">
        <v>28875</v>
      </c>
      <c r="E1872" s="230">
        <v>44852</v>
      </c>
      <c r="F1872" s="81">
        <v>28875</v>
      </c>
      <c r="G1872" s="197">
        <f>Tabla111[[#This Row],[Importe]]-Tabla111[[#This Row],[Pagado]]</f>
        <v>0</v>
      </c>
      <c r="H1872" s="75" t="s">
        <v>10</v>
      </c>
    </row>
    <row r="1873" spans="1:8" x14ac:dyDescent="0.25">
      <c r="A1873" s="148">
        <v>44852</v>
      </c>
      <c r="B1873" s="149" t="s">
        <v>33479</v>
      </c>
      <c r="C1873" s="153" t="s">
        <v>22</v>
      </c>
      <c r="D1873" s="154">
        <v>58145.3</v>
      </c>
      <c r="E1873" s="231">
        <v>44853</v>
      </c>
      <c r="F1873" s="154">
        <v>58145.3</v>
      </c>
      <c r="G1873" s="197">
        <f>Tabla111[[#This Row],[Importe]]-Tabla111[[#This Row],[Pagado]]</f>
        <v>0</v>
      </c>
      <c r="H1873" s="153" t="s">
        <v>10</v>
      </c>
    </row>
    <row r="1874" spans="1:8" x14ac:dyDescent="0.25">
      <c r="A1874" s="73">
        <v>44852</v>
      </c>
      <c r="B1874" s="74" t="s">
        <v>33480</v>
      </c>
      <c r="C1874" s="75" t="s">
        <v>105</v>
      </c>
      <c r="D1874" s="81">
        <v>8470.1</v>
      </c>
      <c r="E1874" s="230">
        <v>44853</v>
      </c>
      <c r="F1874" s="81">
        <v>8470.1</v>
      </c>
      <c r="G1874" s="197">
        <f>Tabla111[[#This Row],[Importe]]-Tabla111[[#This Row],[Pagado]]</f>
        <v>0</v>
      </c>
      <c r="H1874" s="75" t="s">
        <v>10</v>
      </c>
    </row>
    <row r="1875" spans="1:8" x14ac:dyDescent="0.25">
      <c r="A1875" s="148">
        <v>44852</v>
      </c>
      <c r="B1875" s="149" t="s">
        <v>33481</v>
      </c>
      <c r="C1875" s="153" t="s">
        <v>109</v>
      </c>
      <c r="D1875" s="154">
        <v>5427.5</v>
      </c>
      <c r="E1875" s="231">
        <v>44853</v>
      </c>
      <c r="F1875" s="154">
        <v>5427.5</v>
      </c>
      <c r="G1875" s="197">
        <f>Tabla111[[#This Row],[Importe]]-Tabla111[[#This Row],[Pagado]]</f>
        <v>0</v>
      </c>
      <c r="H1875" s="153" t="s">
        <v>10</v>
      </c>
    </row>
    <row r="1876" spans="1:8" x14ac:dyDescent="0.25">
      <c r="A1876" s="73">
        <v>44852</v>
      </c>
      <c r="B1876" s="74" t="s">
        <v>33482</v>
      </c>
      <c r="C1876" s="75" t="s">
        <v>89</v>
      </c>
      <c r="D1876" s="81">
        <v>12383</v>
      </c>
      <c r="E1876" s="230">
        <v>44853</v>
      </c>
      <c r="F1876" s="81">
        <v>12383</v>
      </c>
      <c r="G1876" s="197">
        <f>Tabla111[[#This Row],[Importe]]-Tabla111[[#This Row],[Pagado]]</f>
        <v>0</v>
      </c>
      <c r="H1876" s="75" t="s">
        <v>10</v>
      </c>
    </row>
    <row r="1877" spans="1:8" x14ac:dyDescent="0.25">
      <c r="A1877" s="148">
        <v>44852</v>
      </c>
      <c r="B1877" s="149" t="s">
        <v>33483</v>
      </c>
      <c r="C1877" s="153" t="s">
        <v>345</v>
      </c>
      <c r="D1877" s="154">
        <v>464</v>
      </c>
      <c r="E1877" s="231">
        <v>44852</v>
      </c>
      <c r="F1877" s="154">
        <v>464</v>
      </c>
      <c r="G1877" s="197">
        <f>Tabla111[[#This Row],[Importe]]-Tabla111[[#This Row],[Pagado]]</f>
        <v>0</v>
      </c>
      <c r="H1877" s="153" t="s">
        <v>10</v>
      </c>
    </row>
    <row r="1878" spans="1:8" x14ac:dyDescent="0.25">
      <c r="A1878" s="73">
        <v>44852</v>
      </c>
      <c r="B1878" s="74" t="s">
        <v>33484</v>
      </c>
      <c r="C1878" s="75" t="s">
        <v>348</v>
      </c>
      <c r="D1878" s="81">
        <v>3216</v>
      </c>
      <c r="E1878" s="230">
        <v>44852</v>
      </c>
      <c r="F1878" s="81">
        <v>3216</v>
      </c>
      <c r="G1878" s="197">
        <f>Tabla111[[#This Row],[Importe]]-Tabla111[[#This Row],[Pagado]]</f>
        <v>0</v>
      </c>
      <c r="H1878" s="75" t="s">
        <v>10</v>
      </c>
    </row>
    <row r="1879" spans="1:8" x14ac:dyDescent="0.25">
      <c r="A1879" s="148">
        <v>44852</v>
      </c>
      <c r="B1879" s="149" t="s">
        <v>33485</v>
      </c>
      <c r="C1879" s="153" t="s">
        <v>31</v>
      </c>
      <c r="D1879" s="154">
        <v>387</v>
      </c>
      <c r="E1879" s="231">
        <v>44852</v>
      </c>
      <c r="F1879" s="154">
        <v>387</v>
      </c>
      <c r="G1879" s="197">
        <f>Tabla111[[#This Row],[Importe]]-Tabla111[[#This Row],[Pagado]]</f>
        <v>0</v>
      </c>
      <c r="H1879" s="153" t="s">
        <v>10</v>
      </c>
    </row>
    <row r="1880" spans="1:8" x14ac:dyDescent="0.25">
      <c r="A1880" s="73">
        <v>44852</v>
      </c>
      <c r="B1880" s="74" t="s">
        <v>33486</v>
      </c>
      <c r="C1880" s="75" t="s">
        <v>31</v>
      </c>
      <c r="D1880" s="81">
        <v>6177</v>
      </c>
      <c r="E1880" s="230">
        <v>44852</v>
      </c>
      <c r="F1880" s="81">
        <v>6177</v>
      </c>
      <c r="G1880" s="197">
        <f>Tabla111[[#This Row],[Importe]]-Tabla111[[#This Row],[Pagado]]</f>
        <v>0</v>
      </c>
      <c r="H1880" s="75" t="s">
        <v>10</v>
      </c>
    </row>
    <row r="1881" spans="1:8" x14ac:dyDescent="0.25">
      <c r="A1881" s="148">
        <v>44852</v>
      </c>
      <c r="B1881" s="149" t="s">
        <v>33487</v>
      </c>
      <c r="C1881" s="153" t="s">
        <v>450</v>
      </c>
      <c r="D1881" s="154">
        <v>6768.3</v>
      </c>
      <c r="E1881" s="231">
        <v>44852</v>
      </c>
      <c r="F1881" s="154">
        <v>6768.3</v>
      </c>
      <c r="G1881" s="197">
        <f>Tabla111[[#This Row],[Importe]]-Tabla111[[#This Row],[Pagado]]</f>
        <v>0</v>
      </c>
      <c r="H1881" s="153" t="s">
        <v>10</v>
      </c>
    </row>
    <row r="1882" spans="1:8" x14ac:dyDescent="0.25">
      <c r="A1882" s="73">
        <v>44852</v>
      </c>
      <c r="B1882" s="74" t="s">
        <v>33488</v>
      </c>
      <c r="C1882" s="75" t="s">
        <v>28087</v>
      </c>
      <c r="D1882" s="81">
        <v>30000</v>
      </c>
      <c r="E1882" s="230">
        <v>44854</v>
      </c>
      <c r="F1882" s="81">
        <v>30000</v>
      </c>
      <c r="G1882" s="197">
        <f>Tabla111[[#This Row],[Importe]]-Tabla111[[#This Row],[Pagado]]</f>
        <v>0</v>
      </c>
      <c r="H1882" s="75" t="s">
        <v>10</v>
      </c>
    </row>
    <row r="1883" spans="1:8" x14ac:dyDescent="0.25">
      <c r="A1883" s="148">
        <v>44852</v>
      </c>
      <c r="B1883" s="149" t="s">
        <v>33489</v>
      </c>
      <c r="C1883" s="153" t="s">
        <v>9415</v>
      </c>
      <c r="D1883" s="154">
        <v>29630.799999999999</v>
      </c>
      <c r="E1883" s="231">
        <v>44856</v>
      </c>
      <c r="F1883" s="154">
        <v>29630.799999999999</v>
      </c>
      <c r="G1883" s="197">
        <f>Tabla111[[#This Row],[Importe]]-Tabla111[[#This Row],[Pagado]]</f>
        <v>0</v>
      </c>
      <c r="H1883" s="153" t="s">
        <v>10</v>
      </c>
    </row>
    <row r="1884" spans="1:8" x14ac:dyDescent="0.25">
      <c r="A1884" s="73">
        <v>44852</v>
      </c>
      <c r="B1884" s="74" t="s">
        <v>33490</v>
      </c>
      <c r="C1884" s="75" t="s">
        <v>142</v>
      </c>
      <c r="D1884" s="81">
        <v>70298.16</v>
      </c>
      <c r="E1884" s="230">
        <v>44894</v>
      </c>
      <c r="F1884" s="81">
        <v>70298.16</v>
      </c>
      <c r="G1884" s="197">
        <f>Tabla111[[#This Row],[Importe]]-Tabla111[[#This Row],[Pagado]]</f>
        <v>0</v>
      </c>
      <c r="H1884" s="75" t="s">
        <v>10</v>
      </c>
    </row>
    <row r="1885" spans="1:8" x14ac:dyDescent="0.25">
      <c r="A1885" s="148">
        <v>44852</v>
      </c>
      <c r="B1885" s="149" t="s">
        <v>33491</v>
      </c>
      <c r="C1885" s="153" t="s">
        <v>151</v>
      </c>
      <c r="D1885" s="154">
        <v>21927.759999999998</v>
      </c>
      <c r="E1885" s="231">
        <v>44852</v>
      </c>
      <c r="F1885" s="154">
        <v>21927.759999999998</v>
      </c>
      <c r="G1885" s="197">
        <f>Tabla111[[#This Row],[Importe]]-Tabla111[[#This Row],[Pagado]]</f>
        <v>0</v>
      </c>
      <c r="H1885" s="153" t="s">
        <v>10</v>
      </c>
    </row>
    <row r="1886" spans="1:8" x14ac:dyDescent="0.25">
      <c r="A1886" s="73">
        <v>44852</v>
      </c>
      <c r="B1886" s="74" t="s">
        <v>33492</v>
      </c>
      <c r="C1886" s="75" t="s">
        <v>159</v>
      </c>
      <c r="D1886" s="81">
        <v>3486.5</v>
      </c>
      <c r="E1886" s="230">
        <v>44852</v>
      </c>
      <c r="F1886" s="81">
        <v>3486.5</v>
      </c>
      <c r="G1886" s="197">
        <f>Tabla111[[#This Row],[Importe]]-Tabla111[[#This Row],[Pagado]]</f>
        <v>0</v>
      </c>
      <c r="H1886" s="75" t="s">
        <v>10</v>
      </c>
    </row>
    <row r="1887" spans="1:8" x14ac:dyDescent="0.25">
      <c r="A1887" s="148">
        <v>44852</v>
      </c>
      <c r="B1887" s="149" t="s">
        <v>33493</v>
      </c>
      <c r="C1887" s="153" t="s">
        <v>87</v>
      </c>
      <c r="D1887" s="154">
        <v>3353.9</v>
      </c>
      <c r="E1887" s="231">
        <v>44853</v>
      </c>
      <c r="F1887" s="154">
        <v>3353.9</v>
      </c>
      <c r="G1887" s="197">
        <f>Tabla111[[#This Row],[Importe]]-Tabla111[[#This Row],[Pagado]]</f>
        <v>0</v>
      </c>
      <c r="H1887" s="153" t="s">
        <v>10</v>
      </c>
    </row>
    <row r="1888" spans="1:8" x14ac:dyDescent="0.25">
      <c r="A1888" s="73">
        <v>44852</v>
      </c>
      <c r="B1888" s="74" t="s">
        <v>33494</v>
      </c>
      <c r="C1888" s="75" t="s">
        <v>83</v>
      </c>
      <c r="D1888" s="81">
        <v>9842.4</v>
      </c>
      <c r="E1888" s="230">
        <v>44853</v>
      </c>
      <c r="F1888" s="81">
        <v>9842.4</v>
      </c>
      <c r="G1888" s="197">
        <f>Tabla111[[#This Row],[Importe]]-Tabla111[[#This Row],[Pagado]]</f>
        <v>0</v>
      </c>
      <c r="H1888" s="75" t="s">
        <v>10</v>
      </c>
    </row>
    <row r="1889" spans="1:8" x14ac:dyDescent="0.25">
      <c r="A1889" s="148">
        <v>44852</v>
      </c>
      <c r="B1889" s="149" t="s">
        <v>33495</v>
      </c>
      <c r="C1889" s="153" t="s">
        <v>966</v>
      </c>
      <c r="D1889" s="154">
        <v>4120.8999999999996</v>
      </c>
      <c r="E1889" s="231">
        <v>44852</v>
      </c>
      <c r="F1889" s="154">
        <v>4120.8999999999996</v>
      </c>
      <c r="G1889" s="197">
        <f>Tabla111[[#This Row],[Importe]]-Tabla111[[#This Row],[Pagado]]</f>
        <v>0</v>
      </c>
      <c r="H1889" s="153" t="s">
        <v>10</v>
      </c>
    </row>
    <row r="1890" spans="1:8" x14ac:dyDescent="0.25">
      <c r="A1890" s="73">
        <v>44852</v>
      </c>
      <c r="B1890" s="74" t="s">
        <v>33496</v>
      </c>
      <c r="C1890" s="75" t="s">
        <v>466</v>
      </c>
      <c r="D1890" s="81">
        <v>8996.4</v>
      </c>
      <c r="E1890" s="230">
        <v>44852</v>
      </c>
      <c r="F1890" s="81">
        <v>8996.4</v>
      </c>
      <c r="G1890" s="197">
        <f>Tabla111[[#This Row],[Importe]]-Tabla111[[#This Row],[Pagado]]</f>
        <v>0</v>
      </c>
      <c r="H1890" s="75" t="s">
        <v>10</v>
      </c>
    </row>
    <row r="1891" spans="1:8" x14ac:dyDescent="0.25">
      <c r="A1891" s="148">
        <v>44852</v>
      </c>
      <c r="B1891" s="149" t="s">
        <v>33497</v>
      </c>
      <c r="C1891" s="153" t="s">
        <v>10190</v>
      </c>
      <c r="D1891" s="154">
        <v>23716.2</v>
      </c>
      <c r="E1891" s="231">
        <v>44853</v>
      </c>
      <c r="F1891" s="154">
        <v>23716.2</v>
      </c>
      <c r="G1891" s="197">
        <f>Tabla111[[#This Row],[Importe]]-Tabla111[[#This Row],[Pagado]]</f>
        <v>0</v>
      </c>
      <c r="H1891" s="153" t="s">
        <v>10</v>
      </c>
    </row>
    <row r="1892" spans="1:8" x14ac:dyDescent="0.25">
      <c r="A1892" s="73">
        <v>44852</v>
      </c>
      <c r="B1892" s="74" t="s">
        <v>33498</v>
      </c>
      <c r="C1892" s="75" t="s">
        <v>4136</v>
      </c>
      <c r="D1892" s="81">
        <v>2393.6</v>
      </c>
      <c r="E1892" s="230">
        <v>44852</v>
      </c>
      <c r="F1892" s="81">
        <v>2393.6</v>
      </c>
      <c r="G1892" s="197">
        <f>Tabla111[[#This Row],[Importe]]-Tabla111[[#This Row],[Pagado]]</f>
        <v>0</v>
      </c>
      <c r="H1892" s="75" t="s">
        <v>10</v>
      </c>
    </row>
    <row r="1893" spans="1:8" x14ac:dyDescent="0.25">
      <c r="A1893" s="148">
        <v>44852</v>
      </c>
      <c r="B1893" s="149" t="s">
        <v>33499</v>
      </c>
      <c r="C1893" s="153" t="s">
        <v>520</v>
      </c>
      <c r="D1893" s="154">
        <v>8937</v>
      </c>
      <c r="E1893" s="231">
        <v>44852</v>
      </c>
      <c r="F1893" s="154">
        <v>8937</v>
      </c>
      <c r="G1893" s="197">
        <f>Tabla111[[#This Row],[Importe]]-Tabla111[[#This Row],[Pagado]]</f>
        <v>0</v>
      </c>
      <c r="H1893" s="153" t="s">
        <v>10</v>
      </c>
    </row>
    <row r="1894" spans="1:8" x14ac:dyDescent="0.25">
      <c r="A1894" s="73">
        <v>44852</v>
      </c>
      <c r="B1894" s="74" t="s">
        <v>33500</v>
      </c>
      <c r="C1894" s="75" t="s">
        <v>157</v>
      </c>
      <c r="D1894" s="81">
        <v>11019.5</v>
      </c>
      <c r="E1894" s="230">
        <v>44852</v>
      </c>
      <c r="F1894" s="81">
        <v>11019.5</v>
      </c>
      <c r="G1894" s="197">
        <f>Tabla111[[#This Row],[Importe]]-Tabla111[[#This Row],[Pagado]]</f>
        <v>0</v>
      </c>
      <c r="H1894" s="75" t="s">
        <v>10</v>
      </c>
    </row>
    <row r="1895" spans="1:8" x14ac:dyDescent="0.25">
      <c r="A1895" s="148">
        <v>44852</v>
      </c>
      <c r="B1895" s="149" t="s">
        <v>33501</v>
      </c>
      <c r="C1895" s="153" t="s">
        <v>314</v>
      </c>
      <c r="D1895" s="154">
        <v>2730</v>
      </c>
      <c r="E1895" s="231">
        <v>44853</v>
      </c>
      <c r="F1895" s="154">
        <v>2730</v>
      </c>
      <c r="G1895" s="197">
        <f>Tabla111[[#This Row],[Importe]]-Tabla111[[#This Row],[Pagado]]</f>
        <v>0</v>
      </c>
      <c r="H1895" s="153" t="s">
        <v>10</v>
      </c>
    </row>
    <row r="1896" spans="1:8" x14ac:dyDescent="0.25">
      <c r="A1896" s="73">
        <v>44852</v>
      </c>
      <c r="B1896" s="74" t="s">
        <v>33502</v>
      </c>
      <c r="C1896" s="75" t="s">
        <v>45</v>
      </c>
      <c r="D1896" s="81">
        <v>13704.1</v>
      </c>
      <c r="E1896" s="230">
        <v>44852</v>
      </c>
      <c r="F1896" s="81">
        <v>13704.1</v>
      </c>
      <c r="G1896" s="197">
        <f>Tabla111[[#This Row],[Importe]]-Tabla111[[#This Row],[Pagado]]</f>
        <v>0</v>
      </c>
      <c r="H1896" s="75" t="s">
        <v>10</v>
      </c>
    </row>
    <row r="1897" spans="1:8" x14ac:dyDescent="0.25">
      <c r="A1897" s="148">
        <v>44852</v>
      </c>
      <c r="B1897" s="149" t="s">
        <v>33503</v>
      </c>
      <c r="C1897" s="153" t="s">
        <v>49</v>
      </c>
      <c r="D1897" s="154">
        <v>3991</v>
      </c>
      <c r="E1897" s="231">
        <v>44852</v>
      </c>
      <c r="F1897" s="154">
        <v>3991</v>
      </c>
      <c r="G1897" s="197">
        <f>Tabla111[[#This Row],[Importe]]-Tabla111[[#This Row],[Pagado]]</f>
        <v>0</v>
      </c>
      <c r="H1897" s="153" t="s">
        <v>10</v>
      </c>
    </row>
    <row r="1898" spans="1:8" x14ac:dyDescent="0.25">
      <c r="A1898" s="73">
        <v>44852</v>
      </c>
      <c r="B1898" s="74" t="s">
        <v>33504</v>
      </c>
      <c r="C1898" s="75" t="s">
        <v>31</v>
      </c>
      <c r="D1898" s="81">
        <v>1970</v>
      </c>
      <c r="E1898" s="230">
        <v>44852</v>
      </c>
      <c r="F1898" s="81">
        <v>1970</v>
      </c>
      <c r="G1898" s="197">
        <f>Tabla111[[#This Row],[Importe]]-Tabla111[[#This Row],[Pagado]]</f>
        <v>0</v>
      </c>
      <c r="H1898" s="75" t="s">
        <v>10</v>
      </c>
    </row>
    <row r="1899" spans="1:8" x14ac:dyDescent="0.25">
      <c r="A1899" s="148">
        <v>44852</v>
      </c>
      <c r="B1899" s="149" t="s">
        <v>33505</v>
      </c>
      <c r="C1899" s="153" t="s">
        <v>58</v>
      </c>
      <c r="D1899" s="154">
        <v>2257</v>
      </c>
      <c r="E1899" s="231">
        <v>44852</v>
      </c>
      <c r="F1899" s="154">
        <v>2257</v>
      </c>
      <c r="G1899" s="197">
        <f>Tabla111[[#This Row],[Importe]]-Tabla111[[#This Row],[Pagado]]</f>
        <v>0</v>
      </c>
      <c r="H1899" s="153" t="s">
        <v>10</v>
      </c>
    </row>
    <row r="1900" spans="1:8" x14ac:dyDescent="0.25">
      <c r="A1900" s="73">
        <v>44852</v>
      </c>
      <c r="B1900" s="74" t="s">
        <v>33506</v>
      </c>
      <c r="C1900" s="75" t="s">
        <v>17556</v>
      </c>
      <c r="D1900" s="81">
        <v>3865.4</v>
      </c>
      <c r="E1900" s="230">
        <v>44852</v>
      </c>
      <c r="F1900" s="81">
        <v>3865.4</v>
      </c>
      <c r="G1900" s="197">
        <f>Tabla111[[#This Row],[Importe]]-Tabla111[[#This Row],[Pagado]]</f>
        <v>0</v>
      </c>
      <c r="H1900" s="75" t="s">
        <v>10</v>
      </c>
    </row>
    <row r="1901" spans="1:8" x14ac:dyDescent="0.25">
      <c r="A1901" s="148">
        <v>44852</v>
      </c>
      <c r="B1901" s="149" t="s">
        <v>33507</v>
      </c>
      <c r="C1901" s="153" t="s">
        <v>79</v>
      </c>
      <c r="D1901" s="154">
        <v>6598.8</v>
      </c>
      <c r="E1901" s="231">
        <v>44852</v>
      </c>
      <c r="F1901" s="154">
        <v>6598.8</v>
      </c>
      <c r="G1901" s="197">
        <f>Tabla111[[#This Row],[Importe]]-Tabla111[[#This Row],[Pagado]]</f>
        <v>0</v>
      </c>
      <c r="H1901" s="153" t="s">
        <v>10</v>
      </c>
    </row>
    <row r="1902" spans="1:8" x14ac:dyDescent="0.25">
      <c r="A1902" s="73">
        <v>44852</v>
      </c>
      <c r="B1902" s="74" t="s">
        <v>33508</v>
      </c>
      <c r="C1902" s="75" t="s">
        <v>214</v>
      </c>
      <c r="D1902" s="81">
        <v>5542.5</v>
      </c>
      <c r="E1902" s="230">
        <v>44853</v>
      </c>
      <c r="F1902" s="81">
        <v>5542.5</v>
      </c>
      <c r="G1902" s="197">
        <f>Tabla111[[#This Row],[Importe]]-Tabla111[[#This Row],[Pagado]]</f>
        <v>0</v>
      </c>
      <c r="H1902" s="75" t="s">
        <v>10</v>
      </c>
    </row>
    <row r="1903" spans="1:8" x14ac:dyDescent="0.25">
      <c r="A1903" s="148">
        <v>44852</v>
      </c>
      <c r="B1903" s="149" t="s">
        <v>33509</v>
      </c>
      <c r="C1903" s="153" t="s">
        <v>319</v>
      </c>
      <c r="D1903" s="154">
        <v>13370.2</v>
      </c>
      <c r="E1903" s="231">
        <v>44852</v>
      </c>
      <c r="F1903" s="154">
        <v>13370.2</v>
      </c>
      <c r="G1903" s="197">
        <f>Tabla111[[#This Row],[Importe]]-Tabla111[[#This Row],[Pagado]]</f>
        <v>0</v>
      </c>
      <c r="H1903" s="153" t="s">
        <v>10</v>
      </c>
    </row>
    <row r="1904" spans="1:8" x14ac:dyDescent="0.25">
      <c r="A1904" s="73">
        <v>44852</v>
      </c>
      <c r="B1904" s="74" t="s">
        <v>33510</v>
      </c>
      <c r="C1904" s="75" t="s">
        <v>934</v>
      </c>
      <c r="D1904" s="81">
        <v>5008.4799999999996</v>
      </c>
      <c r="E1904" s="230">
        <v>44852</v>
      </c>
      <c r="F1904" s="81">
        <v>5008.4799999999996</v>
      </c>
      <c r="G1904" s="197">
        <f>Tabla111[[#This Row],[Importe]]-Tabla111[[#This Row],[Pagado]]</f>
        <v>0</v>
      </c>
      <c r="H1904" s="75" t="s">
        <v>10</v>
      </c>
    </row>
    <row r="1905" spans="1:8" x14ac:dyDescent="0.25">
      <c r="A1905" s="148">
        <v>44852</v>
      </c>
      <c r="B1905" s="149" t="s">
        <v>33511</v>
      </c>
      <c r="C1905" s="153" t="s">
        <v>518</v>
      </c>
      <c r="D1905" s="154">
        <v>1521.8</v>
      </c>
      <c r="E1905" s="231">
        <v>44852</v>
      </c>
      <c r="F1905" s="154">
        <v>1521.8</v>
      </c>
      <c r="G1905" s="197">
        <f>Tabla111[[#This Row],[Importe]]-Tabla111[[#This Row],[Pagado]]</f>
        <v>0</v>
      </c>
      <c r="H1905" s="153" t="s">
        <v>10</v>
      </c>
    </row>
    <row r="1906" spans="1:8" x14ac:dyDescent="0.25">
      <c r="A1906" s="73">
        <v>44852</v>
      </c>
      <c r="B1906" s="74" t="s">
        <v>33512</v>
      </c>
      <c r="C1906" s="75" t="s">
        <v>31323</v>
      </c>
      <c r="D1906" s="81">
        <v>5152</v>
      </c>
      <c r="E1906" s="230">
        <v>44852</v>
      </c>
      <c r="F1906" s="81">
        <v>5152</v>
      </c>
      <c r="G1906" s="197">
        <f>Tabla111[[#This Row],[Importe]]-Tabla111[[#This Row],[Pagado]]</f>
        <v>0</v>
      </c>
      <c r="H1906" s="75" t="s">
        <v>10</v>
      </c>
    </row>
    <row r="1907" spans="1:8" x14ac:dyDescent="0.25">
      <c r="A1907" s="148">
        <v>44852</v>
      </c>
      <c r="B1907" s="149" t="s">
        <v>33513</v>
      </c>
      <c r="C1907" s="153" t="s">
        <v>33514</v>
      </c>
      <c r="D1907" s="154">
        <v>0</v>
      </c>
      <c r="E1907" s="233" t="s">
        <v>189</v>
      </c>
      <c r="F1907" s="154">
        <v>0</v>
      </c>
      <c r="G1907" s="197">
        <f>Tabla111[[#This Row],[Importe]]-Tabla111[[#This Row],[Pagado]]</f>
        <v>0</v>
      </c>
      <c r="H1907" s="159" t="s">
        <v>33515</v>
      </c>
    </row>
    <row r="1908" spans="1:8" x14ac:dyDescent="0.25">
      <c r="A1908" s="73">
        <v>44852</v>
      </c>
      <c r="B1908" s="74" t="s">
        <v>33516</v>
      </c>
      <c r="C1908" s="75" t="s">
        <v>670</v>
      </c>
      <c r="D1908" s="81">
        <v>4905</v>
      </c>
      <c r="E1908" s="230">
        <v>44852</v>
      </c>
      <c r="F1908" s="81">
        <v>4905</v>
      </c>
      <c r="G1908" s="197">
        <f>Tabla111[[#This Row],[Importe]]-Tabla111[[#This Row],[Pagado]]</f>
        <v>0</v>
      </c>
      <c r="H1908" s="75" t="s">
        <v>10</v>
      </c>
    </row>
    <row r="1909" spans="1:8" x14ac:dyDescent="0.25">
      <c r="A1909" s="148">
        <v>44852</v>
      </c>
      <c r="B1909" s="149" t="s">
        <v>33517</v>
      </c>
      <c r="C1909" s="153" t="s">
        <v>681</v>
      </c>
      <c r="D1909" s="154">
        <v>2.62</v>
      </c>
      <c r="E1909" s="231">
        <v>44852</v>
      </c>
      <c r="F1909" s="154">
        <v>2.62</v>
      </c>
      <c r="G1909" s="197">
        <f>Tabla111[[#This Row],[Importe]]-Tabla111[[#This Row],[Pagado]]</f>
        <v>0</v>
      </c>
      <c r="H1909" s="153" t="s">
        <v>10</v>
      </c>
    </row>
    <row r="1910" spans="1:8" x14ac:dyDescent="0.25">
      <c r="A1910" s="73">
        <v>44852</v>
      </c>
      <c r="B1910" s="74" t="s">
        <v>33518</v>
      </c>
      <c r="C1910" s="75" t="s">
        <v>312</v>
      </c>
      <c r="D1910" s="81">
        <v>6522.8</v>
      </c>
      <c r="E1910" s="230">
        <v>44852</v>
      </c>
      <c r="F1910" s="81">
        <v>6522.8</v>
      </c>
      <c r="G1910" s="197">
        <f>Tabla111[[#This Row],[Importe]]-Tabla111[[#This Row],[Pagado]]</f>
        <v>0</v>
      </c>
      <c r="H1910" s="75" t="s">
        <v>10</v>
      </c>
    </row>
    <row r="1911" spans="1:8" x14ac:dyDescent="0.25">
      <c r="A1911" s="148">
        <v>44852</v>
      </c>
      <c r="B1911" s="149" t="s">
        <v>33519</v>
      </c>
      <c r="C1911" s="153" t="s">
        <v>53</v>
      </c>
      <c r="D1911" s="154">
        <v>3152.1</v>
      </c>
      <c r="E1911" s="231">
        <v>44852</v>
      </c>
      <c r="F1911" s="154">
        <v>3152.1</v>
      </c>
      <c r="G1911" s="197">
        <f>Tabla111[[#This Row],[Importe]]-Tabla111[[#This Row],[Pagado]]</f>
        <v>0</v>
      </c>
      <c r="H1911" s="153" t="s">
        <v>10</v>
      </c>
    </row>
    <row r="1912" spans="1:8" x14ac:dyDescent="0.25">
      <c r="A1912" s="73">
        <v>44852</v>
      </c>
      <c r="B1912" s="74" t="s">
        <v>33520</v>
      </c>
      <c r="C1912" s="75" t="s">
        <v>146</v>
      </c>
      <c r="D1912" s="81">
        <v>3978</v>
      </c>
      <c r="E1912" s="230">
        <v>44853</v>
      </c>
      <c r="F1912" s="81">
        <v>3978</v>
      </c>
      <c r="G1912" s="197">
        <f>Tabla111[[#This Row],[Importe]]-Tabla111[[#This Row],[Pagado]]</f>
        <v>0</v>
      </c>
      <c r="H1912" s="75" t="s">
        <v>10</v>
      </c>
    </row>
    <row r="1913" spans="1:8" x14ac:dyDescent="0.25">
      <c r="A1913" s="148">
        <v>44852</v>
      </c>
      <c r="B1913" s="149" t="s">
        <v>33521</v>
      </c>
      <c r="C1913" s="153" t="s">
        <v>107</v>
      </c>
      <c r="D1913" s="154">
        <v>16670.2</v>
      </c>
      <c r="E1913" s="231">
        <v>44853</v>
      </c>
      <c r="F1913" s="154">
        <v>16670.2</v>
      </c>
      <c r="G1913" s="197">
        <f>Tabla111[[#This Row],[Importe]]-Tabla111[[#This Row],[Pagado]]</f>
        <v>0</v>
      </c>
      <c r="H1913" s="153" t="s">
        <v>10</v>
      </c>
    </row>
    <row r="1914" spans="1:8" x14ac:dyDescent="0.25">
      <c r="A1914" s="73">
        <v>44852</v>
      </c>
      <c r="B1914" s="74" t="s">
        <v>33522</v>
      </c>
      <c r="C1914" s="75" t="s">
        <v>127</v>
      </c>
      <c r="D1914" s="81">
        <v>1415.3</v>
      </c>
      <c r="E1914" s="230">
        <v>44853</v>
      </c>
      <c r="F1914" s="81">
        <v>1415.3</v>
      </c>
      <c r="G1914" s="197">
        <f>Tabla111[[#This Row],[Importe]]-Tabla111[[#This Row],[Pagado]]</f>
        <v>0</v>
      </c>
      <c r="H1914" s="75" t="s">
        <v>10</v>
      </c>
    </row>
    <row r="1915" spans="1:8" x14ac:dyDescent="0.25">
      <c r="A1915" s="148">
        <v>44852</v>
      </c>
      <c r="B1915" s="149" t="s">
        <v>33523</v>
      </c>
      <c r="C1915" s="153" t="s">
        <v>357</v>
      </c>
      <c r="D1915" s="154">
        <v>4909.6000000000004</v>
      </c>
      <c r="E1915" s="231">
        <v>44853</v>
      </c>
      <c r="F1915" s="154">
        <v>4909.6000000000004</v>
      </c>
      <c r="G1915" s="197">
        <f>Tabla111[[#This Row],[Importe]]-Tabla111[[#This Row],[Pagado]]</f>
        <v>0</v>
      </c>
      <c r="H1915" s="153" t="s">
        <v>10</v>
      </c>
    </row>
    <row r="1916" spans="1:8" x14ac:dyDescent="0.25">
      <c r="A1916" s="73">
        <v>44852</v>
      </c>
      <c r="B1916" s="74" t="s">
        <v>33524</v>
      </c>
      <c r="C1916" s="75" t="s">
        <v>129</v>
      </c>
      <c r="D1916" s="81">
        <v>2132</v>
      </c>
      <c r="E1916" s="230">
        <v>44853</v>
      </c>
      <c r="F1916" s="81">
        <v>2132</v>
      </c>
      <c r="G1916" s="197">
        <f>Tabla111[[#This Row],[Importe]]-Tabla111[[#This Row],[Pagado]]</f>
        <v>0</v>
      </c>
      <c r="H1916" s="75" t="s">
        <v>10</v>
      </c>
    </row>
    <row r="1917" spans="1:8" x14ac:dyDescent="0.25">
      <c r="A1917" s="148">
        <v>44852</v>
      </c>
      <c r="B1917" s="149" t="s">
        <v>33525</v>
      </c>
      <c r="C1917" s="153" t="s">
        <v>339</v>
      </c>
      <c r="D1917" s="154">
        <v>624.1</v>
      </c>
      <c r="E1917" s="231">
        <v>44853</v>
      </c>
      <c r="F1917" s="154">
        <v>624.1</v>
      </c>
      <c r="G1917" s="197">
        <f>Tabla111[[#This Row],[Importe]]-Tabla111[[#This Row],[Pagado]]</f>
        <v>0</v>
      </c>
      <c r="H1917" s="153" t="s">
        <v>10</v>
      </c>
    </row>
    <row r="1918" spans="1:8" x14ac:dyDescent="0.25">
      <c r="A1918" s="73">
        <v>44852</v>
      </c>
      <c r="B1918" s="74" t="s">
        <v>33526</v>
      </c>
      <c r="C1918" s="75" t="s">
        <v>1362</v>
      </c>
      <c r="D1918" s="81">
        <v>6505</v>
      </c>
      <c r="E1918" s="230">
        <v>44853</v>
      </c>
      <c r="F1918" s="81">
        <v>6505</v>
      </c>
      <c r="G1918" s="197">
        <f>Tabla111[[#This Row],[Importe]]-Tabla111[[#This Row],[Pagado]]</f>
        <v>0</v>
      </c>
      <c r="H1918" s="75" t="s">
        <v>10</v>
      </c>
    </row>
    <row r="1919" spans="1:8" x14ac:dyDescent="0.25">
      <c r="A1919" s="148">
        <v>44852</v>
      </c>
      <c r="B1919" s="149" t="s">
        <v>33527</v>
      </c>
      <c r="C1919" s="153" t="s">
        <v>296</v>
      </c>
      <c r="D1919" s="154">
        <v>6232.8</v>
      </c>
      <c r="E1919" s="231">
        <v>44852</v>
      </c>
      <c r="F1919" s="154">
        <v>6232.8</v>
      </c>
      <c r="G1919" s="197">
        <f>Tabla111[[#This Row],[Importe]]-Tabla111[[#This Row],[Pagado]]</f>
        <v>0</v>
      </c>
      <c r="H1919" s="153" t="s">
        <v>10</v>
      </c>
    </row>
    <row r="1920" spans="1:8" x14ac:dyDescent="0.25">
      <c r="A1920" s="73">
        <v>44852</v>
      </c>
      <c r="B1920" s="74" t="s">
        <v>33528</v>
      </c>
      <c r="C1920" s="75" t="s">
        <v>28087</v>
      </c>
      <c r="D1920" s="81">
        <v>4651.46</v>
      </c>
      <c r="E1920" s="230">
        <v>44854</v>
      </c>
      <c r="F1920" s="81">
        <v>4651.46</v>
      </c>
      <c r="G1920" s="197">
        <f>Tabla111[[#This Row],[Importe]]-Tabla111[[#This Row],[Pagado]]</f>
        <v>0</v>
      </c>
      <c r="H1920" s="75" t="s">
        <v>10</v>
      </c>
    </row>
    <row r="1921" spans="1:8" x14ac:dyDescent="0.25">
      <c r="A1921" s="148">
        <v>44852</v>
      </c>
      <c r="B1921" s="149" t="s">
        <v>33529</v>
      </c>
      <c r="C1921" s="153" t="s">
        <v>135</v>
      </c>
      <c r="D1921" s="154">
        <v>1500</v>
      </c>
      <c r="E1921" s="231">
        <v>44852</v>
      </c>
      <c r="F1921" s="154">
        <v>1500</v>
      </c>
      <c r="G1921" s="197">
        <f>Tabla111[[#This Row],[Importe]]-Tabla111[[#This Row],[Pagado]]</f>
        <v>0</v>
      </c>
      <c r="H1921" s="153" t="s">
        <v>10</v>
      </c>
    </row>
    <row r="1922" spans="1:8" x14ac:dyDescent="0.25">
      <c r="A1922" s="73">
        <v>44852</v>
      </c>
      <c r="B1922" s="74" t="s">
        <v>33530</v>
      </c>
      <c r="C1922" s="75" t="s">
        <v>56</v>
      </c>
      <c r="D1922" s="81">
        <v>9364.7000000000007</v>
      </c>
      <c r="E1922" s="230">
        <v>44852</v>
      </c>
      <c r="F1922" s="81">
        <v>9364.7000000000007</v>
      </c>
      <c r="G1922" s="197">
        <f>Tabla111[[#This Row],[Importe]]-Tabla111[[#This Row],[Pagado]]</f>
        <v>0</v>
      </c>
      <c r="H1922" s="75" t="s">
        <v>10</v>
      </c>
    </row>
    <row r="1923" spans="1:8" x14ac:dyDescent="0.25">
      <c r="A1923" s="148">
        <v>44852</v>
      </c>
      <c r="B1923" s="149" t="s">
        <v>33531</v>
      </c>
      <c r="C1923" s="153" t="s">
        <v>31</v>
      </c>
      <c r="D1923" s="154">
        <v>733.2</v>
      </c>
      <c r="E1923" s="231">
        <v>44852</v>
      </c>
      <c r="F1923" s="154">
        <v>733.2</v>
      </c>
      <c r="G1923" s="197">
        <f>Tabla111[[#This Row],[Importe]]-Tabla111[[#This Row],[Pagado]]</f>
        <v>0</v>
      </c>
      <c r="H1923" s="153" t="s">
        <v>10</v>
      </c>
    </row>
    <row r="1924" spans="1:8" x14ac:dyDescent="0.25">
      <c r="A1924" s="73">
        <v>44852</v>
      </c>
      <c r="B1924" s="74" t="s">
        <v>33532</v>
      </c>
      <c r="C1924" s="75" t="s">
        <v>31168</v>
      </c>
      <c r="D1924" s="81">
        <v>2743.2</v>
      </c>
      <c r="E1924" s="230">
        <v>44852</v>
      </c>
      <c r="F1924" s="81">
        <v>2743.2</v>
      </c>
      <c r="G1924" s="197">
        <f>Tabla111[[#This Row],[Importe]]-Tabla111[[#This Row],[Pagado]]</f>
        <v>0</v>
      </c>
      <c r="H1924" s="75" t="s">
        <v>10</v>
      </c>
    </row>
    <row r="1925" spans="1:8" x14ac:dyDescent="0.25">
      <c r="A1925" s="148">
        <v>44852</v>
      </c>
      <c r="B1925" s="149" t="s">
        <v>33533</v>
      </c>
      <c r="C1925" s="153" t="s">
        <v>698</v>
      </c>
      <c r="D1925" s="154">
        <v>9333.6</v>
      </c>
      <c r="E1925" s="231">
        <v>44852</v>
      </c>
      <c r="F1925" s="154">
        <v>9333.6</v>
      </c>
      <c r="G1925" s="197">
        <f>Tabla111[[#This Row],[Importe]]-Tabla111[[#This Row],[Pagado]]</f>
        <v>0</v>
      </c>
      <c r="H1925" s="153" t="s">
        <v>10</v>
      </c>
    </row>
    <row r="1926" spans="1:8" x14ac:dyDescent="0.25">
      <c r="A1926" s="73">
        <v>44852</v>
      </c>
      <c r="B1926" s="74" t="s">
        <v>33534</v>
      </c>
      <c r="C1926" s="75" t="s">
        <v>230</v>
      </c>
      <c r="D1926" s="81">
        <v>4310.3999999999996</v>
      </c>
      <c r="E1926" s="230">
        <v>44852</v>
      </c>
      <c r="F1926" s="81">
        <v>4310.3999999999996</v>
      </c>
      <c r="G1926" s="197">
        <f>Tabla111[[#This Row],[Importe]]-Tabla111[[#This Row],[Pagado]]</f>
        <v>0</v>
      </c>
      <c r="H1926" s="75" t="s">
        <v>10</v>
      </c>
    </row>
    <row r="1927" spans="1:8" x14ac:dyDescent="0.25">
      <c r="A1927" s="148">
        <v>44852</v>
      </c>
      <c r="B1927" s="149" t="s">
        <v>33535</v>
      </c>
      <c r="C1927" s="153" t="s">
        <v>9827</v>
      </c>
      <c r="D1927" s="154">
        <v>772.2</v>
      </c>
      <c r="E1927" s="231">
        <v>44852</v>
      </c>
      <c r="F1927" s="154">
        <v>772.2</v>
      </c>
      <c r="G1927" s="197">
        <f>Tabla111[[#This Row],[Importe]]-Tabla111[[#This Row],[Pagado]]</f>
        <v>0</v>
      </c>
      <c r="H1927" s="153" t="s">
        <v>10</v>
      </c>
    </row>
    <row r="1928" spans="1:8" x14ac:dyDescent="0.25">
      <c r="A1928" s="73">
        <v>44852</v>
      </c>
      <c r="B1928" s="74" t="s">
        <v>33536</v>
      </c>
      <c r="C1928" s="75" t="s">
        <v>1003</v>
      </c>
      <c r="D1928" s="81">
        <v>6012.6</v>
      </c>
      <c r="E1928" s="230">
        <v>44854</v>
      </c>
      <c r="F1928" s="81">
        <v>6012.6</v>
      </c>
      <c r="G1928" s="197">
        <f>Tabla111[[#This Row],[Importe]]-Tabla111[[#This Row],[Pagado]]</f>
        <v>0</v>
      </c>
      <c r="H1928" s="75" t="s">
        <v>10</v>
      </c>
    </row>
    <row r="1929" spans="1:8" x14ac:dyDescent="0.25">
      <c r="A1929" s="148">
        <v>44852</v>
      </c>
      <c r="B1929" s="149" t="s">
        <v>33537</v>
      </c>
      <c r="C1929" s="153" t="s">
        <v>24</v>
      </c>
      <c r="D1929" s="154">
        <v>3719.1</v>
      </c>
      <c r="E1929" s="231">
        <v>44852</v>
      </c>
      <c r="F1929" s="154">
        <v>3719.1</v>
      </c>
      <c r="G1929" s="197">
        <f>Tabla111[[#This Row],[Importe]]-Tabla111[[#This Row],[Pagado]]</f>
        <v>0</v>
      </c>
      <c r="H1929" s="153" t="s">
        <v>10</v>
      </c>
    </row>
    <row r="1930" spans="1:8" x14ac:dyDescent="0.25">
      <c r="A1930" s="73">
        <v>44852</v>
      </c>
      <c r="B1930" s="74" t="s">
        <v>33538</v>
      </c>
      <c r="C1930" s="75" t="s">
        <v>246</v>
      </c>
      <c r="D1930" s="81">
        <v>90072.960000000006</v>
      </c>
      <c r="E1930" s="230">
        <v>44852</v>
      </c>
      <c r="F1930" s="81">
        <v>90072.960000000006</v>
      </c>
      <c r="G1930" s="197">
        <f>Tabla111[[#This Row],[Importe]]-Tabla111[[#This Row],[Pagado]]</f>
        <v>0</v>
      </c>
      <c r="H1930" s="75" t="s">
        <v>10</v>
      </c>
    </row>
    <row r="1931" spans="1:8" x14ac:dyDescent="0.25">
      <c r="A1931" s="148">
        <v>44852</v>
      </c>
      <c r="B1931" s="149" t="s">
        <v>33539</v>
      </c>
      <c r="C1931" s="153" t="s">
        <v>24284</v>
      </c>
      <c r="D1931" s="154">
        <v>522.6</v>
      </c>
      <c r="E1931" s="231">
        <v>44852</v>
      </c>
      <c r="F1931" s="154">
        <v>522.6</v>
      </c>
      <c r="G1931" s="197">
        <f>Tabla111[[#This Row],[Importe]]-Tabla111[[#This Row],[Pagado]]</f>
        <v>0</v>
      </c>
      <c r="H1931" s="153" t="s">
        <v>10</v>
      </c>
    </row>
    <row r="1932" spans="1:8" x14ac:dyDescent="0.25">
      <c r="A1932" s="73">
        <v>44852</v>
      </c>
      <c r="B1932" s="74" t="s">
        <v>33540</v>
      </c>
      <c r="C1932" s="75" t="s">
        <v>214</v>
      </c>
      <c r="D1932" s="81">
        <v>1497.6</v>
      </c>
      <c r="E1932" s="230">
        <v>44852</v>
      </c>
      <c r="F1932" s="81">
        <v>1497.6</v>
      </c>
      <c r="G1932" s="197">
        <f>Tabla111[[#This Row],[Importe]]-Tabla111[[#This Row],[Pagado]]</f>
        <v>0</v>
      </c>
      <c r="H1932" s="75" t="s">
        <v>10</v>
      </c>
    </row>
    <row r="1933" spans="1:8" x14ac:dyDescent="0.25">
      <c r="A1933" s="148">
        <v>44852</v>
      </c>
      <c r="B1933" s="149" t="s">
        <v>33541</v>
      </c>
      <c r="C1933" s="153" t="s">
        <v>31</v>
      </c>
      <c r="D1933" s="154">
        <v>565.29999999999995</v>
      </c>
      <c r="E1933" s="231">
        <v>44852</v>
      </c>
      <c r="F1933" s="154">
        <v>565.29999999999995</v>
      </c>
      <c r="G1933" s="197">
        <f>Tabla111[[#This Row],[Importe]]-Tabla111[[#This Row],[Pagado]]</f>
        <v>0</v>
      </c>
      <c r="H1933" s="153" t="s">
        <v>10</v>
      </c>
    </row>
    <row r="1934" spans="1:8" x14ac:dyDescent="0.25">
      <c r="A1934" s="73">
        <v>44852</v>
      </c>
      <c r="B1934" s="74" t="s">
        <v>33542</v>
      </c>
      <c r="C1934" s="75" t="s">
        <v>7801</v>
      </c>
      <c r="D1934" s="81">
        <v>12920</v>
      </c>
      <c r="E1934" s="230">
        <v>44852</v>
      </c>
      <c r="F1934" s="81">
        <v>12920</v>
      </c>
      <c r="G1934" s="197">
        <f>Tabla111[[#This Row],[Importe]]-Tabla111[[#This Row],[Pagado]]</f>
        <v>0</v>
      </c>
      <c r="H1934" s="75" t="s">
        <v>10</v>
      </c>
    </row>
    <row r="1935" spans="1:8" x14ac:dyDescent="0.25">
      <c r="A1935" s="148">
        <v>44852</v>
      </c>
      <c r="B1935" s="149" t="s">
        <v>33543</v>
      </c>
      <c r="C1935" s="153" t="s">
        <v>67</v>
      </c>
      <c r="D1935" s="154">
        <v>1803.6</v>
      </c>
      <c r="E1935" s="231">
        <v>44852</v>
      </c>
      <c r="F1935" s="154">
        <v>1803.6</v>
      </c>
      <c r="G1935" s="197">
        <f>Tabla111[[#This Row],[Importe]]-Tabla111[[#This Row],[Pagado]]</f>
        <v>0</v>
      </c>
      <c r="H1935" s="153" t="s">
        <v>10</v>
      </c>
    </row>
    <row r="1936" spans="1:8" x14ac:dyDescent="0.25">
      <c r="A1936" s="73">
        <v>44852</v>
      </c>
      <c r="B1936" s="74" t="s">
        <v>33544</v>
      </c>
      <c r="C1936" s="75" t="s">
        <v>419</v>
      </c>
      <c r="D1936" s="81">
        <v>6908.5</v>
      </c>
      <c r="E1936" s="230">
        <v>44852</v>
      </c>
      <c r="F1936" s="81">
        <v>6908.5</v>
      </c>
      <c r="G1936" s="197">
        <f>Tabla111[[#This Row],[Importe]]-Tabla111[[#This Row],[Pagado]]</f>
        <v>0</v>
      </c>
      <c r="H1936" s="75" t="s">
        <v>10</v>
      </c>
    </row>
    <row r="1937" spans="1:8" x14ac:dyDescent="0.25">
      <c r="A1937" s="148">
        <v>44852</v>
      </c>
      <c r="B1937" s="149" t="s">
        <v>33545</v>
      </c>
      <c r="C1937" s="153" t="s">
        <v>32678</v>
      </c>
      <c r="D1937" s="154">
        <v>0</v>
      </c>
      <c r="E1937" s="233" t="s">
        <v>189</v>
      </c>
      <c r="F1937" s="154">
        <v>0</v>
      </c>
      <c r="G1937" s="197">
        <f>Tabla111[[#This Row],[Importe]]-Tabla111[[#This Row],[Pagado]]</f>
        <v>0</v>
      </c>
      <c r="H1937" s="159" t="s">
        <v>33546</v>
      </c>
    </row>
    <row r="1938" spans="1:8" x14ac:dyDescent="0.25">
      <c r="A1938" s="73">
        <v>44852</v>
      </c>
      <c r="B1938" s="74" t="s">
        <v>33547</v>
      </c>
      <c r="C1938" s="75" t="s">
        <v>10678</v>
      </c>
      <c r="D1938" s="81">
        <v>3169.9</v>
      </c>
      <c r="E1938" s="230">
        <v>44852</v>
      </c>
      <c r="F1938" s="81">
        <v>3169.9</v>
      </c>
      <c r="G1938" s="197">
        <f>Tabla111[[#This Row],[Importe]]-Tabla111[[#This Row],[Pagado]]</f>
        <v>0</v>
      </c>
      <c r="H1938" s="75" t="s">
        <v>10</v>
      </c>
    </row>
    <row r="1939" spans="1:8" x14ac:dyDescent="0.25">
      <c r="A1939" s="148">
        <v>44852</v>
      </c>
      <c r="B1939" s="149" t="s">
        <v>33548</v>
      </c>
      <c r="C1939" s="153" t="s">
        <v>9577</v>
      </c>
      <c r="D1939" s="154">
        <v>28423.7</v>
      </c>
      <c r="E1939" s="231">
        <v>44852</v>
      </c>
      <c r="F1939" s="154">
        <v>28423.7</v>
      </c>
      <c r="G1939" s="197">
        <f>Tabla111[[#This Row],[Importe]]-Tabla111[[#This Row],[Pagado]]</f>
        <v>0</v>
      </c>
      <c r="H1939" s="153" t="s">
        <v>10</v>
      </c>
    </row>
    <row r="1940" spans="1:8" x14ac:dyDescent="0.25">
      <c r="A1940" s="73">
        <v>44852</v>
      </c>
      <c r="B1940" s="74" t="s">
        <v>33549</v>
      </c>
      <c r="C1940" s="75" t="s">
        <v>9993</v>
      </c>
      <c r="D1940" s="81">
        <v>45030.2</v>
      </c>
      <c r="E1940" s="230">
        <v>44852</v>
      </c>
      <c r="F1940" s="81">
        <v>45030.2</v>
      </c>
      <c r="G1940" s="197">
        <f>Tabla111[[#This Row],[Importe]]-Tabla111[[#This Row],[Pagado]]</f>
        <v>0</v>
      </c>
      <c r="H1940" s="75" t="s">
        <v>10</v>
      </c>
    </row>
    <row r="1941" spans="1:8" x14ac:dyDescent="0.25">
      <c r="A1941" s="148">
        <v>44852</v>
      </c>
      <c r="B1941" s="149" t="s">
        <v>33550</v>
      </c>
      <c r="C1941" s="153" t="s">
        <v>612</v>
      </c>
      <c r="D1941" s="154">
        <v>1317</v>
      </c>
      <c r="E1941" s="231">
        <v>44852</v>
      </c>
      <c r="F1941" s="154">
        <v>1317</v>
      </c>
      <c r="G1941" s="197">
        <f>Tabla111[[#This Row],[Importe]]-Tabla111[[#This Row],[Pagado]]</f>
        <v>0</v>
      </c>
      <c r="H1941" s="153" t="s">
        <v>10</v>
      </c>
    </row>
    <row r="1942" spans="1:8" x14ac:dyDescent="0.25">
      <c r="A1942" s="73">
        <v>44852</v>
      </c>
      <c r="B1942" s="74" t="s">
        <v>33551</v>
      </c>
      <c r="C1942" s="75" t="s">
        <v>994</v>
      </c>
      <c r="D1942" s="81">
        <v>3088.8</v>
      </c>
      <c r="E1942" s="230">
        <v>44852</v>
      </c>
      <c r="F1942" s="81">
        <v>3088.8</v>
      </c>
      <c r="G1942" s="197">
        <f>Tabla111[[#This Row],[Importe]]-Tabla111[[#This Row],[Pagado]]</f>
        <v>0</v>
      </c>
      <c r="H1942" s="75" t="s">
        <v>10</v>
      </c>
    </row>
    <row r="1943" spans="1:8" x14ac:dyDescent="0.25">
      <c r="A1943" s="148">
        <v>44852</v>
      </c>
      <c r="B1943" s="149" t="s">
        <v>33552</v>
      </c>
      <c r="C1943" s="153" t="s">
        <v>1265</v>
      </c>
      <c r="D1943" s="154">
        <v>574.20000000000005</v>
      </c>
      <c r="E1943" s="231">
        <v>44852</v>
      </c>
      <c r="F1943" s="154">
        <v>574.20000000000005</v>
      </c>
      <c r="G1943" s="197">
        <f>Tabla111[[#This Row],[Importe]]-Tabla111[[#This Row],[Pagado]]</f>
        <v>0</v>
      </c>
      <c r="H1943" s="153" t="s">
        <v>10</v>
      </c>
    </row>
    <row r="1944" spans="1:8" x14ac:dyDescent="0.25">
      <c r="A1944" s="73">
        <v>44852</v>
      </c>
      <c r="B1944" s="74" t="s">
        <v>33553</v>
      </c>
      <c r="C1944" s="75" t="s">
        <v>433</v>
      </c>
      <c r="D1944" s="81">
        <v>22500</v>
      </c>
      <c r="E1944" s="230">
        <v>44852</v>
      </c>
      <c r="F1944" s="81">
        <v>22500</v>
      </c>
      <c r="G1944" s="197">
        <f>Tabla111[[#This Row],[Importe]]-Tabla111[[#This Row],[Pagado]]</f>
        <v>0</v>
      </c>
      <c r="H1944" s="75" t="s">
        <v>10</v>
      </c>
    </row>
    <row r="1945" spans="1:8" x14ac:dyDescent="0.25">
      <c r="A1945" s="148">
        <v>44852</v>
      </c>
      <c r="B1945" s="149" t="s">
        <v>33554</v>
      </c>
      <c r="C1945" s="153" t="s">
        <v>296</v>
      </c>
      <c r="D1945" s="154">
        <v>1460.2</v>
      </c>
      <c r="E1945" s="231">
        <v>44852</v>
      </c>
      <c r="F1945" s="154">
        <v>1460.2</v>
      </c>
      <c r="G1945" s="197">
        <f>Tabla111[[#This Row],[Importe]]-Tabla111[[#This Row],[Pagado]]</f>
        <v>0</v>
      </c>
      <c r="H1945" s="153" t="s">
        <v>10</v>
      </c>
    </row>
    <row r="1946" spans="1:8" x14ac:dyDescent="0.25">
      <c r="A1946" s="73">
        <v>44852</v>
      </c>
      <c r="B1946" s="74" t="s">
        <v>33555</v>
      </c>
      <c r="C1946" s="75" t="s">
        <v>31</v>
      </c>
      <c r="D1946" s="81">
        <v>17136</v>
      </c>
      <c r="E1946" s="230">
        <v>44852</v>
      </c>
      <c r="F1946" s="81">
        <v>17136</v>
      </c>
      <c r="G1946" s="197">
        <f>Tabla111[[#This Row],[Importe]]-Tabla111[[#This Row],[Pagado]]</f>
        <v>0</v>
      </c>
      <c r="H1946" s="75" t="s">
        <v>10</v>
      </c>
    </row>
    <row r="1947" spans="1:8" x14ac:dyDescent="0.25">
      <c r="A1947" s="148">
        <v>44852</v>
      </c>
      <c r="B1947" s="149" t="s">
        <v>33556</v>
      </c>
      <c r="C1947" s="153" t="s">
        <v>10157</v>
      </c>
      <c r="D1947" s="154">
        <v>5239.8</v>
      </c>
      <c r="E1947" s="231">
        <v>44852</v>
      </c>
      <c r="F1947" s="154">
        <v>5239.8</v>
      </c>
      <c r="G1947" s="197">
        <f>Tabla111[[#This Row],[Importe]]-Tabla111[[#This Row],[Pagado]]</f>
        <v>0</v>
      </c>
      <c r="H1947" s="153" t="s">
        <v>10</v>
      </c>
    </row>
    <row r="1948" spans="1:8" x14ac:dyDescent="0.25">
      <c r="A1948" s="73">
        <v>44852</v>
      </c>
      <c r="B1948" s="74" t="s">
        <v>33557</v>
      </c>
      <c r="C1948" s="75" t="s">
        <v>2377</v>
      </c>
      <c r="D1948" s="81">
        <v>63200</v>
      </c>
      <c r="E1948" s="230">
        <v>44852</v>
      </c>
      <c r="F1948" s="81">
        <v>63200</v>
      </c>
      <c r="G1948" s="197">
        <f>Tabla111[[#This Row],[Importe]]-Tabla111[[#This Row],[Pagado]]</f>
        <v>0</v>
      </c>
      <c r="H1948" s="75" t="s">
        <v>10</v>
      </c>
    </row>
    <row r="1949" spans="1:8" x14ac:dyDescent="0.25">
      <c r="A1949" s="148">
        <v>44852</v>
      </c>
      <c r="B1949" s="149" t="s">
        <v>33558</v>
      </c>
      <c r="C1949" s="153" t="s">
        <v>193</v>
      </c>
      <c r="D1949" s="154">
        <v>19425.599999999999</v>
      </c>
      <c r="E1949" s="231">
        <v>44852</v>
      </c>
      <c r="F1949" s="154">
        <v>19425.599999999999</v>
      </c>
      <c r="G1949" s="197">
        <f>Tabla111[[#This Row],[Importe]]-Tabla111[[#This Row],[Pagado]]</f>
        <v>0</v>
      </c>
      <c r="H1949" s="153" t="s">
        <v>10</v>
      </c>
    </row>
    <row r="1950" spans="1:8" x14ac:dyDescent="0.25">
      <c r="A1950" s="73">
        <v>44852</v>
      </c>
      <c r="B1950" s="74" t="s">
        <v>33559</v>
      </c>
      <c r="C1950" s="75" t="s">
        <v>3747</v>
      </c>
      <c r="D1950" s="81">
        <v>17000</v>
      </c>
      <c r="E1950" s="230">
        <v>44852</v>
      </c>
      <c r="F1950" s="81">
        <v>17000</v>
      </c>
      <c r="G1950" s="197">
        <f>Tabla111[[#This Row],[Importe]]-Tabla111[[#This Row],[Pagado]]</f>
        <v>0</v>
      </c>
      <c r="H1950" s="75" t="s">
        <v>10</v>
      </c>
    </row>
    <row r="1951" spans="1:8" x14ac:dyDescent="0.25">
      <c r="A1951" s="148">
        <v>44852</v>
      </c>
      <c r="B1951" s="149" t="s">
        <v>33560</v>
      </c>
      <c r="C1951" s="153" t="s">
        <v>284</v>
      </c>
      <c r="D1951" s="154">
        <v>7948.2</v>
      </c>
      <c r="E1951" s="231">
        <v>44853</v>
      </c>
      <c r="F1951" s="154">
        <v>7948.2</v>
      </c>
      <c r="G1951" s="197">
        <f>Tabla111[[#This Row],[Importe]]-Tabla111[[#This Row],[Pagado]]</f>
        <v>0</v>
      </c>
      <c r="H1951" s="153" t="s">
        <v>10</v>
      </c>
    </row>
    <row r="1952" spans="1:8" x14ac:dyDescent="0.25">
      <c r="A1952" s="73">
        <v>44852</v>
      </c>
      <c r="B1952" s="74" t="s">
        <v>33561</v>
      </c>
      <c r="C1952" s="75" t="s">
        <v>5345</v>
      </c>
      <c r="D1952" s="81">
        <v>1505.4</v>
      </c>
      <c r="E1952" s="230">
        <v>44853</v>
      </c>
      <c r="F1952" s="81">
        <v>1505.4</v>
      </c>
      <c r="G1952" s="197">
        <f>Tabla111[[#This Row],[Importe]]-Tabla111[[#This Row],[Pagado]]</f>
        <v>0</v>
      </c>
      <c r="H1952" s="75" t="s">
        <v>10</v>
      </c>
    </row>
    <row r="1953" spans="1:8" x14ac:dyDescent="0.25">
      <c r="A1953" s="148">
        <v>44852</v>
      </c>
      <c r="B1953" s="149" t="s">
        <v>33562</v>
      </c>
      <c r="C1953" s="153" t="s">
        <v>280</v>
      </c>
      <c r="D1953" s="154">
        <v>787.8</v>
      </c>
      <c r="E1953" s="231">
        <v>44853</v>
      </c>
      <c r="F1953" s="154">
        <v>787.8</v>
      </c>
      <c r="G1953" s="197">
        <f>Tabla111[[#This Row],[Importe]]-Tabla111[[#This Row],[Pagado]]</f>
        <v>0</v>
      </c>
      <c r="H1953" s="153" t="s">
        <v>10</v>
      </c>
    </row>
    <row r="1954" spans="1:8" x14ac:dyDescent="0.25">
      <c r="A1954" s="73">
        <v>44852</v>
      </c>
      <c r="B1954" s="74" t="s">
        <v>33563</v>
      </c>
      <c r="C1954" s="75" t="s">
        <v>10819</v>
      </c>
      <c r="D1954" s="81">
        <v>1996.8</v>
      </c>
      <c r="E1954" s="230">
        <v>44853</v>
      </c>
      <c r="F1954" s="81">
        <v>1996.8</v>
      </c>
      <c r="G1954" s="197">
        <f>Tabla111[[#This Row],[Importe]]-Tabla111[[#This Row],[Pagado]]</f>
        <v>0</v>
      </c>
      <c r="H1954" s="75" t="s">
        <v>10</v>
      </c>
    </row>
    <row r="1955" spans="1:8" x14ac:dyDescent="0.25">
      <c r="A1955" s="148">
        <v>44852</v>
      </c>
      <c r="B1955" s="149" t="s">
        <v>33564</v>
      </c>
      <c r="C1955" s="153" t="s">
        <v>12</v>
      </c>
      <c r="D1955" s="154">
        <v>4136.6000000000004</v>
      </c>
      <c r="E1955" s="231">
        <v>44853</v>
      </c>
      <c r="F1955" s="154">
        <v>4136.6000000000004</v>
      </c>
      <c r="G1955" s="197">
        <f>Tabla111[[#This Row],[Importe]]-Tabla111[[#This Row],[Pagado]]</f>
        <v>0</v>
      </c>
      <c r="H1955" s="153" t="s">
        <v>10</v>
      </c>
    </row>
    <row r="1956" spans="1:8" x14ac:dyDescent="0.25">
      <c r="A1956" s="73">
        <v>44852</v>
      </c>
      <c r="B1956" s="74" t="s">
        <v>33565</v>
      </c>
      <c r="C1956" s="75" t="s">
        <v>69</v>
      </c>
      <c r="D1956" s="81">
        <v>2020.2</v>
      </c>
      <c r="E1956" s="230">
        <v>44852</v>
      </c>
      <c r="F1956" s="81">
        <v>2020.2</v>
      </c>
      <c r="G1956" s="197">
        <f>Tabla111[[#This Row],[Importe]]-Tabla111[[#This Row],[Pagado]]</f>
        <v>0</v>
      </c>
      <c r="H1956" s="75" t="s">
        <v>10</v>
      </c>
    </row>
    <row r="1957" spans="1:8" x14ac:dyDescent="0.25">
      <c r="A1957" s="148">
        <v>44852</v>
      </c>
      <c r="B1957" s="149" t="s">
        <v>33566</v>
      </c>
      <c r="C1957" s="153" t="s">
        <v>31</v>
      </c>
      <c r="D1957" s="154">
        <v>1246</v>
      </c>
      <c r="E1957" s="231">
        <v>44852</v>
      </c>
      <c r="F1957" s="154">
        <v>1246</v>
      </c>
      <c r="G1957" s="197">
        <f>Tabla111[[#This Row],[Importe]]-Tabla111[[#This Row],[Pagado]]</f>
        <v>0</v>
      </c>
      <c r="H1957" s="153" t="s">
        <v>10</v>
      </c>
    </row>
    <row r="1958" spans="1:8" x14ac:dyDescent="0.25">
      <c r="A1958" s="73">
        <v>44852</v>
      </c>
      <c r="B1958" s="74" t="s">
        <v>33567</v>
      </c>
      <c r="C1958" s="75" t="s">
        <v>9</v>
      </c>
      <c r="D1958" s="81">
        <v>4848.8</v>
      </c>
      <c r="E1958" s="230">
        <v>44853</v>
      </c>
      <c r="F1958" s="81">
        <v>4848.8</v>
      </c>
      <c r="G1958" s="197">
        <f>Tabla111[[#This Row],[Importe]]-Tabla111[[#This Row],[Pagado]]</f>
        <v>0</v>
      </c>
      <c r="H1958" s="75" t="s">
        <v>10</v>
      </c>
    </row>
    <row r="1959" spans="1:8" x14ac:dyDescent="0.25">
      <c r="A1959" s="148">
        <v>44852</v>
      </c>
      <c r="B1959" s="149" t="s">
        <v>33568</v>
      </c>
      <c r="C1959" s="153" t="s">
        <v>31</v>
      </c>
      <c r="D1959" s="154">
        <v>16500</v>
      </c>
      <c r="E1959" s="231">
        <v>44853</v>
      </c>
      <c r="F1959" s="154">
        <v>16500</v>
      </c>
      <c r="G1959" s="197">
        <f>Tabla111[[#This Row],[Importe]]-Tabla111[[#This Row],[Pagado]]</f>
        <v>0</v>
      </c>
      <c r="H1959" s="153" t="s">
        <v>10</v>
      </c>
    </row>
    <row r="1960" spans="1:8" x14ac:dyDescent="0.25">
      <c r="A1960" s="73">
        <v>44852</v>
      </c>
      <c r="B1960" s="74" t="s">
        <v>33569</v>
      </c>
      <c r="C1960" s="75" t="s">
        <v>31</v>
      </c>
      <c r="D1960" s="81">
        <v>5198.3999999999996</v>
      </c>
      <c r="E1960" s="230">
        <v>44853</v>
      </c>
      <c r="F1960" s="81">
        <v>5198.3999999999996</v>
      </c>
      <c r="G1960" s="197">
        <f>Tabla111[[#This Row],[Importe]]-Tabla111[[#This Row],[Pagado]]</f>
        <v>0</v>
      </c>
      <c r="H1960" s="75" t="s">
        <v>10</v>
      </c>
    </row>
    <row r="1961" spans="1:8" x14ac:dyDescent="0.25">
      <c r="A1961" s="148">
        <v>44853</v>
      </c>
      <c r="B1961" s="149" t="s">
        <v>33570</v>
      </c>
      <c r="C1961" s="153" t="s">
        <v>887</v>
      </c>
      <c r="D1961" s="154">
        <v>17790.8</v>
      </c>
      <c r="E1961" s="231">
        <v>44855</v>
      </c>
      <c r="F1961" s="154">
        <v>17790.8</v>
      </c>
      <c r="G1961" s="197">
        <f>Tabla111[[#This Row],[Importe]]-Tabla111[[#This Row],[Pagado]]</f>
        <v>0</v>
      </c>
      <c r="H1961" s="153" t="s">
        <v>10</v>
      </c>
    </row>
    <row r="1962" spans="1:8" x14ac:dyDescent="0.25">
      <c r="A1962" s="73">
        <v>44853</v>
      </c>
      <c r="B1962" s="74" t="s">
        <v>33571</v>
      </c>
      <c r="C1962" s="75" t="s">
        <v>475</v>
      </c>
      <c r="D1962" s="81">
        <v>86188.9</v>
      </c>
      <c r="E1962" s="230" t="s">
        <v>33572</v>
      </c>
      <c r="F1962" s="81">
        <f>60000+26188.9</f>
        <v>86188.9</v>
      </c>
      <c r="G1962" s="197">
        <f>Tabla111[[#This Row],[Importe]]-Tabla111[[#This Row],[Pagado]]</f>
        <v>0</v>
      </c>
      <c r="H1962" s="75" t="s">
        <v>10</v>
      </c>
    </row>
    <row r="1963" spans="1:8" x14ac:dyDescent="0.25">
      <c r="A1963" s="148">
        <v>44853</v>
      </c>
      <c r="B1963" s="149" t="s">
        <v>33573</v>
      </c>
      <c r="C1963" s="153" t="s">
        <v>12</v>
      </c>
      <c r="D1963" s="154">
        <v>18388.95</v>
      </c>
      <c r="E1963" s="231">
        <v>44853</v>
      </c>
      <c r="F1963" s="154">
        <v>18388.95</v>
      </c>
      <c r="G1963" s="197">
        <f>Tabla111[[#This Row],[Importe]]-Tabla111[[#This Row],[Pagado]]</f>
        <v>0</v>
      </c>
      <c r="H1963" s="153" t="s">
        <v>10</v>
      </c>
    </row>
    <row r="1964" spans="1:8" x14ac:dyDescent="0.25">
      <c r="A1964" s="73">
        <v>44853</v>
      </c>
      <c r="B1964" s="74" t="s">
        <v>33574</v>
      </c>
      <c r="C1964" s="75" t="s">
        <v>1187</v>
      </c>
      <c r="D1964" s="81">
        <v>2731.8</v>
      </c>
      <c r="E1964" s="230">
        <v>45218</v>
      </c>
      <c r="F1964" s="81">
        <v>2731.8</v>
      </c>
      <c r="G1964" s="197">
        <f>Tabla111[[#This Row],[Importe]]-Tabla111[[#This Row],[Pagado]]</f>
        <v>0</v>
      </c>
      <c r="H1964" s="75" t="s">
        <v>10</v>
      </c>
    </row>
    <row r="1965" spans="1:8" x14ac:dyDescent="0.25">
      <c r="A1965" s="148">
        <v>44853</v>
      </c>
      <c r="B1965" s="149" t="s">
        <v>33575</v>
      </c>
      <c r="C1965" s="153" t="s">
        <v>83</v>
      </c>
      <c r="D1965" s="154">
        <v>6253.36</v>
      </c>
      <c r="E1965" s="231">
        <v>45584</v>
      </c>
      <c r="F1965" s="154">
        <v>6253.36</v>
      </c>
      <c r="G1965" s="197">
        <f>Tabla111[[#This Row],[Importe]]-Tabla111[[#This Row],[Pagado]]</f>
        <v>0</v>
      </c>
      <c r="H1965" s="153" t="s">
        <v>10</v>
      </c>
    </row>
    <row r="1966" spans="1:8" x14ac:dyDescent="0.25">
      <c r="A1966" s="73">
        <v>44853</v>
      </c>
      <c r="B1966" s="74" t="s">
        <v>33576</v>
      </c>
      <c r="C1966" s="75" t="s">
        <v>18</v>
      </c>
      <c r="D1966" s="81">
        <v>1957.8</v>
      </c>
      <c r="E1966" s="230">
        <v>45949</v>
      </c>
      <c r="F1966" s="81">
        <v>1957.8</v>
      </c>
      <c r="G1966" s="197">
        <f>Tabla111[[#This Row],[Importe]]-Tabla111[[#This Row],[Pagado]]</f>
        <v>0</v>
      </c>
      <c r="H1966" s="75" t="s">
        <v>10</v>
      </c>
    </row>
    <row r="1967" spans="1:8" x14ac:dyDescent="0.25">
      <c r="A1967" s="148">
        <v>44853</v>
      </c>
      <c r="B1967" s="149" t="s">
        <v>33577</v>
      </c>
      <c r="C1967" s="153" t="s">
        <v>87</v>
      </c>
      <c r="D1967" s="154">
        <v>2961.9</v>
      </c>
      <c r="E1967" s="231">
        <v>46314</v>
      </c>
      <c r="F1967" s="154">
        <v>2961.9</v>
      </c>
      <c r="G1967" s="197">
        <f>Tabla111[[#This Row],[Importe]]-Tabla111[[#This Row],[Pagado]]</f>
        <v>0</v>
      </c>
      <c r="H1967" s="153" t="s">
        <v>10</v>
      </c>
    </row>
    <row r="1968" spans="1:8" x14ac:dyDescent="0.25">
      <c r="A1968" s="73">
        <v>44853</v>
      </c>
      <c r="B1968" s="74" t="s">
        <v>33578</v>
      </c>
      <c r="C1968" s="75" t="s">
        <v>75</v>
      </c>
      <c r="D1968" s="81">
        <v>3681.6</v>
      </c>
      <c r="E1968" s="230">
        <v>46679</v>
      </c>
      <c r="F1968" s="81">
        <v>3681.6</v>
      </c>
      <c r="G1968" s="197">
        <f>Tabla111[[#This Row],[Importe]]-Tabla111[[#This Row],[Pagado]]</f>
        <v>0</v>
      </c>
      <c r="H1968" s="75" t="s">
        <v>10</v>
      </c>
    </row>
    <row r="1969" spans="1:8" x14ac:dyDescent="0.25">
      <c r="A1969" s="148">
        <v>44853</v>
      </c>
      <c r="B1969" s="149" t="s">
        <v>33579</v>
      </c>
      <c r="C1969" s="153" t="s">
        <v>473</v>
      </c>
      <c r="D1969" s="154">
        <v>4794.3</v>
      </c>
      <c r="E1969" s="231">
        <v>47045</v>
      </c>
      <c r="F1969" s="154">
        <v>4794.3</v>
      </c>
      <c r="G1969" s="197">
        <f>Tabla111[[#This Row],[Importe]]-Tabla111[[#This Row],[Pagado]]</f>
        <v>0</v>
      </c>
      <c r="H1969" s="153" t="s">
        <v>10</v>
      </c>
    </row>
    <row r="1970" spans="1:8" x14ac:dyDescent="0.25">
      <c r="A1970" s="73">
        <v>44853</v>
      </c>
      <c r="B1970" s="74" t="s">
        <v>33580</v>
      </c>
      <c r="C1970" s="75" t="s">
        <v>481</v>
      </c>
      <c r="D1970" s="81">
        <v>623.20000000000005</v>
      </c>
      <c r="E1970" s="230">
        <v>47410</v>
      </c>
      <c r="F1970" s="81">
        <v>623.20000000000005</v>
      </c>
      <c r="G1970" s="197">
        <f>Tabla111[[#This Row],[Importe]]-Tabla111[[#This Row],[Pagado]]</f>
        <v>0</v>
      </c>
      <c r="H1970" s="75" t="s">
        <v>10</v>
      </c>
    </row>
    <row r="1971" spans="1:8" x14ac:dyDescent="0.25">
      <c r="A1971" s="148">
        <v>44853</v>
      </c>
      <c r="B1971" s="149" t="s">
        <v>33581</v>
      </c>
      <c r="C1971" s="153" t="s">
        <v>60</v>
      </c>
      <c r="D1971" s="154">
        <v>5473</v>
      </c>
      <c r="E1971" s="231">
        <v>44855</v>
      </c>
      <c r="F1971" s="154">
        <v>5473</v>
      </c>
      <c r="G1971" s="197">
        <f>Tabla111[[#This Row],[Importe]]-Tabla111[[#This Row],[Pagado]]</f>
        <v>0</v>
      </c>
      <c r="H1971" s="153" t="s">
        <v>10</v>
      </c>
    </row>
    <row r="1972" spans="1:8" x14ac:dyDescent="0.25">
      <c r="A1972" s="73">
        <v>44853</v>
      </c>
      <c r="B1972" s="74" t="s">
        <v>33582</v>
      </c>
      <c r="C1972" s="75" t="s">
        <v>109</v>
      </c>
      <c r="D1972" s="81">
        <v>4797</v>
      </c>
      <c r="E1972" s="230">
        <v>44854</v>
      </c>
      <c r="F1972" s="81">
        <v>4797</v>
      </c>
      <c r="G1972" s="197">
        <f>Tabla111[[#This Row],[Importe]]-Tabla111[[#This Row],[Pagado]]</f>
        <v>0</v>
      </c>
      <c r="H1972" s="75" t="s">
        <v>10</v>
      </c>
    </row>
    <row r="1973" spans="1:8" x14ac:dyDescent="0.25">
      <c r="A1973" s="148">
        <v>44853</v>
      </c>
      <c r="B1973" s="149" t="s">
        <v>33583</v>
      </c>
      <c r="C1973" s="153" t="s">
        <v>212</v>
      </c>
      <c r="D1973" s="154">
        <v>32615.4</v>
      </c>
      <c r="E1973" s="231">
        <v>44856</v>
      </c>
      <c r="F1973" s="154">
        <v>32615.4</v>
      </c>
      <c r="G1973" s="197">
        <f>Tabla111[[#This Row],[Importe]]-Tabla111[[#This Row],[Pagado]]</f>
        <v>0</v>
      </c>
      <c r="H1973" s="153" t="s">
        <v>10</v>
      </c>
    </row>
    <row r="1974" spans="1:8" x14ac:dyDescent="0.25">
      <c r="A1974" s="73">
        <v>44853</v>
      </c>
      <c r="B1974" s="74" t="s">
        <v>33584</v>
      </c>
      <c r="C1974" s="75" t="s">
        <v>64</v>
      </c>
      <c r="D1974" s="81">
        <v>5323.5</v>
      </c>
      <c r="E1974" s="230">
        <v>44856</v>
      </c>
      <c r="F1974" s="81">
        <v>5323.5</v>
      </c>
      <c r="G1974" s="197">
        <f>Tabla111[[#This Row],[Importe]]-Tabla111[[#This Row],[Pagado]]</f>
        <v>0</v>
      </c>
      <c r="H1974" s="75" t="s">
        <v>10</v>
      </c>
    </row>
    <row r="1975" spans="1:8" x14ac:dyDescent="0.25">
      <c r="A1975" s="148">
        <v>44853</v>
      </c>
      <c r="B1975" s="149" t="s">
        <v>33585</v>
      </c>
      <c r="C1975" s="153" t="s">
        <v>111</v>
      </c>
      <c r="D1975" s="154">
        <v>5921.5</v>
      </c>
      <c r="E1975" s="231">
        <v>44855</v>
      </c>
      <c r="F1975" s="154">
        <v>5921.5</v>
      </c>
      <c r="G1975" s="197">
        <f>Tabla111[[#This Row],[Importe]]-Tabla111[[#This Row],[Pagado]]</f>
        <v>0</v>
      </c>
      <c r="H1975" s="153" t="s">
        <v>10</v>
      </c>
    </row>
    <row r="1976" spans="1:8" x14ac:dyDescent="0.25">
      <c r="A1976" s="73">
        <v>44853</v>
      </c>
      <c r="B1976" s="74" t="s">
        <v>33586</v>
      </c>
      <c r="C1976" s="75" t="s">
        <v>114</v>
      </c>
      <c r="D1976" s="81">
        <v>10952.5</v>
      </c>
      <c r="E1976" s="230">
        <v>44854</v>
      </c>
      <c r="F1976" s="81">
        <v>10952.5</v>
      </c>
      <c r="G1976" s="197">
        <f>Tabla111[[#This Row],[Importe]]-Tabla111[[#This Row],[Pagado]]</f>
        <v>0</v>
      </c>
      <c r="H1976" s="75" t="s">
        <v>10</v>
      </c>
    </row>
    <row r="1977" spans="1:8" x14ac:dyDescent="0.25">
      <c r="A1977" s="148">
        <v>44853</v>
      </c>
      <c r="B1977" s="149" t="s">
        <v>33587</v>
      </c>
      <c r="C1977" s="153" t="s">
        <v>16</v>
      </c>
      <c r="D1977" s="154">
        <v>3679.4</v>
      </c>
      <c r="E1977" s="231">
        <v>44853</v>
      </c>
      <c r="F1977" s="154">
        <v>3679.4</v>
      </c>
      <c r="G1977" s="197">
        <f>Tabla111[[#This Row],[Importe]]-Tabla111[[#This Row],[Pagado]]</f>
        <v>0</v>
      </c>
      <c r="H1977" s="153" t="s">
        <v>10</v>
      </c>
    </row>
    <row r="1978" spans="1:8" x14ac:dyDescent="0.25">
      <c r="A1978" s="73">
        <v>44853</v>
      </c>
      <c r="B1978" s="74" t="s">
        <v>33588</v>
      </c>
      <c r="C1978" s="75" t="s">
        <v>31</v>
      </c>
      <c r="D1978" s="81">
        <v>5166</v>
      </c>
      <c r="E1978" s="230">
        <v>45218</v>
      </c>
      <c r="F1978" s="81">
        <v>5166</v>
      </c>
      <c r="G1978" s="197">
        <f>Tabla111[[#This Row],[Importe]]-Tabla111[[#This Row],[Pagado]]</f>
        <v>0</v>
      </c>
      <c r="H1978" s="75" t="s">
        <v>10</v>
      </c>
    </row>
    <row r="1979" spans="1:8" x14ac:dyDescent="0.25">
      <c r="A1979" s="148">
        <v>44853</v>
      </c>
      <c r="B1979" s="149" t="s">
        <v>33589</v>
      </c>
      <c r="C1979" s="153" t="s">
        <v>97</v>
      </c>
      <c r="D1979" s="154">
        <v>7080.7</v>
      </c>
      <c r="E1979" s="231">
        <v>44854</v>
      </c>
      <c r="F1979" s="154">
        <v>7080.7</v>
      </c>
      <c r="G1979" s="197">
        <f>Tabla111[[#This Row],[Importe]]-Tabla111[[#This Row],[Pagado]]</f>
        <v>0</v>
      </c>
      <c r="H1979" s="153" t="s">
        <v>10</v>
      </c>
    </row>
    <row r="1980" spans="1:8" x14ac:dyDescent="0.25">
      <c r="A1980" s="73">
        <v>44853</v>
      </c>
      <c r="B1980" s="74" t="s">
        <v>33590</v>
      </c>
      <c r="C1980" s="75" t="s">
        <v>28087</v>
      </c>
      <c r="D1980" s="81">
        <v>54784.800000000003</v>
      </c>
      <c r="E1980" s="230" t="s">
        <v>33591</v>
      </c>
      <c r="F1980" s="81">
        <f>36161.25+18623.55</f>
        <v>54784.800000000003</v>
      </c>
      <c r="G1980" s="197">
        <f>Tabla111[[#This Row],[Importe]]-Tabla111[[#This Row],[Pagado]]</f>
        <v>0</v>
      </c>
      <c r="H1980" s="75" t="s">
        <v>10</v>
      </c>
    </row>
    <row r="1981" spans="1:8" x14ac:dyDescent="0.25">
      <c r="A1981" s="148">
        <v>44853</v>
      </c>
      <c r="B1981" s="149" t="s">
        <v>33592</v>
      </c>
      <c r="C1981" s="153" t="s">
        <v>22</v>
      </c>
      <c r="D1981" s="154">
        <v>66644.2</v>
      </c>
      <c r="E1981" s="231" t="s">
        <v>33591</v>
      </c>
      <c r="F1981" s="154">
        <f>50000+16644.2</f>
        <v>66644.2</v>
      </c>
      <c r="G1981" s="197">
        <f>Tabla111[[#This Row],[Importe]]-Tabla111[[#This Row],[Pagado]]</f>
        <v>0</v>
      </c>
      <c r="H1981" s="153" t="s">
        <v>10</v>
      </c>
    </row>
    <row r="1982" spans="1:8" x14ac:dyDescent="0.25">
      <c r="A1982" s="73">
        <v>44853</v>
      </c>
      <c r="B1982" s="74" t="s">
        <v>33593</v>
      </c>
      <c r="C1982" s="75" t="s">
        <v>206</v>
      </c>
      <c r="D1982" s="81">
        <v>21930.1</v>
      </c>
      <c r="E1982" s="230">
        <v>44856</v>
      </c>
      <c r="F1982" s="81">
        <v>21930.1</v>
      </c>
      <c r="G1982" s="197">
        <f>Tabla111[[#This Row],[Importe]]-Tabla111[[#This Row],[Pagado]]</f>
        <v>0</v>
      </c>
      <c r="H1982" s="75" t="s">
        <v>10</v>
      </c>
    </row>
    <row r="1983" spans="1:8" x14ac:dyDescent="0.25">
      <c r="A1983" s="148">
        <v>44853</v>
      </c>
      <c r="B1983" s="149" t="s">
        <v>33594</v>
      </c>
      <c r="C1983" s="153" t="s">
        <v>105</v>
      </c>
      <c r="D1983" s="154">
        <v>13428.6</v>
      </c>
      <c r="E1983" s="231" t="s">
        <v>33595</v>
      </c>
      <c r="F1983" s="154">
        <f>6000+7428.6</f>
        <v>13428.6</v>
      </c>
      <c r="G1983" s="197">
        <f>Tabla111[[#This Row],[Importe]]-Tabla111[[#This Row],[Pagado]]</f>
        <v>0</v>
      </c>
      <c r="H1983" s="153" t="s">
        <v>10</v>
      </c>
    </row>
    <row r="1984" spans="1:8" x14ac:dyDescent="0.25">
      <c r="A1984" s="73">
        <v>44853</v>
      </c>
      <c r="B1984" s="74" t="s">
        <v>33596</v>
      </c>
      <c r="C1984" s="75" t="s">
        <v>348</v>
      </c>
      <c r="D1984" s="81">
        <v>2095.6</v>
      </c>
      <c r="E1984" s="230">
        <v>45218</v>
      </c>
      <c r="F1984" s="81">
        <v>2095.6</v>
      </c>
      <c r="G1984" s="197">
        <f>Tabla111[[#This Row],[Importe]]-Tabla111[[#This Row],[Pagado]]</f>
        <v>0</v>
      </c>
      <c r="H1984" s="75" t="s">
        <v>10</v>
      </c>
    </row>
    <row r="1985" spans="1:8" x14ac:dyDescent="0.25">
      <c r="A1985" s="148">
        <v>44853</v>
      </c>
      <c r="B1985" s="149" t="s">
        <v>33597</v>
      </c>
      <c r="C1985" s="153" t="s">
        <v>173</v>
      </c>
      <c r="D1985" s="154">
        <v>19905.599999999999</v>
      </c>
      <c r="E1985" s="231">
        <v>44854</v>
      </c>
      <c r="F1985" s="154">
        <v>19905.599999999999</v>
      </c>
      <c r="G1985" s="197">
        <f>Tabla111[[#This Row],[Importe]]-Tabla111[[#This Row],[Pagado]]</f>
        <v>0</v>
      </c>
      <c r="H1985" s="153" t="s">
        <v>10</v>
      </c>
    </row>
    <row r="1986" spans="1:8" x14ac:dyDescent="0.25">
      <c r="A1986" s="73">
        <v>44853</v>
      </c>
      <c r="B1986" s="74" t="s">
        <v>33598</v>
      </c>
      <c r="C1986" s="75" t="s">
        <v>9</v>
      </c>
      <c r="D1986" s="81">
        <v>8339.4</v>
      </c>
      <c r="E1986" s="230">
        <v>45218</v>
      </c>
      <c r="F1986" s="81">
        <v>8339.4</v>
      </c>
      <c r="G1986" s="197">
        <f>Tabla111[[#This Row],[Importe]]-Tabla111[[#This Row],[Pagado]]</f>
        <v>0</v>
      </c>
      <c r="H1986" s="75" t="s">
        <v>10</v>
      </c>
    </row>
    <row r="1987" spans="1:8" x14ac:dyDescent="0.25">
      <c r="A1987" s="148">
        <v>44853</v>
      </c>
      <c r="B1987" s="149" t="s">
        <v>33599</v>
      </c>
      <c r="C1987" s="153" t="s">
        <v>89</v>
      </c>
      <c r="D1987" s="154">
        <v>11885.4</v>
      </c>
      <c r="E1987" s="231">
        <v>44854</v>
      </c>
      <c r="F1987" s="154">
        <v>11885.4</v>
      </c>
      <c r="G1987" s="197">
        <f>Tabla111[[#This Row],[Importe]]-Tabla111[[#This Row],[Pagado]]</f>
        <v>0</v>
      </c>
      <c r="H1987" s="153" t="s">
        <v>10</v>
      </c>
    </row>
    <row r="1988" spans="1:8" x14ac:dyDescent="0.25">
      <c r="A1988" s="73">
        <v>44853</v>
      </c>
      <c r="B1988" s="74" t="s">
        <v>33600</v>
      </c>
      <c r="C1988" s="75" t="s">
        <v>9</v>
      </c>
      <c r="D1988" s="81">
        <v>198</v>
      </c>
      <c r="E1988" s="230">
        <v>45218</v>
      </c>
      <c r="F1988" s="81">
        <v>198</v>
      </c>
      <c r="G1988" s="197">
        <f>Tabla111[[#This Row],[Importe]]-Tabla111[[#This Row],[Pagado]]</f>
        <v>0</v>
      </c>
      <c r="H1988" s="75" t="s">
        <v>10</v>
      </c>
    </row>
    <row r="1989" spans="1:8" x14ac:dyDescent="0.25">
      <c r="A1989" s="148">
        <v>44853</v>
      </c>
      <c r="B1989" s="149" t="s">
        <v>33601</v>
      </c>
      <c r="C1989" s="153" t="s">
        <v>2151</v>
      </c>
      <c r="D1989" s="154">
        <v>19918</v>
      </c>
      <c r="E1989" s="231">
        <v>45218</v>
      </c>
      <c r="F1989" s="154">
        <v>19918</v>
      </c>
      <c r="G1989" s="197">
        <f>Tabla111[[#This Row],[Importe]]-Tabla111[[#This Row],[Pagado]]</f>
        <v>0</v>
      </c>
      <c r="H1989" s="153" t="s">
        <v>10</v>
      </c>
    </row>
    <row r="1990" spans="1:8" x14ac:dyDescent="0.25">
      <c r="A1990" s="73">
        <v>44853</v>
      </c>
      <c r="B1990" s="74" t="s">
        <v>33602</v>
      </c>
      <c r="C1990" s="75" t="s">
        <v>93</v>
      </c>
      <c r="D1990" s="81">
        <v>7218</v>
      </c>
      <c r="E1990" s="230" t="s">
        <v>33595</v>
      </c>
      <c r="F1990" s="81">
        <f>4000+3218</f>
        <v>7218</v>
      </c>
      <c r="G1990" s="197">
        <f>Tabla111[[#This Row],[Importe]]-Tabla111[[#This Row],[Pagado]]</f>
        <v>0</v>
      </c>
      <c r="H1990" s="75" t="s">
        <v>10</v>
      </c>
    </row>
    <row r="1991" spans="1:8" x14ac:dyDescent="0.25">
      <c r="A1991" s="148">
        <v>44853</v>
      </c>
      <c r="B1991" s="149" t="s">
        <v>33603</v>
      </c>
      <c r="C1991" s="153" t="s">
        <v>154</v>
      </c>
      <c r="D1991" s="154">
        <v>44971</v>
      </c>
      <c r="E1991" s="231">
        <v>44856</v>
      </c>
      <c r="F1991" s="154">
        <v>44971</v>
      </c>
      <c r="G1991" s="197">
        <f>Tabla111[[#This Row],[Importe]]-Tabla111[[#This Row],[Pagado]]</f>
        <v>0</v>
      </c>
      <c r="H1991" s="153" t="s">
        <v>10</v>
      </c>
    </row>
    <row r="1992" spans="1:8" x14ac:dyDescent="0.25">
      <c r="A1992" s="73">
        <v>44853</v>
      </c>
      <c r="B1992" s="74" t="s">
        <v>33604</v>
      </c>
      <c r="C1992" s="75" t="s">
        <v>133</v>
      </c>
      <c r="D1992" s="81">
        <v>16384.599999999999</v>
      </c>
      <c r="E1992" s="230">
        <v>44854</v>
      </c>
      <c r="F1992" s="81">
        <v>16384.599999999999</v>
      </c>
      <c r="G1992" s="197">
        <f>Tabla111[[#This Row],[Importe]]-Tabla111[[#This Row],[Pagado]]</f>
        <v>0</v>
      </c>
      <c r="H1992" s="75" t="s">
        <v>10</v>
      </c>
    </row>
    <row r="1993" spans="1:8" x14ac:dyDescent="0.25">
      <c r="A1993" s="148">
        <v>44853</v>
      </c>
      <c r="B1993" s="149" t="s">
        <v>33605</v>
      </c>
      <c r="C1993" s="153" t="s">
        <v>161</v>
      </c>
      <c r="D1993" s="154">
        <v>4470</v>
      </c>
      <c r="E1993" s="231">
        <v>45218</v>
      </c>
      <c r="F1993" s="154">
        <v>4470</v>
      </c>
      <c r="G1993" s="197">
        <f>Tabla111[[#This Row],[Importe]]-Tabla111[[#This Row],[Pagado]]</f>
        <v>0</v>
      </c>
      <c r="H1993" s="153" t="s">
        <v>10</v>
      </c>
    </row>
    <row r="1994" spans="1:8" x14ac:dyDescent="0.25">
      <c r="A1994" s="73">
        <v>44853</v>
      </c>
      <c r="B1994" s="74" t="s">
        <v>33606</v>
      </c>
      <c r="C1994" s="75" t="s">
        <v>849</v>
      </c>
      <c r="D1994" s="81">
        <v>940</v>
      </c>
      <c r="E1994" s="230">
        <v>45218</v>
      </c>
      <c r="F1994" s="81">
        <v>940</v>
      </c>
      <c r="G1994" s="197">
        <f>Tabla111[[#This Row],[Importe]]-Tabla111[[#This Row],[Pagado]]</f>
        <v>0</v>
      </c>
      <c r="H1994" s="75" t="s">
        <v>10</v>
      </c>
    </row>
    <row r="1995" spans="1:8" x14ac:dyDescent="0.25">
      <c r="A1995" s="148">
        <v>44853</v>
      </c>
      <c r="B1995" s="149" t="s">
        <v>33607</v>
      </c>
      <c r="C1995" s="153" t="s">
        <v>1644</v>
      </c>
      <c r="D1995" s="154">
        <v>16845.8</v>
      </c>
      <c r="E1995" s="231">
        <v>44854</v>
      </c>
      <c r="F1995" s="154">
        <v>16845.8</v>
      </c>
      <c r="G1995" s="197">
        <f>Tabla111[[#This Row],[Importe]]-Tabla111[[#This Row],[Pagado]]</f>
        <v>0</v>
      </c>
      <c r="H1995" s="153" t="s">
        <v>10</v>
      </c>
    </row>
    <row r="1996" spans="1:8" x14ac:dyDescent="0.25">
      <c r="A1996" s="73">
        <v>44853</v>
      </c>
      <c r="B1996" s="74" t="s">
        <v>33608</v>
      </c>
      <c r="C1996" s="75" t="s">
        <v>131</v>
      </c>
      <c r="D1996" s="81">
        <v>5711.3</v>
      </c>
      <c r="E1996" s="230">
        <v>44853</v>
      </c>
      <c r="F1996" s="81">
        <v>5711.3</v>
      </c>
      <c r="G1996" s="197">
        <f>Tabla111[[#This Row],[Importe]]-Tabla111[[#This Row],[Pagado]]</f>
        <v>0</v>
      </c>
      <c r="H1996" s="75" t="s">
        <v>10</v>
      </c>
    </row>
    <row r="1997" spans="1:8" x14ac:dyDescent="0.25">
      <c r="A1997" s="148">
        <v>44853</v>
      </c>
      <c r="B1997" s="149" t="s">
        <v>33609</v>
      </c>
      <c r="C1997" s="153" t="s">
        <v>31</v>
      </c>
      <c r="D1997" s="154">
        <v>4233.2</v>
      </c>
      <c r="E1997" s="231">
        <v>44853</v>
      </c>
      <c r="F1997" s="154">
        <v>4233.2</v>
      </c>
      <c r="G1997" s="197">
        <f>Tabla111[[#This Row],[Importe]]-Tabla111[[#This Row],[Pagado]]</f>
        <v>0</v>
      </c>
      <c r="H1997" s="153" t="s">
        <v>10</v>
      </c>
    </row>
    <row r="1998" spans="1:8" x14ac:dyDescent="0.25">
      <c r="A1998" s="73">
        <v>44853</v>
      </c>
      <c r="B1998" s="74" t="s">
        <v>33610</v>
      </c>
      <c r="C1998" s="75" t="s">
        <v>142</v>
      </c>
      <c r="D1998" s="81">
        <v>146110.1</v>
      </c>
      <c r="E1998" s="230" t="s">
        <v>35009</v>
      </c>
      <c r="F1998" s="81">
        <f>100052.55</f>
        <v>100052.55</v>
      </c>
      <c r="G1998" s="197">
        <f>Tabla111[[#This Row],[Importe]]-Tabla111[[#This Row],[Pagado]]</f>
        <v>46057.55</v>
      </c>
      <c r="H1998" s="75" t="s">
        <v>4814</v>
      </c>
    </row>
    <row r="1999" spans="1:8" x14ac:dyDescent="0.25">
      <c r="A1999" s="148">
        <v>44853</v>
      </c>
      <c r="B1999" s="149" t="s">
        <v>33611</v>
      </c>
      <c r="C1999" s="153" t="s">
        <v>198</v>
      </c>
      <c r="D1999" s="154">
        <v>5152.8</v>
      </c>
      <c r="E1999" s="231">
        <v>44853</v>
      </c>
      <c r="F1999" s="154">
        <v>5152.8</v>
      </c>
      <c r="G1999" s="197">
        <f>Tabla111[[#This Row],[Importe]]-Tabla111[[#This Row],[Pagado]]</f>
        <v>0</v>
      </c>
      <c r="H1999" s="153" t="s">
        <v>10</v>
      </c>
    </row>
    <row r="2000" spans="1:8" x14ac:dyDescent="0.25">
      <c r="A2000" s="73">
        <v>44853</v>
      </c>
      <c r="B2000" s="74" t="s">
        <v>33612</v>
      </c>
      <c r="C2000" s="75" t="s">
        <v>196</v>
      </c>
      <c r="D2000" s="81">
        <v>207613.18</v>
      </c>
      <c r="E2000" s="230">
        <v>44855</v>
      </c>
      <c r="F2000" s="81">
        <v>207613.18</v>
      </c>
      <c r="G2000" s="197">
        <f>Tabla111[[#This Row],[Importe]]-Tabla111[[#This Row],[Pagado]]</f>
        <v>0</v>
      </c>
      <c r="H2000" s="75" t="s">
        <v>10</v>
      </c>
    </row>
    <row r="2001" spans="1:8" x14ac:dyDescent="0.25">
      <c r="A2001" s="148">
        <v>44853</v>
      </c>
      <c r="B2001" s="149" t="s">
        <v>33613</v>
      </c>
      <c r="C2001" s="153" t="s">
        <v>45</v>
      </c>
      <c r="D2001" s="154">
        <v>14238.8</v>
      </c>
      <c r="E2001" s="231">
        <v>45218</v>
      </c>
      <c r="F2001" s="154">
        <v>14238.8</v>
      </c>
      <c r="G2001" s="197">
        <f>Tabla111[[#This Row],[Importe]]-Tabla111[[#This Row],[Pagado]]</f>
        <v>0</v>
      </c>
      <c r="H2001" s="153" t="s">
        <v>10</v>
      </c>
    </row>
    <row r="2002" spans="1:8" x14ac:dyDescent="0.25">
      <c r="A2002" s="73">
        <v>44853</v>
      </c>
      <c r="B2002" s="74" t="s">
        <v>33614</v>
      </c>
      <c r="C2002" s="75" t="s">
        <v>31</v>
      </c>
      <c r="D2002" s="81">
        <v>639.6</v>
      </c>
      <c r="E2002" s="230">
        <v>45218</v>
      </c>
      <c r="F2002" s="81">
        <v>639.6</v>
      </c>
      <c r="G2002" s="197">
        <f>Tabla111[[#This Row],[Importe]]-Tabla111[[#This Row],[Pagado]]</f>
        <v>0</v>
      </c>
      <c r="H2002" s="75" t="s">
        <v>10</v>
      </c>
    </row>
    <row r="2003" spans="1:8" x14ac:dyDescent="0.25">
      <c r="A2003" s="148">
        <v>44853</v>
      </c>
      <c r="B2003" s="149" t="s">
        <v>33615</v>
      </c>
      <c r="C2003" s="153" t="s">
        <v>31323</v>
      </c>
      <c r="D2003" s="154">
        <v>5392</v>
      </c>
      <c r="E2003" s="231">
        <v>45218</v>
      </c>
      <c r="F2003" s="154">
        <v>5392</v>
      </c>
      <c r="G2003" s="197">
        <f>Tabla111[[#This Row],[Importe]]-Tabla111[[#This Row],[Pagado]]</f>
        <v>0</v>
      </c>
      <c r="H2003" s="153" t="s">
        <v>10</v>
      </c>
    </row>
    <row r="2004" spans="1:8" x14ac:dyDescent="0.25">
      <c r="A2004" s="73">
        <v>44853</v>
      </c>
      <c r="B2004" s="74" t="s">
        <v>33616</v>
      </c>
      <c r="C2004" s="75" t="s">
        <v>49</v>
      </c>
      <c r="D2004" s="81">
        <v>4675.2</v>
      </c>
      <c r="E2004" s="230">
        <v>45218</v>
      </c>
      <c r="F2004" s="81">
        <v>4675.2</v>
      </c>
      <c r="G2004" s="197">
        <f>Tabla111[[#This Row],[Importe]]-Tabla111[[#This Row],[Pagado]]</f>
        <v>0</v>
      </c>
      <c r="H2004" s="75" t="s">
        <v>10</v>
      </c>
    </row>
    <row r="2005" spans="1:8" x14ac:dyDescent="0.25">
      <c r="A2005" s="148">
        <v>44853</v>
      </c>
      <c r="B2005" s="149" t="s">
        <v>33617</v>
      </c>
      <c r="C2005" s="153" t="s">
        <v>135</v>
      </c>
      <c r="D2005" s="154">
        <v>2273.1999999999998</v>
      </c>
      <c r="E2005" s="231">
        <v>45218</v>
      </c>
      <c r="F2005" s="154">
        <v>2273.1999999999998</v>
      </c>
      <c r="G2005" s="197">
        <f>Tabla111[[#This Row],[Importe]]-Tabla111[[#This Row],[Pagado]]</f>
        <v>0</v>
      </c>
      <c r="H2005" s="153" t="s">
        <v>10</v>
      </c>
    </row>
    <row r="2006" spans="1:8" x14ac:dyDescent="0.25">
      <c r="A2006" s="73">
        <v>44853</v>
      </c>
      <c r="B2006" s="74" t="s">
        <v>33618</v>
      </c>
      <c r="C2006" s="75" t="s">
        <v>31</v>
      </c>
      <c r="D2006" s="81">
        <v>5800.4</v>
      </c>
      <c r="E2006" s="230">
        <v>45218</v>
      </c>
      <c r="F2006" s="81">
        <v>5800.4</v>
      </c>
      <c r="G2006" s="197">
        <f>Tabla111[[#This Row],[Importe]]-Tabla111[[#This Row],[Pagado]]</f>
        <v>0</v>
      </c>
      <c r="H2006" s="75" t="s">
        <v>10</v>
      </c>
    </row>
    <row r="2007" spans="1:8" x14ac:dyDescent="0.25">
      <c r="A2007" s="148">
        <v>44853</v>
      </c>
      <c r="B2007" s="149" t="s">
        <v>33619</v>
      </c>
      <c r="C2007" s="153" t="s">
        <v>140</v>
      </c>
      <c r="D2007" s="154">
        <v>1408</v>
      </c>
      <c r="E2007" s="231">
        <v>45218</v>
      </c>
      <c r="F2007" s="154">
        <v>1408</v>
      </c>
      <c r="G2007" s="197">
        <f>Tabla111[[#This Row],[Importe]]-Tabla111[[#This Row],[Pagado]]</f>
        <v>0</v>
      </c>
      <c r="H2007" s="153" t="s">
        <v>10</v>
      </c>
    </row>
    <row r="2008" spans="1:8" x14ac:dyDescent="0.25">
      <c r="A2008" s="73">
        <v>44853</v>
      </c>
      <c r="B2008" s="74" t="s">
        <v>33620</v>
      </c>
      <c r="C2008" s="75" t="s">
        <v>357</v>
      </c>
      <c r="D2008" s="81">
        <v>1464</v>
      </c>
      <c r="E2008" s="230">
        <v>45218</v>
      </c>
      <c r="F2008" s="81">
        <v>1464</v>
      </c>
      <c r="G2008" s="197">
        <f>Tabla111[[#This Row],[Importe]]-Tabla111[[#This Row],[Pagado]]</f>
        <v>0</v>
      </c>
      <c r="H2008" s="75" t="s">
        <v>10</v>
      </c>
    </row>
    <row r="2009" spans="1:8" x14ac:dyDescent="0.25">
      <c r="A2009" s="148">
        <v>44853</v>
      </c>
      <c r="B2009" s="149" t="s">
        <v>33621</v>
      </c>
      <c r="C2009" s="153" t="s">
        <v>339</v>
      </c>
      <c r="D2009" s="154">
        <v>672</v>
      </c>
      <c r="E2009" s="231">
        <v>45218</v>
      </c>
      <c r="F2009" s="154">
        <v>672</v>
      </c>
      <c r="G2009" s="197">
        <f>Tabla111[[#This Row],[Importe]]-Tabla111[[#This Row],[Pagado]]</f>
        <v>0</v>
      </c>
      <c r="H2009" s="153" t="s">
        <v>10</v>
      </c>
    </row>
    <row r="2010" spans="1:8" x14ac:dyDescent="0.25">
      <c r="A2010" s="73">
        <v>44853</v>
      </c>
      <c r="B2010" s="74" t="s">
        <v>33622</v>
      </c>
      <c r="C2010" s="75" t="s">
        <v>127</v>
      </c>
      <c r="D2010" s="81">
        <v>5494.8</v>
      </c>
      <c r="E2010" s="230">
        <v>45218</v>
      </c>
      <c r="F2010" s="81">
        <v>5494.8</v>
      </c>
      <c r="G2010" s="197">
        <f>Tabla111[[#This Row],[Importe]]-Tabla111[[#This Row],[Pagado]]</f>
        <v>0</v>
      </c>
      <c r="H2010" s="75" t="s">
        <v>10</v>
      </c>
    </row>
    <row r="2011" spans="1:8" x14ac:dyDescent="0.25">
      <c r="A2011" s="148">
        <v>44853</v>
      </c>
      <c r="B2011" s="149" t="s">
        <v>33623</v>
      </c>
      <c r="C2011" s="153" t="s">
        <v>191</v>
      </c>
      <c r="D2011" s="154">
        <v>1909.8</v>
      </c>
      <c r="E2011" s="231">
        <v>45218</v>
      </c>
      <c r="F2011" s="154">
        <v>1909.8</v>
      </c>
      <c r="G2011" s="197">
        <f>Tabla111[[#This Row],[Importe]]-Tabla111[[#This Row],[Pagado]]</f>
        <v>0</v>
      </c>
      <c r="H2011" s="153" t="s">
        <v>10</v>
      </c>
    </row>
    <row r="2012" spans="1:8" x14ac:dyDescent="0.25">
      <c r="A2012" s="73">
        <v>44853</v>
      </c>
      <c r="B2012" s="74" t="s">
        <v>33624</v>
      </c>
      <c r="C2012" s="75" t="s">
        <v>79</v>
      </c>
      <c r="D2012" s="81">
        <v>10935.6</v>
      </c>
      <c r="E2012" s="230">
        <v>45218</v>
      </c>
      <c r="F2012" s="81">
        <v>10935.6</v>
      </c>
      <c r="G2012" s="197">
        <f>Tabla111[[#This Row],[Importe]]-Tabla111[[#This Row],[Pagado]]</f>
        <v>0</v>
      </c>
      <c r="H2012" s="75" t="s">
        <v>10</v>
      </c>
    </row>
    <row r="2013" spans="1:8" x14ac:dyDescent="0.25">
      <c r="A2013" s="148">
        <v>44853</v>
      </c>
      <c r="B2013" s="149" t="s">
        <v>33625</v>
      </c>
      <c r="C2013" s="153" t="s">
        <v>56</v>
      </c>
      <c r="D2013" s="154">
        <v>5212.5</v>
      </c>
      <c r="E2013" s="231">
        <v>45218</v>
      </c>
      <c r="F2013" s="154">
        <v>5212.5</v>
      </c>
      <c r="G2013" s="197">
        <f>Tabla111[[#This Row],[Importe]]-Tabla111[[#This Row],[Pagado]]</f>
        <v>0</v>
      </c>
      <c r="H2013" s="153" t="s">
        <v>10</v>
      </c>
    </row>
    <row r="2014" spans="1:8" x14ac:dyDescent="0.25">
      <c r="A2014" s="73">
        <v>44853</v>
      </c>
      <c r="B2014" s="74" t="s">
        <v>33626</v>
      </c>
      <c r="C2014" s="75" t="s">
        <v>142</v>
      </c>
      <c r="D2014" s="81">
        <v>57043.199999999997</v>
      </c>
      <c r="E2014" s="230" t="s">
        <v>4813</v>
      </c>
      <c r="F2014" s="81">
        <v>0</v>
      </c>
      <c r="G2014" s="197">
        <f>Tabla111[[#This Row],[Importe]]-Tabla111[[#This Row],[Pagado]]</f>
        <v>57043.199999999997</v>
      </c>
      <c r="H2014" s="75" t="s">
        <v>4814</v>
      </c>
    </row>
    <row r="2015" spans="1:8" x14ac:dyDescent="0.25">
      <c r="A2015" s="148">
        <v>44853</v>
      </c>
      <c r="B2015" s="149" t="s">
        <v>33627</v>
      </c>
      <c r="C2015" s="153" t="s">
        <v>2139</v>
      </c>
      <c r="D2015" s="154">
        <v>6111.6</v>
      </c>
      <c r="E2015" s="231">
        <v>44853</v>
      </c>
      <c r="F2015" s="154">
        <v>6111.6</v>
      </c>
      <c r="G2015" s="197">
        <f>Tabla111[[#This Row],[Importe]]-Tabla111[[#This Row],[Pagado]]</f>
        <v>0</v>
      </c>
      <c r="H2015" s="153" t="s">
        <v>10</v>
      </c>
    </row>
    <row r="2016" spans="1:8" x14ac:dyDescent="0.25">
      <c r="A2016" s="73">
        <v>44853</v>
      </c>
      <c r="B2016" s="74" t="s">
        <v>33628</v>
      </c>
      <c r="C2016" s="75" t="s">
        <v>230</v>
      </c>
      <c r="D2016" s="81">
        <v>8227.2999999999993</v>
      </c>
      <c r="E2016" s="230">
        <v>44853</v>
      </c>
      <c r="F2016" s="81">
        <v>8227.2999999999993</v>
      </c>
      <c r="G2016" s="197">
        <f>Tabla111[[#This Row],[Importe]]-Tabla111[[#This Row],[Pagado]]</f>
        <v>0</v>
      </c>
      <c r="H2016" s="75" t="s">
        <v>10</v>
      </c>
    </row>
    <row r="2017" spans="1:8" x14ac:dyDescent="0.25">
      <c r="A2017" s="148">
        <v>44853</v>
      </c>
      <c r="B2017" s="149" t="s">
        <v>33629</v>
      </c>
      <c r="C2017" s="153" t="s">
        <v>31</v>
      </c>
      <c r="D2017" s="154">
        <v>663</v>
      </c>
      <c r="E2017" s="231">
        <v>44853</v>
      </c>
      <c r="F2017" s="154">
        <v>663</v>
      </c>
      <c r="G2017" s="197">
        <f>Tabla111[[#This Row],[Importe]]-Tabla111[[#This Row],[Pagado]]</f>
        <v>0</v>
      </c>
      <c r="H2017" s="153" t="s">
        <v>10</v>
      </c>
    </row>
    <row r="2018" spans="1:8" x14ac:dyDescent="0.25">
      <c r="A2018" s="73">
        <v>44853</v>
      </c>
      <c r="B2018" s="74" t="s">
        <v>33630</v>
      </c>
      <c r="C2018" s="75" t="s">
        <v>51</v>
      </c>
      <c r="D2018" s="81">
        <v>603.9</v>
      </c>
      <c r="E2018" s="230">
        <v>44853</v>
      </c>
      <c r="F2018" s="81">
        <v>603.9</v>
      </c>
      <c r="G2018" s="197">
        <f>Tabla111[[#This Row],[Importe]]-Tabla111[[#This Row],[Pagado]]</f>
        <v>0</v>
      </c>
      <c r="H2018" s="75" t="s">
        <v>10</v>
      </c>
    </row>
    <row r="2019" spans="1:8" x14ac:dyDescent="0.25">
      <c r="A2019" s="148">
        <v>44853</v>
      </c>
      <c r="B2019" s="149" t="s">
        <v>33631</v>
      </c>
      <c r="C2019" s="153" t="s">
        <v>58</v>
      </c>
      <c r="D2019" s="154">
        <v>1543.8</v>
      </c>
      <c r="E2019" s="231">
        <v>44853</v>
      </c>
      <c r="F2019" s="154">
        <v>1543.8</v>
      </c>
      <c r="G2019" s="197">
        <f>Tabla111[[#This Row],[Importe]]-Tabla111[[#This Row],[Pagado]]</f>
        <v>0</v>
      </c>
      <c r="H2019" s="153" t="s">
        <v>10</v>
      </c>
    </row>
    <row r="2020" spans="1:8" x14ac:dyDescent="0.25">
      <c r="A2020" s="73">
        <v>44853</v>
      </c>
      <c r="B2020" s="74" t="s">
        <v>33632</v>
      </c>
      <c r="C2020" s="75" t="s">
        <v>273</v>
      </c>
      <c r="D2020" s="81">
        <v>2506.08</v>
      </c>
      <c r="E2020" s="230">
        <v>44853</v>
      </c>
      <c r="F2020" s="81">
        <v>2506.08</v>
      </c>
      <c r="G2020" s="197">
        <f>Tabla111[[#This Row],[Importe]]-Tabla111[[#This Row],[Pagado]]</f>
        <v>0</v>
      </c>
      <c r="H2020" s="75" t="s">
        <v>10</v>
      </c>
    </row>
    <row r="2021" spans="1:8" x14ac:dyDescent="0.25">
      <c r="A2021" s="148">
        <v>44853</v>
      </c>
      <c r="B2021" s="149" t="s">
        <v>33633</v>
      </c>
      <c r="C2021" s="153" t="s">
        <v>226</v>
      </c>
      <c r="D2021" s="154">
        <v>4526</v>
      </c>
      <c r="E2021" s="231">
        <v>44853</v>
      </c>
      <c r="F2021" s="154">
        <v>4526</v>
      </c>
      <c r="G2021" s="197">
        <f>Tabla111[[#This Row],[Importe]]-Tabla111[[#This Row],[Pagado]]</f>
        <v>0</v>
      </c>
      <c r="H2021" s="153" t="s">
        <v>10</v>
      </c>
    </row>
    <row r="2022" spans="1:8" x14ac:dyDescent="0.25">
      <c r="A2022" s="73">
        <v>44853</v>
      </c>
      <c r="B2022" s="74" t="s">
        <v>33634</v>
      </c>
      <c r="C2022" s="75" t="s">
        <v>175</v>
      </c>
      <c r="D2022" s="81">
        <v>3967.8</v>
      </c>
      <c r="E2022" s="230">
        <v>44853</v>
      </c>
      <c r="F2022" s="81">
        <v>3967.8</v>
      </c>
      <c r="G2022" s="197">
        <f>Tabla111[[#This Row],[Importe]]-Tabla111[[#This Row],[Pagado]]</f>
        <v>0</v>
      </c>
      <c r="H2022" s="75" t="s">
        <v>10</v>
      </c>
    </row>
    <row r="2023" spans="1:8" x14ac:dyDescent="0.25">
      <c r="A2023" s="148">
        <v>44853</v>
      </c>
      <c r="B2023" s="149" t="s">
        <v>33635</v>
      </c>
      <c r="C2023" s="153" t="s">
        <v>62</v>
      </c>
      <c r="D2023" s="154">
        <v>9987.2000000000007</v>
      </c>
      <c r="E2023" s="231">
        <v>44853</v>
      </c>
      <c r="F2023" s="154">
        <v>9987.2000000000007</v>
      </c>
      <c r="G2023" s="197">
        <f>Tabla111[[#This Row],[Importe]]-Tabla111[[#This Row],[Pagado]]</f>
        <v>0</v>
      </c>
      <c r="H2023" s="153" t="s">
        <v>10</v>
      </c>
    </row>
    <row r="2024" spans="1:8" x14ac:dyDescent="0.25">
      <c r="A2024" s="73">
        <v>44853</v>
      </c>
      <c r="B2024" s="74" t="s">
        <v>33636</v>
      </c>
      <c r="C2024" s="75" t="s">
        <v>142</v>
      </c>
      <c r="D2024" s="81">
        <v>20156.400000000001</v>
      </c>
      <c r="E2024" s="230" t="s">
        <v>4813</v>
      </c>
      <c r="F2024" s="81">
        <v>0</v>
      </c>
      <c r="G2024" s="197">
        <f>Tabla111[[#This Row],[Importe]]-Tabla111[[#This Row],[Pagado]]</f>
        <v>20156.400000000001</v>
      </c>
      <c r="H2024" s="75" t="s">
        <v>4814</v>
      </c>
    </row>
    <row r="2025" spans="1:8" x14ac:dyDescent="0.25">
      <c r="A2025" s="148">
        <v>44853</v>
      </c>
      <c r="B2025" s="149" t="s">
        <v>33637</v>
      </c>
      <c r="C2025" s="153" t="s">
        <v>555</v>
      </c>
      <c r="D2025" s="154">
        <v>41000.14</v>
      </c>
      <c r="E2025" s="231">
        <v>44853</v>
      </c>
      <c r="F2025" s="154">
        <v>41000.14</v>
      </c>
      <c r="G2025" s="197">
        <f>Tabla111[[#This Row],[Importe]]-Tabla111[[#This Row],[Pagado]]</f>
        <v>0</v>
      </c>
      <c r="H2025" s="153" t="s">
        <v>10</v>
      </c>
    </row>
    <row r="2026" spans="1:8" x14ac:dyDescent="0.25">
      <c r="A2026" s="73">
        <v>44853</v>
      </c>
      <c r="B2026" s="74" t="s">
        <v>33638</v>
      </c>
      <c r="C2026" s="75" t="s">
        <v>296</v>
      </c>
      <c r="D2026" s="81">
        <v>5532.1</v>
      </c>
      <c r="E2026" s="230">
        <v>44853</v>
      </c>
      <c r="F2026" s="81">
        <v>5532.1</v>
      </c>
      <c r="G2026" s="197">
        <f>Tabla111[[#This Row],[Importe]]-Tabla111[[#This Row],[Pagado]]</f>
        <v>0</v>
      </c>
      <c r="H2026" s="75" t="s">
        <v>10</v>
      </c>
    </row>
    <row r="2027" spans="1:8" x14ac:dyDescent="0.25">
      <c r="A2027" s="148">
        <v>44853</v>
      </c>
      <c r="B2027" s="149" t="s">
        <v>33639</v>
      </c>
      <c r="C2027" s="153" t="s">
        <v>587</v>
      </c>
      <c r="D2027" s="154">
        <v>6759.24</v>
      </c>
      <c r="E2027" s="231">
        <v>44853</v>
      </c>
      <c r="F2027" s="154">
        <v>6759.24</v>
      </c>
      <c r="G2027" s="197">
        <f>Tabla111[[#This Row],[Importe]]-Tabla111[[#This Row],[Pagado]]</f>
        <v>0</v>
      </c>
      <c r="H2027" s="153" t="s">
        <v>10</v>
      </c>
    </row>
    <row r="2028" spans="1:8" x14ac:dyDescent="0.25">
      <c r="A2028" s="73">
        <v>44853</v>
      </c>
      <c r="B2028" s="74" t="s">
        <v>33640</v>
      </c>
      <c r="C2028" s="75" t="s">
        <v>28087</v>
      </c>
      <c r="D2028" s="81">
        <v>214164.91</v>
      </c>
      <c r="E2028" s="230" t="s">
        <v>33641</v>
      </c>
      <c r="F2028" s="81">
        <f>319.97+0.03+87876.45+125968.46</f>
        <v>214164.91</v>
      </c>
      <c r="G2028" s="197">
        <f>Tabla111[[#This Row],[Importe]]-Tabla111[[#This Row],[Pagado]]</f>
        <v>0</v>
      </c>
      <c r="H2028" s="75" t="s">
        <v>10</v>
      </c>
    </row>
    <row r="2029" spans="1:8" x14ac:dyDescent="0.25">
      <c r="A2029" s="148">
        <v>44853</v>
      </c>
      <c r="B2029" s="149" t="s">
        <v>33642</v>
      </c>
      <c r="C2029" s="153" t="s">
        <v>216</v>
      </c>
      <c r="D2029" s="154">
        <v>1599</v>
      </c>
      <c r="E2029" s="231">
        <v>44853</v>
      </c>
      <c r="F2029" s="154">
        <v>1599</v>
      </c>
      <c r="G2029" s="197">
        <f>Tabla111[[#This Row],[Importe]]-Tabla111[[#This Row],[Pagado]]</f>
        <v>0</v>
      </c>
      <c r="H2029" s="153" t="s">
        <v>10</v>
      </c>
    </row>
    <row r="2030" spans="1:8" x14ac:dyDescent="0.25">
      <c r="A2030" s="73">
        <v>44853</v>
      </c>
      <c r="B2030" s="74" t="s">
        <v>33643</v>
      </c>
      <c r="C2030" s="75" t="s">
        <v>53</v>
      </c>
      <c r="D2030" s="81">
        <v>3229.2</v>
      </c>
      <c r="E2030" s="230">
        <v>44853</v>
      </c>
      <c r="F2030" s="81">
        <v>3229.2</v>
      </c>
      <c r="G2030" s="197">
        <f>Tabla111[[#This Row],[Importe]]-Tabla111[[#This Row],[Pagado]]</f>
        <v>0</v>
      </c>
      <c r="H2030" s="75" t="s">
        <v>10</v>
      </c>
    </row>
    <row r="2031" spans="1:8" x14ac:dyDescent="0.25">
      <c r="A2031" s="148">
        <v>44853</v>
      </c>
      <c r="B2031" s="149" t="s">
        <v>33644</v>
      </c>
      <c r="C2031" s="153" t="s">
        <v>31</v>
      </c>
      <c r="D2031" s="154">
        <v>3800</v>
      </c>
      <c r="E2031" s="231">
        <v>44853</v>
      </c>
      <c r="F2031" s="154">
        <v>3800</v>
      </c>
      <c r="G2031" s="197">
        <f>Tabla111[[#This Row],[Importe]]-Tabla111[[#This Row],[Pagado]]</f>
        <v>0</v>
      </c>
      <c r="H2031" s="153" t="s">
        <v>10</v>
      </c>
    </row>
    <row r="2032" spans="1:8" x14ac:dyDescent="0.25">
      <c r="A2032" s="73">
        <v>44853</v>
      </c>
      <c r="B2032" s="74" t="s">
        <v>33645</v>
      </c>
      <c r="C2032" s="75" t="s">
        <v>24</v>
      </c>
      <c r="D2032" s="81">
        <v>3772.7</v>
      </c>
      <c r="E2032" s="230">
        <v>44853</v>
      </c>
      <c r="F2032" s="81">
        <v>3772.7</v>
      </c>
      <c r="G2032" s="197">
        <f>Tabla111[[#This Row],[Importe]]-Tabla111[[#This Row],[Pagado]]</f>
        <v>0</v>
      </c>
      <c r="H2032" s="75" t="s">
        <v>10</v>
      </c>
    </row>
    <row r="2033" spans="1:8" x14ac:dyDescent="0.25">
      <c r="A2033" s="148">
        <v>44853</v>
      </c>
      <c r="B2033" s="149" t="s">
        <v>33646</v>
      </c>
      <c r="C2033" s="153" t="s">
        <v>224</v>
      </c>
      <c r="D2033" s="154">
        <v>2190.3000000000002</v>
      </c>
      <c r="E2033" s="231">
        <v>44853</v>
      </c>
      <c r="F2033" s="154">
        <v>2190.3000000000002</v>
      </c>
      <c r="G2033" s="197">
        <f>Tabla111[[#This Row],[Importe]]-Tabla111[[#This Row],[Pagado]]</f>
        <v>0</v>
      </c>
      <c r="H2033" s="153" t="s">
        <v>10</v>
      </c>
    </row>
    <row r="2034" spans="1:8" x14ac:dyDescent="0.25">
      <c r="A2034" s="73">
        <v>44853</v>
      </c>
      <c r="B2034" s="74" t="s">
        <v>33647</v>
      </c>
      <c r="C2034" s="75" t="s">
        <v>17431</v>
      </c>
      <c r="D2034" s="81">
        <v>0</v>
      </c>
      <c r="E2034" s="232" t="s">
        <v>189</v>
      </c>
      <c r="F2034" s="81">
        <v>0</v>
      </c>
      <c r="G2034" s="197">
        <f>Tabla111[[#This Row],[Importe]]-Tabla111[[#This Row],[Pagado]]</f>
        <v>0</v>
      </c>
      <c r="H2034" s="75" t="s">
        <v>189</v>
      </c>
    </row>
    <row r="2035" spans="1:8" x14ac:dyDescent="0.25">
      <c r="A2035" s="148">
        <v>44853</v>
      </c>
      <c r="B2035" s="149" t="s">
        <v>33648</v>
      </c>
      <c r="C2035" s="153" t="s">
        <v>9827</v>
      </c>
      <c r="D2035" s="154">
        <v>748.8</v>
      </c>
      <c r="E2035" s="231">
        <v>44853</v>
      </c>
      <c r="F2035" s="154">
        <v>748.8</v>
      </c>
      <c r="G2035" s="197">
        <f>Tabla111[[#This Row],[Importe]]-Tabla111[[#This Row],[Pagado]]</f>
        <v>0</v>
      </c>
      <c r="H2035" s="153" t="s">
        <v>10</v>
      </c>
    </row>
    <row r="2036" spans="1:8" x14ac:dyDescent="0.25">
      <c r="A2036" s="73">
        <v>44853</v>
      </c>
      <c r="B2036" s="74" t="s">
        <v>33649</v>
      </c>
      <c r="C2036" s="75" t="s">
        <v>9827</v>
      </c>
      <c r="D2036" s="81">
        <v>3112.2</v>
      </c>
      <c r="E2036" s="230">
        <v>44853</v>
      </c>
      <c r="F2036" s="81">
        <v>3112.2</v>
      </c>
      <c r="G2036" s="197">
        <f>Tabla111[[#This Row],[Importe]]-Tabla111[[#This Row],[Pagado]]</f>
        <v>0</v>
      </c>
      <c r="H2036" s="75" t="s">
        <v>10</v>
      </c>
    </row>
    <row r="2037" spans="1:8" x14ac:dyDescent="0.25">
      <c r="A2037" s="148">
        <v>44853</v>
      </c>
      <c r="B2037" s="149" t="s">
        <v>33650</v>
      </c>
      <c r="C2037" s="153" t="s">
        <v>1378</v>
      </c>
      <c r="D2037" s="154">
        <v>79000</v>
      </c>
      <c r="E2037" s="231">
        <v>44854</v>
      </c>
      <c r="F2037" s="154">
        <v>79000</v>
      </c>
      <c r="G2037" s="197">
        <f>Tabla111[[#This Row],[Importe]]-Tabla111[[#This Row],[Pagado]]</f>
        <v>0</v>
      </c>
      <c r="H2037" s="153" t="s">
        <v>10</v>
      </c>
    </row>
    <row r="2038" spans="1:8" x14ac:dyDescent="0.25">
      <c r="A2038" s="73">
        <v>44853</v>
      </c>
      <c r="B2038" s="74" t="s">
        <v>33651</v>
      </c>
      <c r="C2038" s="75" t="s">
        <v>448</v>
      </c>
      <c r="D2038" s="81">
        <v>15768.4</v>
      </c>
      <c r="E2038" s="230">
        <v>44853</v>
      </c>
      <c r="F2038" s="81">
        <v>15768.4</v>
      </c>
      <c r="G2038" s="197">
        <f>Tabla111[[#This Row],[Importe]]-Tabla111[[#This Row],[Pagado]]</f>
        <v>0</v>
      </c>
      <c r="H2038" s="75" t="s">
        <v>10</v>
      </c>
    </row>
    <row r="2039" spans="1:8" x14ac:dyDescent="0.25">
      <c r="A2039" s="148">
        <v>44853</v>
      </c>
      <c r="B2039" s="149" t="s">
        <v>33652</v>
      </c>
      <c r="C2039" s="153" t="s">
        <v>419</v>
      </c>
      <c r="D2039" s="154">
        <v>6091</v>
      </c>
      <c r="E2039" s="231">
        <v>44853</v>
      </c>
      <c r="F2039" s="154">
        <v>6091</v>
      </c>
      <c r="G2039" s="197">
        <f>Tabla111[[#This Row],[Importe]]-Tabla111[[#This Row],[Pagado]]</f>
        <v>0</v>
      </c>
      <c r="H2039" s="153" t="s">
        <v>10</v>
      </c>
    </row>
    <row r="2040" spans="1:8" x14ac:dyDescent="0.25">
      <c r="A2040" s="73">
        <v>44853</v>
      </c>
      <c r="B2040" s="74" t="s">
        <v>33653</v>
      </c>
      <c r="C2040" s="75" t="s">
        <v>698</v>
      </c>
      <c r="D2040" s="81">
        <v>6520.8</v>
      </c>
      <c r="E2040" s="230">
        <v>44853</v>
      </c>
      <c r="F2040" s="81">
        <v>6520.8</v>
      </c>
      <c r="G2040" s="197">
        <f>Tabla111[[#This Row],[Importe]]-Tabla111[[#This Row],[Pagado]]</f>
        <v>0</v>
      </c>
      <c r="H2040" s="75" t="s">
        <v>10</v>
      </c>
    </row>
    <row r="2041" spans="1:8" x14ac:dyDescent="0.25">
      <c r="A2041" s="148">
        <v>44853</v>
      </c>
      <c r="B2041" s="149" t="s">
        <v>33654</v>
      </c>
      <c r="C2041" s="153" t="s">
        <v>11383</v>
      </c>
      <c r="D2041" s="154">
        <v>10826.1</v>
      </c>
      <c r="E2041" s="231">
        <v>44853</v>
      </c>
      <c r="F2041" s="154">
        <v>10826.1</v>
      </c>
      <c r="G2041" s="197">
        <f>Tabla111[[#This Row],[Importe]]-Tabla111[[#This Row],[Pagado]]</f>
        <v>0</v>
      </c>
      <c r="H2041" s="153" t="s">
        <v>10</v>
      </c>
    </row>
    <row r="2042" spans="1:8" x14ac:dyDescent="0.25">
      <c r="A2042" s="73">
        <v>44853</v>
      </c>
      <c r="B2042" s="74" t="s">
        <v>33655</v>
      </c>
      <c r="C2042" s="75" t="s">
        <v>16</v>
      </c>
      <c r="D2042" s="81">
        <v>3206.2</v>
      </c>
      <c r="E2042" s="230">
        <v>44853</v>
      </c>
      <c r="F2042" s="81">
        <v>3206.2</v>
      </c>
      <c r="G2042" s="197">
        <f>Tabla111[[#This Row],[Importe]]-Tabla111[[#This Row],[Pagado]]</f>
        <v>0</v>
      </c>
      <c r="H2042" s="75" t="s">
        <v>10</v>
      </c>
    </row>
    <row r="2043" spans="1:8" x14ac:dyDescent="0.25">
      <c r="A2043" s="148">
        <v>44853</v>
      </c>
      <c r="B2043" s="149" t="s">
        <v>33656</v>
      </c>
      <c r="C2043" s="153" t="s">
        <v>22</v>
      </c>
      <c r="D2043" s="154">
        <v>2445</v>
      </c>
      <c r="E2043" s="231">
        <v>44853</v>
      </c>
      <c r="F2043" s="154">
        <v>2445</v>
      </c>
      <c r="G2043" s="197">
        <f>Tabla111[[#This Row],[Importe]]-Tabla111[[#This Row],[Pagado]]</f>
        <v>0</v>
      </c>
      <c r="H2043" s="153" t="s">
        <v>10</v>
      </c>
    </row>
    <row r="2044" spans="1:8" x14ac:dyDescent="0.25">
      <c r="A2044" s="73">
        <v>44853</v>
      </c>
      <c r="B2044" s="74" t="s">
        <v>33657</v>
      </c>
      <c r="C2044" s="75" t="s">
        <v>402</v>
      </c>
      <c r="D2044" s="81">
        <v>18129.3</v>
      </c>
      <c r="E2044" s="230">
        <v>44860</v>
      </c>
      <c r="F2044" s="81">
        <v>18129.3</v>
      </c>
      <c r="G2044" s="197">
        <f>Tabla111[[#This Row],[Importe]]-Tabla111[[#This Row],[Pagado]]</f>
        <v>0</v>
      </c>
      <c r="H2044" s="75" t="s">
        <v>10</v>
      </c>
    </row>
    <row r="2045" spans="1:8" x14ac:dyDescent="0.25">
      <c r="A2045" s="148">
        <v>44853</v>
      </c>
      <c r="B2045" s="149" t="s">
        <v>33658</v>
      </c>
      <c r="C2045" s="153" t="s">
        <v>612</v>
      </c>
      <c r="D2045" s="154">
        <v>90</v>
      </c>
      <c r="E2045" s="231">
        <v>44853</v>
      </c>
      <c r="F2045" s="154">
        <v>90</v>
      </c>
      <c r="G2045" s="197">
        <f>Tabla111[[#This Row],[Importe]]-Tabla111[[#This Row],[Pagado]]</f>
        <v>0</v>
      </c>
      <c r="H2045" s="153" t="s">
        <v>10</v>
      </c>
    </row>
    <row r="2046" spans="1:8" x14ac:dyDescent="0.25">
      <c r="A2046" s="73">
        <v>44853</v>
      </c>
      <c r="B2046" s="74" t="s">
        <v>33659</v>
      </c>
      <c r="C2046" s="75" t="s">
        <v>107</v>
      </c>
      <c r="D2046" s="81">
        <v>12168.9</v>
      </c>
      <c r="E2046" s="230">
        <v>44853</v>
      </c>
      <c r="F2046" s="81">
        <v>12168.9</v>
      </c>
      <c r="G2046" s="197">
        <f>Tabla111[[#This Row],[Importe]]-Tabla111[[#This Row],[Pagado]]</f>
        <v>0</v>
      </c>
      <c r="H2046" s="75" t="s">
        <v>10</v>
      </c>
    </row>
    <row r="2047" spans="1:8" x14ac:dyDescent="0.25">
      <c r="A2047" s="148">
        <v>44853</v>
      </c>
      <c r="B2047" s="149" t="s">
        <v>33660</v>
      </c>
      <c r="C2047" s="153" t="s">
        <v>146</v>
      </c>
      <c r="D2047" s="154">
        <v>4354.2</v>
      </c>
      <c r="E2047" s="231">
        <v>44853</v>
      </c>
      <c r="F2047" s="154">
        <v>4354.2</v>
      </c>
      <c r="G2047" s="197">
        <f>Tabla111[[#This Row],[Importe]]-Tabla111[[#This Row],[Pagado]]</f>
        <v>0</v>
      </c>
      <c r="H2047" s="153" t="s">
        <v>10</v>
      </c>
    </row>
    <row r="2048" spans="1:8" x14ac:dyDescent="0.25">
      <c r="A2048" s="73">
        <v>44853</v>
      </c>
      <c r="B2048" s="74" t="s">
        <v>33661</v>
      </c>
      <c r="C2048" s="75" t="s">
        <v>15306</v>
      </c>
      <c r="D2048" s="81">
        <v>12588.6</v>
      </c>
      <c r="E2048" s="230">
        <v>44853</v>
      </c>
      <c r="F2048" s="81">
        <v>12588.6</v>
      </c>
      <c r="G2048" s="197">
        <f>Tabla111[[#This Row],[Importe]]-Tabla111[[#This Row],[Pagado]]</f>
        <v>0</v>
      </c>
      <c r="H2048" s="75" t="s">
        <v>10</v>
      </c>
    </row>
    <row r="2049" spans="1:8" x14ac:dyDescent="0.25">
      <c r="A2049" s="148">
        <v>44853</v>
      </c>
      <c r="B2049" s="149" t="s">
        <v>33662</v>
      </c>
      <c r="C2049" s="153" t="s">
        <v>10190</v>
      </c>
      <c r="D2049" s="154">
        <v>7420</v>
      </c>
      <c r="E2049" s="231">
        <v>44853</v>
      </c>
      <c r="F2049" s="154">
        <v>7420</v>
      </c>
      <c r="G2049" s="197">
        <f>Tabla111[[#This Row],[Importe]]-Tabla111[[#This Row],[Pagado]]</f>
        <v>0</v>
      </c>
      <c r="H2049" s="153" t="s">
        <v>10</v>
      </c>
    </row>
    <row r="2050" spans="1:8" x14ac:dyDescent="0.25">
      <c r="A2050" s="73">
        <v>44853</v>
      </c>
      <c r="B2050" s="74" t="s">
        <v>33663</v>
      </c>
      <c r="C2050" s="75" t="s">
        <v>333</v>
      </c>
      <c r="D2050" s="81">
        <v>313.26</v>
      </c>
      <c r="E2050" s="230">
        <v>44853</v>
      </c>
      <c r="F2050" s="81">
        <v>313.26</v>
      </c>
      <c r="G2050" s="197">
        <f>Tabla111[[#This Row],[Importe]]-Tabla111[[#This Row],[Pagado]]</f>
        <v>0</v>
      </c>
      <c r="H2050" s="75" t="s">
        <v>10</v>
      </c>
    </row>
    <row r="2051" spans="1:8" x14ac:dyDescent="0.25">
      <c r="A2051" s="148">
        <v>44853</v>
      </c>
      <c r="B2051" s="149" t="s">
        <v>33664</v>
      </c>
      <c r="C2051" s="153" t="s">
        <v>31</v>
      </c>
      <c r="D2051" s="154">
        <v>1552.2</v>
      </c>
      <c r="E2051" s="231">
        <v>44853</v>
      </c>
      <c r="F2051" s="154">
        <v>1552.2</v>
      </c>
      <c r="G2051" s="197">
        <f>Tabla111[[#This Row],[Importe]]-Tabla111[[#This Row],[Pagado]]</f>
        <v>0</v>
      </c>
      <c r="H2051" s="153" t="s">
        <v>10</v>
      </c>
    </row>
    <row r="2052" spans="1:8" x14ac:dyDescent="0.25">
      <c r="A2052" s="73">
        <v>44853</v>
      </c>
      <c r="B2052" s="74" t="s">
        <v>33665</v>
      </c>
      <c r="C2052" s="75" t="s">
        <v>291</v>
      </c>
      <c r="D2052" s="81">
        <v>2000</v>
      </c>
      <c r="E2052" s="230">
        <v>44853</v>
      </c>
      <c r="F2052" s="81">
        <v>2000</v>
      </c>
      <c r="G2052" s="197">
        <f>Tabla111[[#This Row],[Importe]]-Tabla111[[#This Row],[Pagado]]</f>
        <v>0</v>
      </c>
      <c r="H2052" s="75" t="s">
        <v>10</v>
      </c>
    </row>
    <row r="2053" spans="1:8" x14ac:dyDescent="0.25">
      <c r="A2053" s="148">
        <v>44853</v>
      </c>
      <c r="B2053" s="149" t="s">
        <v>33666</v>
      </c>
      <c r="C2053" s="153" t="s">
        <v>1362</v>
      </c>
      <c r="D2053" s="154">
        <v>1356</v>
      </c>
      <c r="E2053" s="231">
        <v>44853</v>
      </c>
      <c r="F2053" s="154">
        <v>1356</v>
      </c>
      <c r="G2053" s="197">
        <f>Tabla111[[#This Row],[Importe]]-Tabla111[[#This Row],[Pagado]]</f>
        <v>0</v>
      </c>
      <c r="H2053" s="153" t="s">
        <v>10</v>
      </c>
    </row>
    <row r="2054" spans="1:8" x14ac:dyDescent="0.25">
      <c r="A2054" s="73">
        <v>44853</v>
      </c>
      <c r="B2054" s="74" t="s">
        <v>33667</v>
      </c>
      <c r="C2054" s="75" t="s">
        <v>31</v>
      </c>
      <c r="D2054" s="81">
        <v>6931.2</v>
      </c>
      <c r="E2054" s="230">
        <v>44853</v>
      </c>
      <c r="F2054" s="81">
        <v>6931.2</v>
      </c>
      <c r="G2054" s="197">
        <f>Tabla111[[#This Row],[Importe]]-Tabla111[[#This Row],[Pagado]]</f>
        <v>0</v>
      </c>
      <c r="H2054" s="75" t="s">
        <v>10</v>
      </c>
    </row>
    <row r="2055" spans="1:8" x14ac:dyDescent="0.25">
      <c r="A2055" s="148">
        <v>44853</v>
      </c>
      <c r="B2055" s="149" t="s">
        <v>33668</v>
      </c>
      <c r="C2055" s="153" t="s">
        <v>31</v>
      </c>
      <c r="D2055" s="154">
        <v>6232</v>
      </c>
      <c r="E2055" s="231">
        <v>44853</v>
      </c>
      <c r="F2055" s="154">
        <v>6232</v>
      </c>
      <c r="G2055" s="197">
        <f>Tabla111[[#This Row],[Importe]]-Tabla111[[#This Row],[Pagado]]</f>
        <v>0</v>
      </c>
      <c r="H2055" s="153" t="s">
        <v>10</v>
      </c>
    </row>
    <row r="2056" spans="1:8" x14ac:dyDescent="0.25">
      <c r="A2056" s="73">
        <v>44853</v>
      </c>
      <c r="B2056" s="74" t="s">
        <v>33669</v>
      </c>
      <c r="C2056" s="75" t="s">
        <v>2377</v>
      </c>
      <c r="D2056" s="81">
        <v>26999.83</v>
      </c>
      <c r="E2056" s="230">
        <v>44853</v>
      </c>
      <c r="F2056" s="81">
        <v>26999.83</v>
      </c>
      <c r="G2056" s="197">
        <f>Tabla111[[#This Row],[Importe]]-Tabla111[[#This Row],[Pagado]]</f>
        <v>0</v>
      </c>
      <c r="H2056" s="75" t="s">
        <v>10</v>
      </c>
    </row>
    <row r="2057" spans="1:8" x14ac:dyDescent="0.25">
      <c r="A2057" s="148">
        <v>44853</v>
      </c>
      <c r="B2057" s="149" t="s">
        <v>33670</v>
      </c>
      <c r="C2057" s="153" t="s">
        <v>1421</v>
      </c>
      <c r="D2057" s="154">
        <v>33415.800000000003</v>
      </c>
      <c r="E2057" s="231">
        <v>44853</v>
      </c>
      <c r="F2057" s="154">
        <v>33415.800000000003</v>
      </c>
      <c r="G2057" s="197">
        <f>Tabla111[[#This Row],[Importe]]-Tabla111[[#This Row],[Pagado]]</f>
        <v>0</v>
      </c>
      <c r="H2057" s="153" t="s">
        <v>10</v>
      </c>
    </row>
    <row r="2058" spans="1:8" x14ac:dyDescent="0.25">
      <c r="A2058" s="73">
        <v>44853</v>
      </c>
      <c r="B2058" s="74" t="s">
        <v>33671</v>
      </c>
      <c r="C2058" s="75" t="s">
        <v>400</v>
      </c>
      <c r="D2058" s="81">
        <v>10199.1</v>
      </c>
      <c r="E2058" s="230">
        <v>44860</v>
      </c>
      <c r="F2058" s="81">
        <v>10199.1</v>
      </c>
      <c r="G2058" s="197">
        <f>Tabla111[[#This Row],[Importe]]-Tabla111[[#This Row],[Pagado]]</f>
        <v>0</v>
      </c>
      <c r="H2058" s="75" t="s">
        <v>10</v>
      </c>
    </row>
    <row r="2059" spans="1:8" x14ac:dyDescent="0.25">
      <c r="A2059" s="148">
        <v>44853</v>
      </c>
      <c r="B2059" s="149" t="s">
        <v>33672</v>
      </c>
      <c r="C2059" s="153" t="s">
        <v>296</v>
      </c>
      <c r="D2059" s="154">
        <v>3488</v>
      </c>
      <c r="E2059" s="231">
        <v>44853</v>
      </c>
      <c r="F2059" s="154">
        <v>3488</v>
      </c>
      <c r="G2059" s="197">
        <f>Tabla111[[#This Row],[Importe]]-Tabla111[[#This Row],[Pagado]]</f>
        <v>0</v>
      </c>
      <c r="H2059" s="153" t="s">
        <v>10</v>
      </c>
    </row>
    <row r="2060" spans="1:8" x14ac:dyDescent="0.25">
      <c r="A2060" s="73">
        <v>44853</v>
      </c>
      <c r="B2060" s="74" t="s">
        <v>33673</v>
      </c>
      <c r="C2060" s="75" t="s">
        <v>31</v>
      </c>
      <c r="D2060" s="81">
        <v>688</v>
      </c>
      <c r="E2060" s="230">
        <v>44853</v>
      </c>
      <c r="F2060" s="81">
        <v>688</v>
      </c>
      <c r="G2060" s="197">
        <f>Tabla111[[#This Row],[Importe]]-Tabla111[[#This Row],[Pagado]]</f>
        <v>0</v>
      </c>
      <c r="H2060" s="75" t="s">
        <v>10</v>
      </c>
    </row>
    <row r="2061" spans="1:8" x14ac:dyDescent="0.25">
      <c r="A2061" s="148">
        <v>44853</v>
      </c>
      <c r="B2061" s="149" t="s">
        <v>33674</v>
      </c>
      <c r="C2061" s="153" t="s">
        <v>31</v>
      </c>
      <c r="D2061" s="154">
        <v>264</v>
      </c>
      <c r="E2061" s="231">
        <v>44853</v>
      </c>
      <c r="F2061" s="154">
        <v>264</v>
      </c>
      <c r="G2061" s="197">
        <f>Tabla111[[#This Row],[Importe]]-Tabla111[[#This Row],[Pagado]]</f>
        <v>0</v>
      </c>
      <c r="H2061" s="153" t="s">
        <v>10</v>
      </c>
    </row>
    <row r="2062" spans="1:8" x14ac:dyDescent="0.25">
      <c r="A2062" s="73">
        <v>44853</v>
      </c>
      <c r="B2062" s="74" t="s">
        <v>33675</v>
      </c>
      <c r="C2062" s="75" t="s">
        <v>280</v>
      </c>
      <c r="D2062" s="81">
        <v>787.8</v>
      </c>
      <c r="E2062" s="230">
        <v>44854</v>
      </c>
      <c r="F2062" s="81">
        <v>787.8</v>
      </c>
      <c r="G2062" s="197">
        <f>Tabla111[[#This Row],[Importe]]-Tabla111[[#This Row],[Pagado]]</f>
        <v>0</v>
      </c>
      <c r="H2062" s="75" t="s">
        <v>10</v>
      </c>
    </row>
    <row r="2063" spans="1:8" x14ac:dyDescent="0.25">
      <c r="A2063" s="148">
        <v>44853</v>
      </c>
      <c r="B2063" s="149" t="s">
        <v>33676</v>
      </c>
      <c r="C2063" s="153" t="s">
        <v>282</v>
      </c>
      <c r="D2063" s="154">
        <v>1552.2</v>
      </c>
      <c r="E2063" s="231">
        <v>44854</v>
      </c>
      <c r="F2063" s="154">
        <v>1552.2</v>
      </c>
      <c r="G2063" s="197">
        <f>Tabla111[[#This Row],[Importe]]-Tabla111[[#This Row],[Pagado]]</f>
        <v>0</v>
      </c>
      <c r="H2063" s="153" t="s">
        <v>10</v>
      </c>
    </row>
    <row r="2064" spans="1:8" x14ac:dyDescent="0.25">
      <c r="A2064" s="73">
        <v>44853</v>
      </c>
      <c r="B2064" s="74" t="s">
        <v>33677</v>
      </c>
      <c r="C2064" s="75" t="s">
        <v>284</v>
      </c>
      <c r="D2064" s="81">
        <v>7846.8</v>
      </c>
      <c r="E2064" s="230">
        <v>44854</v>
      </c>
      <c r="F2064" s="81">
        <v>7846.8</v>
      </c>
      <c r="G2064" s="197">
        <f>Tabla111[[#This Row],[Importe]]-Tabla111[[#This Row],[Pagado]]</f>
        <v>0</v>
      </c>
      <c r="H2064" s="75" t="s">
        <v>10</v>
      </c>
    </row>
    <row r="2065" spans="1:8" x14ac:dyDescent="0.25">
      <c r="A2065" s="148">
        <v>44853</v>
      </c>
      <c r="B2065" s="149" t="s">
        <v>33678</v>
      </c>
      <c r="C2065" s="153" t="s">
        <v>10819</v>
      </c>
      <c r="D2065" s="154">
        <v>1419.6</v>
      </c>
      <c r="E2065" s="231">
        <v>44854</v>
      </c>
      <c r="F2065" s="154">
        <v>1419.6</v>
      </c>
      <c r="G2065" s="197">
        <f>Tabla111[[#This Row],[Importe]]-Tabla111[[#This Row],[Pagado]]</f>
        <v>0</v>
      </c>
      <c r="H2065" s="153" t="s">
        <v>10</v>
      </c>
    </row>
    <row r="2066" spans="1:8" x14ac:dyDescent="0.25">
      <c r="A2066" s="73">
        <v>44853</v>
      </c>
      <c r="B2066" s="74" t="s">
        <v>33679</v>
      </c>
      <c r="C2066" s="75" t="s">
        <v>31</v>
      </c>
      <c r="D2066" s="81">
        <v>2128</v>
      </c>
      <c r="E2066" s="230">
        <v>44853</v>
      </c>
      <c r="F2066" s="81">
        <v>2128</v>
      </c>
      <c r="G2066" s="197">
        <f>Tabla111[[#This Row],[Importe]]-Tabla111[[#This Row],[Pagado]]</f>
        <v>0</v>
      </c>
      <c r="H2066" s="75" t="s">
        <v>10</v>
      </c>
    </row>
    <row r="2067" spans="1:8" x14ac:dyDescent="0.25">
      <c r="A2067" s="148">
        <v>44853</v>
      </c>
      <c r="B2067" s="149" t="s">
        <v>33680</v>
      </c>
      <c r="C2067" s="153" t="s">
        <v>224</v>
      </c>
      <c r="D2067" s="154">
        <v>1722.6</v>
      </c>
      <c r="E2067" s="231">
        <v>44853</v>
      </c>
      <c r="F2067" s="154">
        <v>1722.6</v>
      </c>
      <c r="G2067" s="197">
        <f>Tabla111[[#This Row],[Importe]]-Tabla111[[#This Row],[Pagado]]</f>
        <v>0</v>
      </c>
      <c r="H2067" s="153" t="s">
        <v>10</v>
      </c>
    </row>
    <row r="2068" spans="1:8" x14ac:dyDescent="0.25">
      <c r="A2068" s="73">
        <v>44853</v>
      </c>
      <c r="B2068" s="74" t="s">
        <v>33681</v>
      </c>
      <c r="C2068" s="75" t="s">
        <v>610</v>
      </c>
      <c r="D2068" s="81">
        <v>34232</v>
      </c>
      <c r="E2068" s="230">
        <v>44853</v>
      </c>
      <c r="F2068" s="81">
        <v>34232</v>
      </c>
      <c r="G2068" s="197">
        <f>Tabla111[[#This Row],[Importe]]-Tabla111[[#This Row],[Pagado]]</f>
        <v>0</v>
      </c>
      <c r="H2068" s="75" t="s">
        <v>10</v>
      </c>
    </row>
    <row r="2069" spans="1:8" x14ac:dyDescent="0.25">
      <c r="A2069" s="148">
        <v>44854</v>
      </c>
      <c r="B2069" s="149" t="s">
        <v>33682</v>
      </c>
      <c r="C2069" s="153" t="s">
        <v>18</v>
      </c>
      <c r="D2069" s="154">
        <v>1876.2</v>
      </c>
      <c r="E2069" s="231">
        <v>44854</v>
      </c>
      <c r="F2069" s="154">
        <v>1876.2</v>
      </c>
      <c r="G2069" s="197">
        <f>Tabla111[[#This Row],[Importe]]-Tabla111[[#This Row],[Pagado]]</f>
        <v>0</v>
      </c>
      <c r="H2069" s="153" t="s">
        <v>10</v>
      </c>
    </row>
    <row r="2070" spans="1:8" x14ac:dyDescent="0.25">
      <c r="A2070" s="73">
        <v>44854</v>
      </c>
      <c r="B2070" s="74" t="s">
        <v>33683</v>
      </c>
      <c r="C2070" s="75" t="s">
        <v>12</v>
      </c>
      <c r="D2070" s="81">
        <v>34872.550000000003</v>
      </c>
      <c r="E2070" s="230">
        <v>44854</v>
      </c>
      <c r="F2070" s="81">
        <v>34872.550000000003</v>
      </c>
      <c r="G2070" s="197">
        <f>Tabla111[[#This Row],[Importe]]-Tabla111[[#This Row],[Pagado]]</f>
        <v>0</v>
      </c>
      <c r="H2070" s="75" t="s">
        <v>10</v>
      </c>
    </row>
    <row r="2071" spans="1:8" x14ac:dyDescent="0.25">
      <c r="A2071" s="148">
        <v>44854</v>
      </c>
      <c r="B2071" s="149" t="s">
        <v>33684</v>
      </c>
      <c r="C2071" s="153" t="s">
        <v>484</v>
      </c>
      <c r="D2071" s="154">
        <v>4196</v>
      </c>
      <c r="E2071" s="231">
        <v>44854</v>
      </c>
      <c r="F2071" s="154">
        <v>4196</v>
      </c>
      <c r="G2071" s="197">
        <f>Tabla111[[#This Row],[Importe]]-Tabla111[[#This Row],[Pagado]]</f>
        <v>0</v>
      </c>
      <c r="H2071" s="153" t="s">
        <v>10</v>
      </c>
    </row>
    <row r="2072" spans="1:8" x14ac:dyDescent="0.25">
      <c r="A2072" s="73">
        <v>44854</v>
      </c>
      <c r="B2072" s="74" t="s">
        <v>33685</v>
      </c>
      <c r="C2072" s="75" t="s">
        <v>9</v>
      </c>
      <c r="D2072" s="81">
        <v>8665.1</v>
      </c>
      <c r="E2072" s="230">
        <v>44854</v>
      </c>
      <c r="F2072" s="81">
        <v>8665.1</v>
      </c>
      <c r="G2072" s="197">
        <f>Tabla111[[#This Row],[Importe]]-Tabla111[[#This Row],[Pagado]]</f>
        <v>0</v>
      </c>
      <c r="H2072" s="75" t="s">
        <v>10</v>
      </c>
    </row>
    <row r="2073" spans="1:8" x14ac:dyDescent="0.25">
      <c r="A2073" s="148">
        <v>44854</v>
      </c>
      <c r="B2073" s="149" t="s">
        <v>33686</v>
      </c>
      <c r="C2073" s="153" t="s">
        <v>22</v>
      </c>
      <c r="D2073" s="154">
        <v>6200</v>
      </c>
      <c r="E2073" s="231">
        <v>44854</v>
      </c>
      <c r="F2073" s="154">
        <v>6200</v>
      </c>
      <c r="G2073" s="197">
        <f>Tabla111[[#This Row],[Importe]]-Tabla111[[#This Row],[Pagado]]</f>
        <v>0</v>
      </c>
      <c r="H2073" s="153" t="s">
        <v>10</v>
      </c>
    </row>
    <row r="2074" spans="1:8" x14ac:dyDescent="0.25">
      <c r="A2074" s="73">
        <v>44854</v>
      </c>
      <c r="B2074" s="74" t="s">
        <v>33687</v>
      </c>
      <c r="C2074" s="75" t="s">
        <v>326</v>
      </c>
      <c r="D2074" s="81">
        <v>3248.8</v>
      </c>
      <c r="E2074" s="230">
        <v>44855</v>
      </c>
      <c r="F2074" s="81">
        <v>3248.8</v>
      </c>
      <c r="G2074" s="197">
        <f>Tabla111[[#This Row],[Importe]]-Tabla111[[#This Row],[Pagado]]</f>
        <v>0</v>
      </c>
      <c r="H2074" s="75" t="s">
        <v>10</v>
      </c>
    </row>
    <row r="2075" spans="1:8" x14ac:dyDescent="0.25">
      <c r="A2075" s="148">
        <v>44854</v>
      </c>
      <c r="B2075" s="149" t="s">
        <v>33688</v>
      </c>
      <c r="C2075" s="153" t="s">
        <v>105</v>
      </c>
      <c r="D2075" s="154">
        <v>3131</v>
      </c>
      <c r="E2075" s="231">
        <v>44854</v>
      </c>
      <c r="F2075" s="154">
        <v>3131</v>
      </c>
      <c r="G2075" s="197">
        <f>Tabla111[[#This Row],[Importe]]-Tabla111[[#This Row],[Pagado]]</f>
        <v>0</v>
      </c>
      <c r="H2075" s="153" t="s">
        <v>10</v>
      </c>
    </row>
    <row r="2076" spans="1:8" x14ac:dyDescent="0.25">
      <c r="A2076" s="73">
        <v>44854</v>
      </c>
      <c r="B2076" s="74" t="s">
        <v>33689</v>
      </c>
      <c r="C2076" s="75" t="s">
        <v>97</v>
      </c>
      <c r="D2076" s="81">
        <v>3322.8</v>
      </c>
      <c r="E2076" s="230">
        <v>44855</v>
      </c>
      <c r="F2076" s="81">
        <v>3322.8</v>
      </c>
      <c r="G2076" s="197">
        <f>Tabla111[[#This Row],[Importe]]-Tabla111[[#This Row],[Pagado]]</f>
        <v>0</v>
      </c>
      <c r="H2076" s="75" t="s">
        <v>10</v>
      </c>
    </row>
    <row r="2077" spans="1:8" x14ac:dyDescent="0.25">
      <c r="A2077" s="148">
        <v>44854</v>
      </c>
      <c r="B2077" s="149" t="s">
        <v>33690</v>
      </c>
      <c r="C2077" s="153" t="s">
        <v>93</v>
      </c>
      <c r="D2077" s="154">
        <v>3245.6</v>
      </c>
      <c r="E2077" s="231">
        <v>44855</v>
      </c>
      <c r="F2077" s="154">
        <v>3245.6</v>
      </c>
      <c r="G2077" s="197">
        <f>Tabla111[[#This Row],[Importe]]-Tabla111[[#This Row],[Pagado]]</f>
        <v>0</v>
      </c>
      <c r="H2077" s="153" t="s">
        <v>10</v>
      </c>
    </row>
    <row r="2078" spans="1:8" x14ac:dyDescent="0.25">
      <c r="A2078" s="73">
        <v>44854</v>
      </c>
      <c r="B2078" s="74" t="s">
        <v>33691</v>
      </c>
      <c r="C2078" s="75" t="s">
        <v>89</v>
      </c>
      <c r="D2078" s="81">
        <v>10056.4</v>
      </c>
      <c r="E2078" s="230">
        <v>44855</v>
      </c>
      <c r="F2078" s="81">
        <v>10056.4</v>
      </c>
      <c r="G2078" s="197">
        <f>Tabla111[[#This Row],[Importe]]-Tabla111[[#This Row],[Pagado]]</f>
        <v>0</v>
      </c>
      <c r="H2078" s="75" t="s">
        <v>10</v>
      </c>
    </row>
    <row r="2079" spans="1:8" x14ac:dyDescent="0.25">
      <c r="A2079" s="148">
        <v>44854</v>
      </c>
      <c r="B2079" s="149" t="s">
        <v>33692</v>
      </c>
      <c r="C2079" s="153" t="s">
        <v>348</v>
      </c>
      <c r="D2079" s="154">
        <v>4073.4</v>
      </c>
      <c r="E2079" s="231">
        <v>44854</v>
      </c>
      <c r="F2079" s="154">
        <v>4073.4</v>
      </c>
      <c r="G2079" s="197">
        <f>Tabla111[[#This Row],[Importe]]-Tabla111[[#This Row],[Pagado]]</f>
        <v>0</v>
      </c>
      <c r="H2079" s="153" t="s">
        <v>10</v>
      </c>
    </row>
    <row r="2080" spans="1:8" x14ac:dyDescent="0.25">
      <c r="A2080" s="73">
        <v>44854</v>
      </c>
      <c r="B2080" s="74" t="s">
        <v>33693</v>
      </c>
      <c r="C2080" s="75" t="s">
        <v>17556</v>
      </c>
      <c r="D2080" s="81">
        <v>3724</v>
      </c>
      <c r="E2080" s="230">
        <v>44854</v>
      </c>
      <c r="F2080" s="81">
        <v>3724</v>
      </c>
      <c r="G2080" s="197">
        <f>Tabla111[[#This Row],[Importe]]-Tabla111[[#This Row],[Pagado]]</f>
        <v>0</v>
      </c>
      <c r="H2080" s="75" t="s">
        <v>10</v>
      </c>
    </row>
    <row r="2081" spans="1:8" x14ac:dyDescent="0.25">
      <c r="A2081" s="148">
        <v>44854</v>
      </c>
      <c r="B2081" s="149" t="s">
        <v>33694</v>
      </c>
      <c r="C2081" s="153" t="s">
        <v>2780</v>
      </c>
      <c r="D2081" s="154">
        <v>12457.6</v>
      </c>
      <c r="E2081" s="231">
        <v>44854</v>
      </c>
      <c r="F2081" s="154">
        <v>12457.6</v>
      </c>
      <c r="G2081" s="197">
        <f>Tabla111[[#This Row],[Importe]]-Tabla111[[#This Row],[Pagado]]</f>
        <v>0</v>
      </c>
      <c r="H2081" s="153" t="s">
        <v>10</v>
      </c>
    </row>
    <row r="2082" spans="1:8" x14ac:dyDescent="0.25">
      <c r="A2082" s="73">
        <v>44854</v>
      </c>
      <c r="B2082" s="74" t="s">
        <v>33695</v>
      </c>
      <c r="C2082" s="75" t="s">
        <v>31</v>
      </c>
      <c r="D2082" s="81">
        <v>4354.8</v>
      </c>
      <c r="E2082" s="230">
        <v>44854</v>
      </c>
      <c r="F2082" s="81">
        <v>4354.8</v>
      </c>
      <c r="G2082" s="197">
        <f>Tabla111[[#This Row],[Importe]]-Tabla111[[#This Row],[Pagado]]</f>
        <v>0</v>
      </c>
      <c r="H2082" s="75" t="s">
        <v>10</v>
      </c>
    </row>
    <row r="2083" spans="1:8" x14ac:dyDescent="0.25">
      <c r="A2083" s="148">
        <v>44854</v>
      </c>
      <c r="B2083" s="149" t="s">
        <v>33696</v>
      </c>
      <c r="C2083" s="153" t="s">
        <v>131</v>
      </c>
      <c r="D2083" s="154">
        <v>4680</v>
      </c>
      <c r="E2083" s="231">
        <v>44854</v>
      </c>
      <c r="F2083" s="154">
        <v>4680</v>
      </c>
      <c r="G2083" s="197">
        <f>Tabla111[[#This Row],[Importe]]-Tabla111[[#This Row],[Pagado]]</f>
        <v>0</v>
      </c>
      <c r="H2083" s="153" t="s">
        <v>10</v>
      </c>
    </row>
    <row r="2084" spans="1:8" x14ac:dyDescent="0.25">
      <c r="A2084" s="73">
        <v>44854</v>
      </c>
      <c r="B2084" s="74" t="s">
        <v>33697</v>
      </c>
      <c r="C2084" s="75" t="s">
        <v>452</v>
      </c>
      <c r="D2084" s="81">
        <v>9676</v>
      </c>
      <c r="E2084" s="230">
        <v>44854</v>
      </c>
      <c r="F2084" s="81">
        <v>9676</v>
      </c>
      <c r="G2084" s="197">
        <f>Tabla111[[#This Row],[Importe]]-Tabla111[[#This Row],[Pagado]]</f>
        <v>0</v>
      </c>
      <c r="H2084" s="75" t="s">
        <v>10</v>
      </c>
    </row>
    <row r="2085" spans="1:8" x14ac:dyDescent="0.25">
      <c r="A2085" s="148">
        <v>44854</v>
      </c>
      <c r="B2085" s="149" t="s">
        <v>33698</v>
      </c>
      <c r="C2085" s="153" t="s">
        <v>196</v>
      </c>
      <c r="D2085" s="154">
        <v>129760.71</v>
      </c>
      <c r="E2085" s="231">
        <v>44855</v>
      </c>
      <c r="F2085" s="154">
        <v>129760.71</v>
      </c>
      <c r="G2085" s="197">
        <f>Tabla111[[#This Row],[Importe]]-Tabla111[[#This Row],[Pagado]]</f>
        <v>0</v>
      </c>
      <c r="H2085" s="153" t="s">
        <v>10</v>
      </c>
    </row>
    <row r="2086" spans="1:8" x14ac:dyDescent="0.25">
      <c r="A2086" s="73">
        <v>44854</v>
      </c>
      <c r="B2086" s="74" t="s">
        <v>33699</v>
      </c>
      <c r="C2086" s="75" t="s">
        <v>87</v>
      </c>
      <c r="D2086" s="81">
        <v>2723.2</v>
      </c>
      <c r="E2086" s="230">
        <v>44854</v>
      </c>
      <c r="F2086" s="81">
        <v>2723.2</v>
      </c>
      <c r="G2086" s="197">
        <f>Tabla111[[#This Row],[Importe]]-Tabla111[[#This Row],[Pagado]]</f>
        <v>0</v>
      </c>
      <c r="H2086" s="75" t="s">
        <v>10</v>
      </c>
    </row>
    <row r="2087" spans="1:8" x14ac:dyDescent="0.25">
      <c r="A2087" s="148">
        <v>44854</v>
      </c>
      <c r="B2087" s="149" t="s">
        <v>33700</v>
      </c>
      <c r="C2087" s="153" t="s">
        <v>146</v>
      </c>
      <c r="D2087" s="154">
        <v>5272.6</v>
      </c>
      <c r="E2087" s="231">
        <v>44854</v>
      </c>
      <c r="F2087" s="154">
        <v>5272.6</v>
      </c>
      <c r="G2087" s="197">
        <f>Tabla111[[#This Row],[Importe]]-Tabla111[[#This Row],[Pagado]]</f>
        <v>0</v>
      </c>
      <c r="H2087" s="153" t="s">
        <v>10</v>
      </c>
    </row>
    <row r="2088" spans="1:8" x14ac:dyDescent="0.25">
      <c r="A2088" s="73">
        <v>44854</v>
      </c>
      <c r="B2088" s="74" t="s">
        <v>33701</v>
      </c>
      <c r="C2088" s="75" t="s">
        <v>127</v>
      </c>
      <c r="D2088" s="81">
        <v>4848.8</v>
      </c>
      <c r="E2088" s="230">
        <v>44854</v>
      </c>
      <c r="F2088" s="81">
        <v>4848.8</v>
      </c>
      <c r="G2088" s="197">
        <f>Tabla111[[#This Row],[Importe]]-Tabla111[[#This Row],[Pagado]]</f>
        <v>0</v>
      </c>
      <c r="H2088" s="75" t="s">
        <v>10</v>
      </c>
    </row>
    <row r="2089" spans="1:8" x14ac:dyDescent="0.25">
      <c r="A2089" s="148">
        <v>44854</v>
      </c>
      <c r="B2089" s="149" t="s">
        <v>33702</v>
      </c>
      <c r="C2089" s="153" t="s">
        <v>140</v>
      </c>
      <c r="D2089" s="154">
        <v>4211.3999999999996</v>
      </c>
      <c r="E2089" s="231">
        <v>44854</v>
      </c>
      <c r="F2089" s="154">
        <v>4211.3999999999996</v>
      </c>
      <c r="G2089" s="197">
        <f>Tabla111[[#This Row],[Importe]]-Tabla111[[#This Row],[Pagado]]</f>
        <v>0</v>
      </c>
      <c r="H2089" s="153" t="s">
        <v>10</v>
      </c>
    </row>
    <row r="2090" spans="1:8" x14ac:dyDescent="0.25">
      <c r="A2090" s="73">
        <v>44854</v>
      </c>
      <c r="B2090" s="74" t="s">
        <v>33703</v>
      </c>
      <c r="C2090" s="75" t="s">
        <v>339</v>
      </c>
      <c r="D2090" s="81">
        <v>632</v>
      </c>
      <c r="E2090" s="230">
        <v>44854</v>
      </c>
      <c r="F2090" s="81">
        <v>632</v>
      </c>
      <c r="G2090" s="197">
        <f>Tabla111[[#This Row],[Importe]]-Tabla111[[#This Row],[Pagado]]</f>
        <v>0</v>
      </c>
      <c r="H2090" s="75" t="s">
        <v>10</v>
      </c>
    </row>
    <row r="2091" spans="1:8" x14ac:dyDescent="0.25">
      <c r="A2091" s="148">
        <v>44854</v>
      </c>
      <c r="B2091" s="149" t="s">
        <v>33704</v>
      </c>
      <c r="C2091" s="153" t="s">
        <v>31</v>
      </c>
      <c r="D2091" s="154">
        <v>1178</v>
      </c>
      <c r="E2091" s="231">
        <v>44854</v>
      </c>
      <c r="F2091" s="154">
        <v>1178</v>
      </c>
      <c r="G2091" s="197">
        <f>Tabla111[[#This Row],[Importe]]-Tabla111[[#This Row],[Pagado]]</f>
        <v>0</v>
      </c>
      <c r="H2091" s="153" t="s">
        <v>10</v>
      </c>
    </row>
    <row r="2092" spans="1:8" x14ac:dyDescent="0.25">
      <c r="A2092" s="73">
        <v>44854</v>
      </c>
      <c r="B2092" s="74" t="s">
        <v>33705</v>
      </c>
      <c r="C2092" s="75" t="s">
        <v>83</v>
      </c>
      <c r="D2092" s="81">
        <v>9502.6</v>
      </c>
      <c r="E2092" s="230">
        <v>44854</v>
      </c>
      <c r="F2092" s="81">
        <v>9502.6</v>
      </c>
      <c r="G2092" s="197">
        <f>Tabla111[[#This Row],[Importe]]-Tabla111[[#This Row],[Pagado]]</f>
        <v>0</v>
      </c>
      <c r="H2092" s="75" t="s">
        <v>10</v>
      </c>
    </row>
    <row r="2093" spans="1:8" x14ac:dyDescent="0.25">
      <c r="A2093" s="148">
        <v>44854</v>
      </c>
      <c r="B2093" s="149" t="s">
        <v>33706</v>
      </c>
      <c r="C2093" s="153" t="s">
        <v>647</v>
      </c>
      <c r="D2093" s="154">
        <v>3480.4</v>
      </c>
      <c r="E2093" s="231">
        <v>44854</v>
      </c>
      <c r="F2093" s="154">
        <v>3480.4</v>
      </c>
      <c r="G2093" s="197">
        <f>Tabla111[[#This Row],[Importe]]-Tabla111[[#This Row],[Pagado]]</f>
        <v>0</v>
      </c>
      <c r="H2093" s="153" t="s">
        <v>10</v>
      </c>
    </row>
    <row r="2094" spans="1:8" x14ac:dyDescent="0.25">
      <c r="A2094" s="73">
        <v>44854</v>
      </c>
      <c r="B2094" s="74" t="s">
        <v>33707</v>
      </c>
      <c r="C2094" s="75" t="s">
        <v>647</v>
      </c>
      <c r="D2094" s="81">
        <v>3547</v>
      </c>
      <c r="E2094" s="230">
        <v>44854</v>
      </c>
      <c r="F2094" s="81">
        <v>3547</v>
      </c>
      <c r="G2094" s="197">
        <f>Tabla111[[#This Row],[Importe]]-Tabla111[[#This Row],[Pagado]]</f>
        <v>0</v>
      </c>
      <c r="H2094" s="75" t="s">
        <v>10</v>
      </c>
    </row>
    <row r="2095" spans="1:8" x14ac:dyDescent="0.25">
      <c r="A2095" s="148">
        <v>44854</v>
      </c>
      <c r="B2095" s="149" t="s">
        <v>33708</v>
      </c>
      <c r="C2095" s="153" t="s">
        <v>33</v>
      </c>
      <c r="D2095" s="154">
        <v>26510</v>
      </c>
      <c r="E2095" s="231">
        <v>44854</v>
      </c>
      <c r="F2095" s="154">
        <v>26510</v>
      </c>
      <c r="G2095" s="197">
        <f>Tabla111[[#This Row],[Importe]]-Tabla111[[#This Row],[Pagado]]</f>
        <v>0</v>
      </c>
      <c r="H2095" s="153" t="s">
        <v>10</v>
      </c>
    </row>
    <row r="2096" spans="1:8" x14ac:dyDescent="0.25">
      <c r="A2096" s="73">
        <v>44854</v>
      </c>
      <c r="B2096" s="74" t="s">
        <v>33709</v>
      </c>
      <c r="C2096" s="75" t="s">
        <v>11383</v>
      </c>
      <c r="D2096" s="81">
        <v>12789.3</v>
      </c>
      <c r="E2096" s="230">
        <v>44854</v>
      </c>
      <c r="F2096" s="81">
        <v>12789.3</v>
      </c>
      <c r="G2096" s="197">
        <f>Tabla111[[#This Row],[Importe]]-Tabla111[[#This Row],[Pagado]]</f>
        <v>0</v>
      </c>
      <c r="H2096" s="75" t="s">
        <v>10</v>
      </c>
    </row>
    <row r="2097" spans="1:8" x14ac:dyDescent="0.25">
      <c r="A2097" s="148">
        <v>44854</v>
      </c>
      <c r="B2097" s="149" t="s">
        <v>33710</v>
      </c>
      <c r="C2097" s="153" t="s">
        <v>670</v>
      </c>
      <c r="D2097" s="154">
        <v>5683.5</v>
      </c>
      <c r="E2097" s="231">
        <v>44854</v>
      </c>
      <c r="F2097" s="154">
        <v>5683.5</v>
      </c>
      <c r="G2097" s="197">
        <f>Tabla111[[#This Row],[Importe]]-Tabla111[[#This Row],[Pagado]]</f>
        <v>0</v>
      </c>
      <c r="H2097" s="153" t="s">
        <v>10</v>
      </c>
    </row>
    <row r="2098" spans="1:8" x14ac:dyDescent="0.25">
      <c r="A2098" s="73">
        <v>44854</v>
      </c>
      <c r="B2098" s="74" t="s">
        <v>33711</v>
      </c>
      <c r="C2098" s="75" t="s">
        <v>45</v>
      </c>
      <c r="D2098" s="81">
        <v>13997.8</v>
      </c>
      <c r="E2098" s="230">
        <v>44854</v>
      </c>
      <c r="F2098" s="81">
        <v>13997.8</v>
      </c>
      <c r="G2098" s="197">
        <f>Tabla111[[#This Row],[Importe]]-Tabla111[[#This Row],[Pagado]]</f>
        <v>0</v>
      </c>
      <c r="H2098" s="75" t="s">
        <v>10</v>
      </c>
    </row>
    <row r="2099" spans="1:8" x14ac:dyDescent="0.25">
      <c r="A2099" s="148">
        <v>44854</v>
      </c>
      <c r="B2099" s="149" t="s">
        <v>33712</v>
      </c>
      <c r="C2099" s="153" t="s">
        <v>24284</v>
      </c>
      <c r="D2099" s="154">
        <v>717.6</v>
      </c>
      <c r="E2099" s="231">
        <v>44854</v>
      </c>
      <c r="F2099" s="154">
        <v>717.6</v>
      </c>
      <c r="G2099" s="197">
        <f>Tabla111[[#This Row],[Importe]]-Tabla111[[#This Row],[Pagado]]</f>
        <v>0</v>
      </c>
      <c r="H2099" s="153" t="s">
        <v>10</v>
      </c>
    </row>
    <row r="2100" spans="1:8" x14ac:dyDescent="0.25">
      <c r="A2100" s="73">
        <v>44854</v>
      </c>
      <c r="B2100" s="74" t="s">
        <v>33713</v>
      </c>
      <c r="C2100" s="75" t="s">
        <v>49</v>
      </c>
      <c r="D2100" s="81">
        <v>4711.2</v>
      </c>
      <c r="E2100" s="230">
        <v>44854</v>
      </c>
      <c r="F2100" s="81">
        <v>4711.2</v>
      </c>
      <c r="G2100" s="197">
        <f>Tabla111[[#This Row],[Importe]]-Tabla111[[#This Row],[Pagado]]</f>
        <v>0</v>
      </c>
      <c r="H2100" s="75" t="s">
        <v>10</v>
      </c>
    </row>
    <row r="2101" spans="1:8" x14ac:dyDescent="0.25">
      <c r="A2101" s="148">
        <v>44854</v>
      </c>
      <c r="B2101" s="149" t="s">
        <v>33714</v>
      </c>
      <c r="C2101" s="153" t="s">
        <v>75</v>
      </c>
      <c r="D2101" s="154">
        <v>9336.6</v>
      </c>
      <c r="E2101" s="231">
        <v>44854</v>
      </c>
      <c r="F2101" s="154">
        <v>9336.6</v>
      </c>
      <c r="G2101" s="197">
        <f>Tabla111[[#This Row],[Importe]]-Tabla111[[#This Row],[Pagado]]</f>
        <v>0</v>
      </c>
      <c r="H2101" s="153" t="s">
        <v>10</v>
      </c>
    </row>
    <row r="2102" spans="1:8" x14ac:dyDescent="0.25">
      <c r="A2102" s="73">
        <v>44854</v>
      </c>
      <c r="B2102" s="74" t="s">
        <v>33715</v>
      </c>
      <c r="C2102" s="75" t="s">
        <v>414</v>
      </c>
      <c r="D2102" s="81">
        <v>24632.400000000001</v>
      </c>
      <c r="E2102" s="230">
        <v>44860</v>
      </c>
      <c r="F2102" s="81">
        <v>24632.400000000001</v>
      </c>
      <c r="G2102" s="197">
        <f>Tabla111[[#This Row],[Importe]]-Tabla111[[#This Row],[Pagado]]</f>
        <v>0</v>
      </c>
      <c r="H2102" s="75" t="s">
        <v>10</v>
      </c>
    </row>
    <row r="2103" spans="1:8" x14ac:dyDescent="0.25">
      <c r="A2103" s="148">
        <v>44854</v>
      </c>
      <c r="B2103" s="149" t="s">
        <v>33716</v>
      </c>
      <c r="C2103" s="153" t="s">
        <v>698</v>
      </c>
      <c r="D2103" s="154">
        <v>8948</v>
      </c>
      <c r="E2103" s="231">
        <v>44854</v>
      </c>
      <c r="F2103" s="154">
        <v>8948</v>
      </c>
      <c r="G2103" s="197">
        <f>Tabla111[[#This Row],[Importe]]-Tabla111[[#This Row],[Pagado]]</f>
        <v>0</v>
      </c>
      <c r="H2103" s="153" t="s">
        <v>10</v>
      </c>
    </row>
    <row r="2104" spans="1:8" x14ac:dyDescent="0.25">
      <c r="A2104" s="73">
        <v>44854</v>
      </c>
      <c r="B2104" s="74" t="s">
        <v>33717</v>
      </c>
      <c r="C2104" s="75" t="s">
        <v>230</v>
      </c>
      <c r="D2104" s="81">
        <v>7339.3</v>
      </c>
      <c r="E2104" s="230">
        <v>44854</v>
      </c>
      <c r="F2104" s="81">
        <v>7339.3</v>
      </c>
      <c r="G2104" s="197">
        <f>Tabla111[[#This Row],[Importe]]-Tabla111[[#This Row],[Pagado]]</f>
        <v>0</v>
      </c>
      <c r="H2104" s="75" t="s">
        <v>10</v>
      </c>
    </row>
    <row r="2105" spans="1:8" x14ac:dyDescent="0.25">
      <c r="A2105" s="148">
        <v>44854</v>
      </c>
      <c r="B2105" s="149" t="s">
        <v>33718</v>
      </c>
      <c r="C2105" s="153" t="s">
        <v>79</v>
      </c>
      <c r="D2105" s="154">
        <v>9484.7999999999993</v>
      </c>
      <c r="E2105" s="231">
        <v>44854</v>
      </c>
      <c r="F2105" s="154">
        <v>9484.7999999999993</v>
      </c>
      <c r="G2105" s="197">
        <f>Tabla111[[#This Row],[Importe]]-Tabla111[[#This Row],[Pagado]]</f>
        <v>0</v>
      </c>
      <c r="H2105" s="153" t="s">
        <v>10</v>
      </c>
    </row>
    <row r="2106" spans="1:8" x14ac:dyDescent="0.25">
      <c r="A2106" s="73">
        <v>44854</v>
      </c>
      <c r="B2106" s="74" t="s">
        <v>33719</v>
      </c>
      <c r="C2106" s="75" t="s">
        <v>151</v>
      </c>
      <c r="D2106" s="81">
        <v>25370.400000000001</v>
      </c>
      <c r="E2106" s="230">
        <v>44854</v>
      </c>
      <c r="F2106" s="81">
        <v>25370.400000000001</v>
      </c>
      <c r="G2106" s="197">
        <f>Tabla111[[#This Row],[Importe]]-Tabla111[[#This Row],[Pagado]]</f>
        <v>0</v>
      </c>
      <c r="H2106" s="75" t="s">
        <v>10</v>
      </c>
    </row>
    <row r="2107" spans="1:8" x14ac:dyDescent="0.25">
      <c r="A2107" s="148">
        <v>44854</v>
      </c>
      <c r="B2107" s="149" t="s">
        <v>33720</v>
      </c>
      <c r="C2107" s="153" t="s">
        <v>845</v>
      </c>
      <c r="D2107" s="154">
        <v>4065</v>
      </c>
      <c r="E2107" s="231">
        <v>44854</v>
      </c>
      <c r="F2107" s="154">
        <v>4065</v>
      </c>
      <c r="G2107" s="197">
        <f>Tabla111[[#This Row],[Importe]]-Tabla111[[#This Row],[Pagado]]</f>
        <v>0</v>
      </c>
      <c r="H2107" s="153" t="s">
        <v>10</v>
      </c>
    </row>
    <row r="2108" spans="1:8" x14ac:dyDescent="0.25">
      <c r="A2108" s="73">
        <v>44854</v>
      </c>
      <c r="B2108" s="74" t="s">
        <v>33721</v>
      </c>
      <c r="C2108" s="75" t="s">
        <v>53</v>
      </c>
      <c r="D2108" s="81">
        <v>3008</v>
      </c>
      <c r="E2108" s="230">
        <v>44854</v>
      </c>
      <c r="F2108" s="81">
        <v>3008</v>
      </c>
      <c r="G2108" s="197">
        <f>Tabla111[[#This Row],[Importe]]-Tabla111[[#This Row],[Pagado]]</f>
        <v>0</v>
      </c>
      <c r="H2108" s="75" t="s">
        <v>10</v>
      </c>
    </row>
    <row r="2109" spans="1:8" x14ac:dyDescent="0.25">
      <c r="A2109" s="148">
        <v>44854</v>
      </c>
      <c r="B2109" s="149" t="s">
        <v>33722</v>
      </c>
      <c r="C2109" s="153" t="s">
        <v>222</v>
      </c>
      <c r="D2109" s="154">
        <v>13737.2</v>
      </c>
      <c r="E2109" s="231">
        <v>44854</v>
      </c>
      <c r="F2109" s="154">
        <v>13737.2</v>
      </c>
      <c r="G2109" s="197">
        <f>Tabla111[[#This Row],[Importe]]-Tabla111[[#This Row],[Pagado]]</f>
        <v>0</v>
      </c>
      <c r="H2109" s="153" t="s">
        <v>10</v>
      </c>
    </row>
    <row r="2110" spans="1:8" x14ac:dyDescent="0.25">
      <c r="A2110" s="73">
        <v>44854</v>
      </c>
      <c r="B2110" s="74" t="s">
        <v>33723</v>
      </c>
      <c r="C2110" s="75" t="s">
        <v>226</v>
      </c>
      <c r="D2110" s="81">
        <v>8990</v>
      </c>
      <c r="E2110" s="230">
        <v>44854</v>
      </c>
      <c r="F2110" s="81">
        <v>8990</v>
      </c>
      <c r="G2110" s="197">
        <f>Tabla111[[#This Row],[Importe]]-Tabla111[[#This Row],[Pagado]]</f>
        <v>0</v>
      </c>
      <c r="H2110" s="75" t="s">
        <v>10</v>
      </c>
    </row>
    <row r="2111" spans="1:8" x14ac:dyDescent="0.25">
      <c r="A2111" s="148">
        <v>44854</v>
      </c>
      <c r="B2111" s="149" t="s">
        <v>33724</v>
      </c>
      <c r="C2111" s="153" t="s">
        <v>58</v>
      </c>
      <c r="D2111" s="154">
        <v>1711.2</v>
      </c>
      <c r="E2111" s="231">
        <v>44854</v>
      </c>
      <c r="F2111" s="154">
        <v>1711.2</v>
      </c>
      <c r="G2111" s="197">
        <f>Tabla111[[#This Row],[Importe]]-Tabla111[[#This Row],[Pagado]]</f>
        <v>0</v>
      </c>
      <c r="H2111" s="153" t="s">
        <v>10</v>
      </c>
    </row>
    <row r="2112" spans="1:8" x14ac:dyDescent="0.25">
      <c r="A2112" s="73">
        <v>44854</v>
      </c>
      <c r="B2112" s="74" t="s">
        <v>33725</v>
      </c>
      <c r="C2112" s="75" t="s">
        <v>214</v>
      </c>
      <c r="D2112" s="81">
        <v>1474.2</v>
      </c>
      <c r="E2112" s="230">
        <v>44854</v>
      </c>
      <c r="F2112" s="81">
        <v>1474.2</v>
      </c>
      <c r="G2112" s="197">
        <f>Tabla111[[#This Row],[Importe]]-Tabla111[[#This Row],[Pagado]]</f>
        <v>0</v>
      </c>
      <c r="H2112" s="75" t="s">
        <v>10</v>
      </c>
    </row>
    <row r="2113" spans="1:8" x14ac:dyDescent="0.25">
      <c r="A2113" s="148">
        <v>44854</v>
      </c>
      <c r="B2113" s="149" t="s">
        <v>33726</v>
      </c>
      <c r="C2113" s="153" t="s">
        <v>2383</v>
      </c>
      <c r="D2113" s="154">
        <v>4068</v>
      </c>
      <c r="E2113" s="231">
        <v>44854</v>
      </c>
      <c r="F2113" s="154">
        <v>4068</v>
      </c>
      <c r="G2113" s="197">
        <f>Tabla111[[#This Row],[Importe]]-Tabla111[[#This Row],[Pagado]]</f>
        <v>0</v>
      </c>
      <c r="H2113" s="153" t="s">
        <v>10</v>
      </c>
    </row>
    <row r="2114" spans="1:8" x14ac:dyDescent="0.25">
      <c r="A2114" s="73">
        <v>44854</v>
      </c>
      <c r="B2114" s="74" t="s">
        <v>33727</v>
      </c>
      <c r="C2114" s="75" t="s">
        <v>35</v>
      </c>
      <c r="D2114" s="81">
        <v>5437.3</v>
      </c>
      <c r="E2114" s="230">
        <v>44854</v>
      </c>
      <c r="F2114" s="81">
        <v>5437.3</v>
      </c>
      <c r="G2114" s="197">
        <f>Tabla111[[#This Row],[Importe]]-Tabla111[[#This Row],[Pagado]]</f>
        <v>0</v>
      </c>
      <c r="H2114" s="75" t="s">
        <v>10</v>
      </c>
    </row>
    <row r="2115" spans="1:8" x14ac:dyDescent="0.25">
      <c r="A2115" s="148">
        <v>44854</v>
      </c>
      <c r="B2115" s="149" t="s">
        <v>33728</v>
      </c>
      <c r="C2115" s="153" t="s">
        <v>56</v>
      </c>
      <c r="D2115" s="154">
        <v>5859.6</v>
      </c>
      <c r="E2115" s="231">
        <v>44854</v>
      </c>
      <c r="F2115" s="154">
        <v>5859.6</v>
      </c>
      <c r="G2115" s="197">
        <f>Tabla111[[#This Row],[Importe]]-Tabla111[[#This Row],[Pagado]]</f>
        <v>0</v>
      </c>
      <c r="H2115" s="153" t="s">
        <v>10</v>
      </c>
    </row>
    <row r="2116" spans="1:8" x14ac:dyDescent="0.25">
      <c r="A2116" s="73">
        <v>44854</v>
      </c>
      <c r="B2116" s="74" t="s">
        <v>33729</v>
      </c>
      <c r="C2116" s="75" t="s">
        <v>216</v>
      </c>
      <c r="D2116" s="81">
        <v>1591.2</v>
      </c>
      <c r="E2116" s="230">
        <v>44854</v>
      </c>
      <c r="F2116" s="81">
        <v>1591.2</v>
      </c>
      <c r="G2116" s="197">
        <f>Tabla111[[#This Row],[Importe]]-Tabla111[[#This Row],[Pagado]]</f>
        <v>0</v>
      </c>
      <c r="H2116" s="75" t="s">
        <v>10</v>
      </c>
    </row>
    <row r="2117" spans="1:8" x14ac:dyDescent="0.25">
      <c r="A2117" s="148">
        <v>44854</v>
      </c>
      <c r="B2117" s="149" t="s">
        <v>33730</v>
      </c>
      <c r="C2117" s="153" t="s">
        <v>24</v>
      </c>
      <c r="D2117" s="154">
        <v>5083.2</v>
      </c>
      <c r="E2117" s="231">
        <v>44854</v>
      </c>
      <c r="F2117" s="154">
        <v>5083.2</v>
      </c>
      <c r="G2117" s="197">
        <f>Tabla111[[#This Row],[Importe]]-Tabla111[[#This Row],[Pagado]]</f>
        <v>0</v>
      </c>
      <c r="H2117" s="153" t="s">
        <v>10</v>
      </c>
    </row>
    <row r="2118" spans="1:8" x14ac:dyDescent="0.25">
      <c r="A2118" s="73">
        <v>44854</v>
      </c>
      <c r="B2118" s="74" t="s">
        <v>33731</v>
      </c>
      <c r="C2118" s="75" t="s">
        <v>1003</v>
      </c>
      <c r="D2118" s="81">
        <v>13726.2</v>
      </c>
      <c r="E2118" s="230">
        <v>44857</v>
      </c>
      <c r="F2118" s="81">
        <v>13726.2</v>
      </c>
      <c r="G2118" s="197">
        <f>Tabla111[[#This Row],[Importe]]-Tabla111[[#This Row],[Pagado]]</f>
        <v>0</v>
      </c>
      <c r="H2118" s="75" t="s">
        <v>10</v>
      </c>
    </row>
    <row r="2119" spans="1:8" x14ac:dyDescent="0.25">
      <c r="A2119" s="148">
        <v>44854</v>
      </c>
      <c r="B2119" s="149" t="s">
        <v>33732</v>
      </c>
      <c r="C2119" s="153" t="s">
        <v>9673</v>
      </c>
      <c r="D2119" s="154">
        <v>2941.7</v>
      </c>
      <c r="E2119" s="231">
        <v>44854</v>
      </c>
      <c r="F2119" s="154">
        <v>2941.7</v>
      </c>
      <c r="G2119" s="197">
        <f>Tabla111[[#This Row],[Importe]]-Tabla111[[#This Row],[Pagado]]</f>
        <v>0</v>
      </c>
      <c r="H2119" s="153" t="s">
        <v>10</v>
      </c>
    </row>
    <row r="2120" spans="1:8" x14ac:dyDescent="0.25">
      <c r="A2120" s="73">
        <v>44854</v>
      </c>
      <c r="B2120" s="74" t="s">
        <v>33733</v>
      </c>
      <c r="C2120" s="75" t="s">
        <v>31323</v>
      </c>
      <c r="D2120" s="81">
        <v>3336</v>
      </c>
      <c r="E2120" s="230">
        <v>44854</v>
      </c>
      <c r="F2120" s="81">
        <v>3336</v>
      </c>
      <c r="G2120" s="197">
        <f>Tabla111[[#This Row],[Importe]]-Tabla111[[#This Row],[Pagado]]</f>
        <v>0</v>
      </c>
      <c r="H2120" s="75" t="s">
        <v>10</v>
      </c>
    </row>
    <row r="2121" spans="1:8" x14ac:dyDescent="0.25">
      <c r="A2121" s="148">
        <v>44854</v>
      </c>
      <c r="B2121" s="149" t="s">
        <v>33734</v>
      </c>
      <c r="C2121" s="153" t="s">
        <v>396</v>
      </c>
      <c r="D2121" s="154">
        <v>12534.8</v>
      </c>
      <c r="E2121" s="231">
        <v>44860</v>
      </c>
      <c r="F2121" s="154">
        <v>12534.8</v>
      </c>
      <c r="G2121" s="197">
        <f>Tabla111[[#This Row],[Importe]]-Tabla111[[#This Row],[Pagado]]</f>
        <v>0</v>
      </c>
      <c r="H2121" s="153" t="s">
        <v>10</v>
      </c>
    </row>
    <row r="2122" spans="1:8" x14ac:dyDescent="0.25">
      <c r="A2122" s="73">
        <v>44854</v>
      </c>
      <c r="B2122" s="74" t="s">
        <v>33735</v>
      </c>
      <c r="C2122" s="75" t="s">
        <v>135</v>
      </c>
      <c r="D2122" s="81">
        <v>3540.3</v>
      </c>
      <c r="E2122" s="230">
        <v>44854</v>
      </c>
      <c r="F2122" s="81">
        <v>3540.3</v>
      </c>
      <c r="G2122" s="197">
        <f>Tabla111[[#This Row],[Importe]]-Tabla111[[#This Row],[Pagado]]</f>
        <v>0</v>
      </c>
      <c r="H2122" s="75" t="s">
        <v>10</v>
      </c>
    </row>
    <row r="2123" spans="1:8" x14ac:dyDescent="0.25">
      <c r="A2123" s="148">
        <v>44854</v>
      </c>
      <c r="B2123" s="149" t="s">
        <v>33736</v>
      </c>
      <c r="C2123" s="153" t="s">
        <v>31</v>
      </c>
      <c r="D2123" s="154">
        <v>694.2</v>
      </c>
      <c r="E2123" s="231">
        <v>44854</v>
      </c>
      <c r="F2123" s="154">
        <v>694.2</v>
      </c>
      <c r="G2123" s="197">
        <f>Tabla111[[#This Row],[Importe]]-Tabla111[[#This Row],[Pagado]]</f>
        <v>0</v>
      </c>
      <c r="H2123" s="153" t="s">
        <v>10</v>
      </c>
    </row>
    <row r="2124" spans="1:8" x14ac:dyDescent="0.25">
      <c r="A2124" s="73">
        <v>44854</v>
      </c>
      <c r="B2124" s="74" t="s">
        <v>33737</v>
      </c>
      <c r="C2124" s="75" t="s">
        <v>1558</v>
      </c>
      <c r="D2124" s="81">
        <v>5532.8</v>
      </c>
      <c r="E2124" s="230">
        <v>44854</v>
      </c>
      <c r="F2124" s="81">
        <v>5532.8</v>
      </c>
      <c r="G2124" s="197">
        <f>Tabla111[[#This Row],[Importe]]-Tabla111[[#This Row],[Pagado]]</f>
        <v>0</v>
      </c>
      <c r="H2124" s="75" t="s">
        <v>10</v>
      </c>
    </row>
    <row r="2125" spans="1:8" x14ac:dyDescent="0.25">
      <c r="A2125" s="148">
        <v>44854</v>
      </c>
      <c r="B2125" s="149" t="s">
        <v>33738</v>
      </c>
      <c r="C2125" s="153" t="s">
        <v>1558</v>
      </c>
      <c r="D2125" s="154">
        <v>1307.2</v>
      </c>
      <c r="E2125" s="231">
        <v>44854</v>
      </c>
      <c r="F2125" s="154">
        <v>1307.2</v>
      </c>
      <c r="G2125" s="197">
        <f>Tabla111[[#This Row],[Importe]]-Tabla111[[#This Row],[Pagado]]</f>
        <v>0</v>
      </c>
      <c r="H2125" s="153" t="s">
        <v>10</v>
      </c>
    </row>
    <row r="2126" spans="1:8" x14ac:dyDescent="0.25">
      <c r="A2126" s="73">
        <v>44854</v>
      </c>
      <c r="B2126" s="74" t="s">
        <v>33739</v>
      </c>
      <c r="C2126" s="75" t="s">
        <v>319</v>
      </c>
      <c r="D2126" s="81">
        <v>12810</v>
      </c>
      <c r="E2126" s="230">
        <v>44854</v>
      </c>
      <c r="F2126" s="81">
        <v>12810</v>
      </c>
      <c r="G2126" s="197">
        <f>Tabla111[[#This Row],[Importe]]-Tabla111[[#This Row],[Pagado]]</f>
        <v>0</v>
      </c>
      <c r="H2126" s="75" t="s">
        <v>10</v>
      </c>
    </row>
    <row r="2127" spans="1:8" x14ac:dyDescent="0.25">
      <c r="A2127" s="148">
        <v>44854</v>
      </c>
      <c r="B2127" s="149" t="s">
        <v>33740</v>
      </c>
      <c r="C2127" s="153" t="s">
        <v>518</v>
      </c>
      <c r="D2127" s="154">
        <v>3619.7</v>
      </c>
      <c r="E2127" s="231">
        <v>44854</v>
      </c>
      <c r="F2127" s="154">
        <v>3619.7</v>
      </c>
      <c r="G2127" s="197">
        <f>Tabla111[[#This Row],[Importe]]-Tabla111[[#This Row],[Pagado]]</f>
        <v>0</v>
      </c>
      <c r="H2127" s="153" t="s">
        <v>10</v>
      </c>
    </row>
    <row r="2128" spans="1:8" x14ac:dyDescent="0.25">
      <c r="A2128" s="73">
        <v>44854</v>
      </c>
      <c r="B2128" s="74" t="s">
        <v>33741</v>
      </c>
      <c r="C2128" s="75" t="s">
        <v>29</v>
      </c>
      <c r="D2128" s="81">
        <v>4235.3999999999996</v>
      </c>
      <c r="E2128" s="230">
        <v>44854</v>
      </c>
      <c r="F2128" s="81">
        <v>4235.3999999999996</v>
      </c>
      <c r="G2128" s="197">
        <f>Tabla111[[#This Row],[Importe]]-Tabla111[[#This Row],[Pagado]]</f>
        <v>0</v>
      </c>
      <c r="H2128" s="75" t="s">
        <v>10</v>
      </c>
    </row>
    <row r="2129" spans="1:8" x14ac:dyDescent="0.25">
      <c r="A2129" s="148">
        <v>44854</v>
      </c>
      <c r="B2129" s="149" t="s">
        <v>33742</v>
      </c>
      <c r="C2129" s="153" t="s">
        <v>157</v>
      </c>
      <c r="D2129" s="154">
        <v>8800</v>
      </c>
      <c r="E2129" s="231">
        <v>44854</v>
      </c>
      <c r="F2129" s="154">
        <v>8800</v>
      </c>
      <c r="G2129" s="197">
        <f>Tabla111[[#This Row],[Importe]]-Tabla111[[#This Row],[Pagado]]</f>
        <v>0</v>
      </c>
      <c r="H2129" s="153" t="s">
        <v>10</v>
      </c>
    </row>
    <row r="2130" spans="1:8" x14ac:dyDescent="0.25">
      <c r="A2130" s="73">
        <v>44854</v>
      </c>
      <c r="B2130" s="74" t="s">
        <v>33743</v>
      </c>
      <c r="C2130" s="75" t="s">
        <v>681</v>
      </c>
      <c r="D2130" s="81">
        <v>4.13</v>
      </c>
      <c r="E2130" s="230">
        <v>44860</v>
      </c>
      <c r="F2130" s="81">
        <v>4.13</v>
      </c>
      <c r="G2130" s="197">
        <f>Tabla111[[#This Row],[Importe]]-Tabla111[[#This Row],[Pagado]]</f>
        <v>0</v>
      </c>
      <c r="H2130" s="75" t="s">
        <v>10</v>
      </c>
    </row>
    <row r="2131" spans="1:8" x14ac:dyDescent="0.25">
      <c r="A2131" s="148">
        <v>44854</v>
      </c>
      <c r="B2131" s="149" t="s">
        <v>33744</v>
      </c>
      <c r="C2131" s="153" t="s">
        <v>159</v>
      </c>
      <c r="D2131" s="154">
        <v>4919.8</v>
      </c>
      <c r="E2131" s="231">
        <v>44854</v>
      </c>
      <c r="F2131" s="154">
        <v>4919.8</v>
      </c>
      <c r="G2131" s="197">
        <f>Tabla111[[#This Row],[Importe]]-Tabla111[[#This Row],[Pagado]]</f>
        <v>0</v>
      </c>
      <c r="H2131" s="153" t="s">
        <v>10</v>
      </c>
    </row>
    <row r="2132" spans="1:8" x14ac:dyDescent="0.25">
      <c r="A2132" s="73">
        <v>44854</v>
      </c>
      <c r="B2132" s="74" t="s">
        <v>33745</v>
      </c>
      <c r="C2132" s="75" t="s">
        <v>224</v>
      </c>
      <c r="D2132" s="81">
        <v>957.6</v>
      </c>
      <c r="E2132" s="230">
        <v>44854</v>
      </c>
      <c r="F2132" s="81">
        <v>957.6</v>
      </c>
      <c r="G2132" s="197">
        <f>Tabla111[[#This Row],[Importe]]-Tabla111[[#This Row],[Pagado]]</f>
        <v>0</v>
      </c>
      <c r="H2132" s="75" t="s">
        <v>10</v>
      </c>
    </row>
    <row r="2133" spans="1:8" x14ac:dyDescent="0.25">
      <c r="A2133" s="148">
        <v>44854</v>
      </c>
      <c r="B2133" s="149" t="s">
        <v>33746</v>
      </c>
      <c r="C2133" s="153" t="s">
        <v>9827</v>
      </c>
      <c r="D2133" s="154">
        <v>4001.4</v>
      </c>
      <c r="E2133" s="231">
        <v>44854</v>
      </c>
      <c r="F2133" s="154">
        <v>4001.4</v>
      </c>
      <c r="G2133" s="197">
        <f>Tabla111[[#This Row],[Importe]]-Tabla111[[#This Row],[Pagado]]</f>
        <v>0</v>
      </c>
      <c r="H2133" s="153" t="s">
        <v>10</v>
      </c>
    </row>
    <row r="2134" spans="1:8" x14ac:dyDescent="0.25">
      <c r="A2134" s="73">
        <v>44854</v>
      </c>
      <c r="B2134" s="74" t="s">
        <v>33747</v>
      </c>
      <c r="C2134" s="75" t="s">
        <v>520</v>
      </c>
      <c r="D2134" s="81">
        <v>9594.2999999999993</v>
      </c>
      <c r="E2134" s="230">
        <v>44854</v>
      </c>
      <c r="F2134" s="81">
        <v>9594.2999999999993</v>
      </c>
      <c r="G2134" s="197">
        <f>Tabla111[[#This Row],[Importe]]-Tabla111[[#This Row],[Pagado]]</f>
        <v>0</v>
      </c>
      <c r="H2134" s="75" t="s">
        <v>10</v>
      </c>
    </row>
    <row r="2135" spans="1:8" x14ac:dyDescent="0.25">
      <c r="A2135" s="148">
        <v>44854</v>
      </c>
      <c r="B2135" s="149" t="s">
        <v>33748</v>
      </c>
      <c r="C2135" s="153" t="s">
        <v>875</v>
      </c>
      <c r="D2135" s="154">
        <v>56669</v>
      </c>
      <c r="E2135" s="231">
        <v>44854</v>
      </c>
      <c r="F2135" s="154">
        <v>56669</v>
      </c>
      <c r="G2135" s="197">
        <f>Tabla111[[#This Row],[Importe]]-Tabla111[[#This Row],[Pagado]]</f>
        <v>0</v>
      </c>
      <c r="H2135" s="153" t="s">
        <v>10</v>
      </c>
    </row>
    <row r="2136" spans="1:8" x14ac:dyDescent="0.25">
      <c r="A2136" s="73">
        <v>44854</v>
      </c>
      <c r="B2136" s="74" t="s">
        <v>33749</v>
      </c>
      <c r="C2136" s="75" t="s">
        <v>31</v>
      </c>
      <c r="D2136" s="81">
        <v>871.2</v>
      </c>
      <c r="E2136" s="230">
        <v>44854</v>
      </c>
      <c r="F2136" s="81">
        <v>871.2</v>
      </c>
      <c r="G2136" s="197">
        <f>Tabla111[[#This Row],[Importe]]-Tabla111[[#This Row],[Pagado]]</f>
        <v>0</v>
      </c>
      <c r="H2136" s="75" t="s">
        <v>10</v>
      </c>
    </row>
    <row r="2137" spans="1:8" x14ac:dyDescent="0.25">
      <c r="A2137" s="148">
        <v>44854</v>
      </c>
      <c r="B2137" s="149" t="s">
        <v>33750</v>
      </c>
      <c r="C2137" s="153" t="s">
        <v>296</v>
      </c>
      <c r="D2137" s="154">
        <v>6654.1</v>
      </c>
      <c r="E2137" s="231">
        <v>44854</v>
      </c>
      <c r="F2137" s="154">
        <v>6654.1</v>
      </c>
      <c r="G2137" s="197">
        <f>Tabla111[[#This Row],[Importe]]-Tabla111[[#This Row],[Pagado]]</f>
        <v>0</v>
      </c>
      <c r="H2137" s="153" t="s">
        <v>10</v>
      </c>
    </row>
    <row r="2138" spans="1:8" x14ac:dyDescent="0.25">
      <c r="A2138" s="73">
        <v>44854</v>
      </c>
      <c r="B2138" s="74" t="s">
        <v>33751</v>
      </c>
      <c r="C2138" s="75" t="s">
        <v>26942</v>
      </c>
      <c r="D2138" s="81">
        <v>0</v>
      </c>
      <c r="E2138" s="232" t="s">
        <v>189</v>
      </c>
      <c r="F2138" s="81">
        <v>0</v>
      </c>
      <c r="G2138" s="197">
        <f>Tabla111[[#This Row],[Importe]]-Tabla111[[#This Row],[Pagado]]</f>
        <v>0</v>
      </c>
      <c r="H2138" s="161" t="s">
        <v>33752</v>
      </c>
    </row>
    <row r="2139" spans="1:8" x14ac:dyDescent="0.25">
      <c r="A2139" s="148">
        <v>44854</v>
      </c>
      <c r="B2139" s="149" t="s">
        <v>33753</v>
      </c>
      <c r="C2139" s="153" t="s">
        <v>67</v>
      </c>
      <c r="D2139" s="154">
        <v>2256</v>
      </c>
      <c r="E2139" s="231">
        <v>44854</v>
      </c>
      <c r="F2139" s="154">
        <v>2256</v>
      </c>
      <c r="G2139" s="197">
        <f>Tabla111[[#This Row],[Importe]]-Tabla111[[#This Row],[Pagado]]</f>
        <v>0</v>
      </c>
      <c r="H2139" s="153" t="s">
        <v>10</v>
      </c>
    </row>
    <row r="2140" spans="1:8" x14ac:dyDescent="0.25">
      <c r="A2140" s="73">
        <v>44854</v>
      </c>
      <c r="B2140" s="74" t="s">
        <v>33754</v>
      </c>
      <c r="C2140" s="75" t="s">
        <v>31</v>
      </c>
      <c r="D2140" s="81">
        <v>1016</v>
      </c>
      <c r="E2140" s="230">
        <v>44854</v>
      </c>
      <c r="F2140" s="81">
        <v>1016</v>
      </c>
      <c r="G2140" s="197">
        <f>Tabla111[[#This Row],[Importe]]-Tabla111[[#This Row],[Pagado]]</f>
        <v>0</v>
      </c>
      <c r="H2140" s="75" t="s">
        <v>10</v>
      </c>
    </row>
    <row r="2141" spans="1:8" x14ac:dyDescent="0.25">
      <c r="A2141" s="148">
        <v>44854</v>
      </c>
      <c r="B2141" s="149" t="s">
        <v>33755</v>
      </c>
      <c r="C2141" s="153" t="s">
        <v>10190</v>
      </c>
      <c r="D2141" s="154">
        <v>22794</v>
      </c>
      <c r="E2141" s="231">
        <v>44854</v>
      </c>
      <c r="F2141" s="154">
        <v>22794</v>
      </c>
      <c r="G2141" s="197">
        <f>Tabla111[[#This Row],[Importe]]-Tabla111[[#This Row],[Pagado]]</f>
        <v>0</v>
      </c>
      <c r="H2141" s="153" t="s">
        <v>10</v>
      </c>
    </row>
    <row r="2142" spans="1:8" x14ac:dyDescent="0.25">
      <c r="A2142" s="73">
        <v>44854</v>
      </c>
      <c r="B2142" s="74" t="s">
        <v>33756</v>
      </c>
      <c r="C2142" s="75" t="s">
        <v>71</v>
      </c>
      <c r="D2142" s="81">
        <v>1631.7</v>
      </c>
      <c r="E2142" s="230">
        <v>44854</v>
      </c>
      <c r="F2142" s="81">
        <v>1631.7</v>
      </c>
      <c r="G2142" s="197">
        <f>Tabla111[[#This Row],[Importe]]-Tabla111[[#This Row],[Pagado]]</f>
        <v>0</v>
      </c>
      <c r="H2142" s="75" t="s">
        <v>10</v>
      </c>
    </row>
    <row r="2143" spans="1:8" x14ac:dyDescent="0.25">
      <c r="A2143" s="148">
        <v>44854</v>
      </c>
      <c r="B2143" s="149" t="s">
        <v>33757</v>
      </c>
      <c r="C2143" s="153" t="s">
        <v>214</v>
      </c>
      <c r="D2143" s="154">
        <v>14070</v>
      </c>
      <c r="E2143" s="231">
        <v>44854</v>
      </c>
      <c r="F2143" s="154">
        <v>14070</v>
      </c>
      <c r="G2143" s="197">
        <f>Tabla111[[#This Row],[Importe]]-Tabla111[[#This Row],[Pagado]]</f>
        <v>0</v>
      </c>
      <c r="H2143" s="153" t="s">
        <v>10</v>
      </c>
    </row>
    <row r="2144" spans="1:8" x14ac:dyDescent="0.25">
      <c r="A2144" s="73">
        <v>44854</v>
      </c>
      <c r="B2144" s="74" t="s">
        <v>33758</v>
      </c>
      <c r="C2144" s="75" t="s">
        <v>28087</v>
      </c>
      <c r="D2144" s="81">
        <v>44054.2</v>
      </c>
      <c r="E2144" s="230" t="s">
        <v>33641</v>
      </c>
      <c r="F2144" s="81">
        <f>1361+42693.2</f>
        <v>44054.2</v>
      </c>
      <c r="G2144" s="197">
        <f>Tabla111[[#This Row],[Importe]]-Tabla111[[#This Row],[Pagado]]</f>
        <v>0</v>
      </c>
      <c r="H2144" s="75" t="s">
        <v>10</v>
      </c>
    </row>
    <row r="2145" spans="1:8" x14ac:dyDescent="0.25">
      <c r="A2145" s="148">
        <v>44854</v>
      </c>
      <c r="B2145" s="149" t="s">
        <v>33759</v>
      </c>
      <c r="C2145" s="153" t="s">
        <v>107</v>
      </c>
      <c r="D2145" s="154">
        <v>8259.2999999999993</v>
      </c>
      <c r="E2145" s="231">
        <v>44854</v>
      </c>
      <c r="F2145" s="154">
        <v>8259.2999999999993</v>
      </c>
      <c r="G2145" s="197">
        <f>Tabla111[[#This Row],[Importe]]-Tabla111[[#This Row],[Pagado]]</f>
        <v>0</v>
      </c>
      <c r="H2145" s="153" t="s">
        <v>10</v>
      </c>
    </row>
    <row r="2146" spans="1:8" x14ac:dyDescent="0.25">
      <c r="A2146" s="73">
        <v>44854</v>
      </c>
      <c r="B2146" s="74" t="s">
        <v>33760</v>
      </c>
      <c r="C2146" s="75" t="s">
        <v>31</v>
      </c>
      <c r="D2146" s="81">
        <v>717.6</v>
      </c>
      <c r="E2146" s="230">
        <v>44854</v>
      </c>
      <c r="F2146" s="81">
        <v>717.6</v>
      </c>
      <c r="G2146" s="197">
        <f>Tabla111[[#This Row],[Importe]]-Tabla111[[#This Row],[Pagado]]</f>
        <v>0</v>
      </c>
      <c r="H2146" s="75" t="s">
        <v>10</v>
      </c>
    </row>
    <row r="2147" spans="1:8" x14ac:dyDescent="0.25">
      <c r="A2147" s="148">
        <v>44854</v>
      </c>
      <c r="B2147" s="149" t="s">
        <v>33761</v>
      </c>
      <c r="C2147" s="153" t="s">
        <v>69</v>
      </c>
      <c r="D2147" s="154">
        <v>842.4</v>
      </c>
      <c r="E2147" s="231">
        <v>44854</v>
      </c>
      <c r="F2147" s="154">
        <v>842.4</v>
      </c>
      <c r="G2147" s="197">
        <f>Tabla111[[#This Row],[Importe]]-Tabla111[[#This Row],[Pagado]]</f>
        <v>0</v>
      </c>
      <c r="H2147" s="153" t="s">
        <v>10</v>
      </c>
    </row>
    <row r="2148" spans="1:8" x14ac:dyDescent="0.25">
      <c r="A2148" s="73">
        <v>44854</v>
      </c>
      <c r="B2148" s="74" t="s">
        <v>33762</v>
      </c>
      <c r="C2148" s="75" t="s">
        <v>31</v>
      </c>
      <c r="D2148" s="81">
        <v>5855.6</v>
      </c>
      <c r="E2148" s="230">
        <v>44854</v>
      </c>
      <c r="F2148" s="81">
        <v>5855.6</v>
      </c>
      <c r="G2148" s="197">
        <f>Tabla111[[#This Row],[Importe]]-Tabla111[[#This Row],[Pagado]]</f>
        <v>0</v>
      </c>
      <c r="H2148" s="75" t="s">
        <v>10</v>
      </c>
    </row>
    <row r="2149" spans="1:8" x14ac:dyDescent="0.25">
      <c r="A2149" s="148">
        <v>44854</v>
      </c>
      <c r="B2149" s="149" t="s">
        <v>33763</v>
      </c>
      <c r="C2149" s="153" t="s">
        <v>2377</v>
      </c>
      <c r="D2149" s="154">
        <v>43999.839999999997</v>
      </c>
      <c r="E2149" s="231">
        <v>44854</v>
      </c>
      <c r="F2149" s="154">
        <v>43999.839999999997</v>
      </c>
      <c r="G2149" s="197">
        <f>Tabla111[[#This Row],[Importe]]-Tabla111[[#This Row],[Pagado]]</f>
        <v>0</v>
      </c>
      <c r="H2149" s="153" t="s">
        <v>10</v>
      </c>
    </row>
    <row r="2150" spans="1:8" x14ac:dyDescent="0.25">
      <c r="A2150" s="73">
        <v>44854</v>
      </c>
      <c r="B2150" s="74" t="s">
        <v>33764</v>
      </c>
      <c r="C2150" s="75" t="s">
        <v>69</v>
      </c>
      <c r="D2150" s="81">
        <v>2823.6</v>
      </c>
      <c r="E2150" s="230">
        <v>44854</v>
      </c>
      <c r="F2150" s="81">
        <v>2823.6</v>
      </c>
      <c r="G2150" s="197">
        <f>Tabla111[[#This Row],[Importe]]-Tabla111[[#This Row],[Pagado]]</f>
        <v>0</v>
      </c>
      <c r="H2150" s="75" t="s">
        <v>10</v>
      </c>
    </row>
    <row r="2151" spans="1:8" x14ac:dyDescent="0.25">
      <c r="A2151" s="148">
        <v>44854</v>
      </c>
      <c r="B2151" s="149" t="s">
        <v>33765</v>
      </c>
      <c r="C2151" s="153" t="s">
        <v>450</v>
      </c>
      <c r="D2151" s="154">
        <v>1376</v>
      </c>
      <c r="E2151" s="231">
        <v>44854</v>
      </c>
      <c r="F2151" s="154">
        <v>1376</v>
      </c>
      <c r="G2151" s="197">
        <f>Tabla111[[#This Row],[Importe]]-Tabla111[[#This Row],[Pagado]]</f>
        <v>0</v>
      </c>
      <c r="H2151" s="153" t="s">
        <v>10</v>
      </c>
    </row>
    <row r="2152" spans="1:8" x14ac:dyDescent="0.25">
      <c r="A2152" s="73">
        <v>44854</v>
      </c>
      <c r="B2152" s="74" t="s">
        <v>33766</v>
      </c>
      <c r="C2152" s="75" t="s">
        <v>1008</v>
      </c>
      <c r="D2152" s="81">
        <v>500</v>
      </c>
      <c r="E2152" s="230">
        <v>44854</v>
      </c>
      <c r="F2152" s="81">
        <v>500</v>
      </c>
      <c r="G2152" s="197">
        <f>Tabla111[[#This Row],[Importe]]-Tabla111[[#This Row],[Pagado]]</f>
        <v>0</v>
      </c>
      <c r="H2152" s="75" t="s">
        <v>10</v>
      </c>
    </row>
    <row r="2153" spans="1:8" x14ac:dyDescent="0.25">
      <c r="A2153" s="148">
        <v>44854</v>
      </c>
      <c r="B2153" s="149" t="s">
        <v>33767</v>
      </c>
      <c r="C2153" s="153" t="s">
        <v>31</v>
      </c>
      <c r="D2153" s="154">
        <v>10619.35</v>
      </c>
      <c r="E2153" s="231">
        <v>44854</v>
      </c>
      <c r="F2153" s="154">
        <v>10619.35</v>
      </c>
      <c r="G2153" s="197">
        <f>Tabla111[[#This Row],[Importe]]-Tabla111[[#This Row],[Pagado]]</f>
        <v>0</v>
      </c>
      <c r="H2153" s="153" t="s">
        <v>10</v>
      </c>
    </row>
    <row r="2154" spans="1:8" x14ac:dyDescent="0.25">
      <c r="A2154" s="73">
        <v>44854</v>
      </c>
      <c r="B2154" s="74" t="s">
        <v>33768</v>
      </c>
      <c r="C2154" s="75" t="s">
        <v>612</v>
      </c>
      <c r="D2154" s="81">
        <v>390</v>
      </c>
      <c r="E2154" s="230">
        <v>44854</v>
      </c>
      <c r="F2154" s="81">
        <v>390</v>
      </c>
      <c r="G2154" s="197">
        <f>Tabla111[[#This Row],[Importe]]-Tabla111[[#This Row],[Pagado]]</f>
        <v>0</v>
      </c>
      <c r="H2154" s="75" t="s">
        <v>10</v>
      </c>
    </row>
    <row r="2155" spans="1:8" x14ac:dyDescent="0.25">
      <c r="A2155" s="148">
        <v>44854</v>
      </c>
      <c r="B2155" s="149" t="s">
        <v>33769</v>
      </c>
      <c r="C2155" s="153" t="s">
        <v>729</v>
      </c>
      <c r="D2155" s="154">
        <v>30117.8</v>
      </c>
      <c r="E2155" s="231">
        <v>44855</v>
      </c>
      <c r="F2155" s="154">
        <v>30117.8</v>
      </c>
      <c r="G2155" s="197">
        <f>Tabla111[[#This Row],[Importe]]-Tabla111[[#This Row],[Pagado]]</f>
        <v>0</v>
      </c>
      <c r="H2155" s="153" t="s">
        <v>10</v>
      </c>
    </row>
    <row r="2156" spans="1:8" x14ac:dyDescent="0.25">
      <c r="A2156" s="73">
        <v>44854</v>
      </c>
      <c r="B2156" s="74" t="s">
        <v>33770</v>
      </c>
      <c r="C2156" s="75" t="s">
        <v>431</v>
      </c>
      <c r="D2156" s="81">
        <v>3564.6</v>
      </c>
      <c r="E2156" s="230">
        <v>44855</v>
      </c>
      <c r="F2156" s="81">
        <v>3564.6</v>
      </c>
      <c r="G2156" s="197">
        <f>Tabla111[[#This Row],[Importe]]-Tabla111[[#This Row],[Pagado]]</f>
        <v>0</v>
      </c>
      <c r="H2156" s="75" t="s">
        <v>10</v>
      </c>
    </row>
    <row r="2157" spans="1:8" x14ac:dyDescent="0.25">
      <c r="A2157" s="148">
        <v>44854</v>
      </c>
      <c r="B2157" s="149" t="s">
        <v>33771</v>
      </c>
      <c r="C2157" s="153" t="s">
        <v>280</v>
      </c>
      <c r="D2157" s="154">
        <v>819</v>
      </c>
      <c r="E2157" s="231">
        <v>44855</v>
      </c>
      <c r="F2157" s="154">
        <v>819</v>
      </c>
      <c r="G2157" s="197">
        <f>Tabla111[[#This Row],[Importe]]-Tabla111[[#This Row],[Pagado]]</f>
        <v>0</v>
      </c>
      <c r="H2157" s="153" t="s">
        <v>10</v>
      </c>
    </row>
    <row r="2158" spans="1:8" x14ac:dyDescent="0.25">
      <c r="A2158" s="73">
        <v>44854</v>
      </c>
      <c r="B2158" s="74" t="s">
        <v>33772</v>
      </c>
      <c r="C2158" s="75" t="s">
        <v>282</v>
      </c>
      <c r="D2158" s="81">
        <v>725.4</v>
      </c>
      <c r="E2158" s="230">
        <v>44855</v>
      </c>
      <c r="F2158" s="81">
        <v>725.4</v>
      </c>
      <c r="G2158" s="197">
        <f>Tabla111[[#This Row],[Importe]]-Tabla111[[#This Row],[Pagado]]</f>
        <v>0</v>
      </c>
      <c r="H2158" s="75" t="s">
        <v>10</v>
      </c>
    </row>
    <row r="2159" spans="1:8" x14ac:dyDescent="0.25">
      <c r="A2159" s="148">
        <v>44854</v>
      </c>
      <c r="B2159" s="149" t="s">
        <v>33773</v>
      </c>
      <c r="C2159" s="153" t="s">
        <v>10819</v>
      </c>
      <c r="D2159" s="154">
        <v>1310.4000000000001</v>
      </c>
      <c r="E2159" s="231">
        <v>44855</v>
      </c>
      <c r="F2159" s="154">
        <v>1310.4000000000001</v>
      </c>
      <c r="G2159" s="197">
        <f>Tabla111[[#This Row],[Importe]]-Tabla111[[#This Row],[Pagado]]</f>
        <v>0</v>
      </c>
      <c r="H2159" s="153" t="s">
        <v>10</v>
      </c>
    </row>
    <row r="2160" spans="1:8" x14ac:dyDescent="0.25">
      <c r="A2160" s="73">
        <v>44854</v>
      </c>
      <c r="B2160" s="74" t="s">
        <v>33774</v>
      </c>
      <c r="C2160" s="75" t="s">
        <v>151</v>
      </c>
      <c r="D2160" s="81">
        <v>8311.64</v>
      </c>
      <c r="E2160" s="230">
        <v>44855</v>
      </c>
      <c r="F2160" s="81">
        <v>8311.64</v>
      </c>
      <c r="G2160" s="197">
        <f>Tabla111[[#This Row],[Importe]]-Tabla111[[#This Row],[Pagado]]</f>
        <v>0</v>
      </c>
      <c r="H2160" s="75" t="s">
        <v>10</v>
      </c>
    </row>
    <row r="2161" spans="1:8" x14ac:dyDescent="0.25">
      <c r="A2161" s="148">
        <v>44854</v>
      </c>
      <c r="B2161" s="149" t="s">
        <v>33775</v>
      </c>
      <c r="C2161" s="153" t="s">
        <v>10678</v>
      </c>
      <c r="D2161" s="154">
        <v>2611.6999999999998</v>
      </c>
      <c r="E2161" s="231">
        <v>45219</v>
      </c>
      <c r="F2161" s="154">
        <v>2611.6999999999998</v>
      </c>
      <c r="G2161" s="197">
        <f>Tabla111[[#This Row],[Importe]]-Tabla111[[#This Row],[Pagado]]</f>
        <v>0</v>
      </c>
      <c r="H2161" s="153" t="s">
        <v>10</v>
      </c>
    </row>
    <row r="2162" spans="1:8" x14ac:dyDescent="0.25">
      <c r="A2162" s="73">
        <v>44854</v>
      </c>
      <c r="B2162" s="74" t="s">
        <v>33776</v>
      </c>
      <c r="C2162" s="75" t="s">
        <v>142</v>
      </c>
      <c r="D2162" s="81">
        <v>27112.25</v>
      </c>
      <c r="E2162" s="230" t="s">
        <v>4813</v>
      </c>
      <c r="F2162" s="81">
        <v>0</v>
      </c>
      <c r="G2162" s="197">
        <f>Tabla111[[#This Row],[Importe]]-Tabla111[[#This Row],[Pagado]]</f>
        <v>27112.25</v>
      </c>
      <c r="H2162" s="75" t="s">
        <v>4814</v>
      </c>
    </row>
    <row r="2163" spans="1:8" x14ac:dyDescent="0.25">
      <c r="A2163" s="148">
        <v>44854</v>
      </c>
      <c r="B2163" s="149" t="s">
        <v>33777</v>
      </c>
      <c r="C2163" s="153" t="s">
        <v>289</v>
      </c>
      <c r="D2163" s="154">
        <v>16735.5</v>
      </c>
      <c r="E2163" s="231">
        <v>44854</v>
      </c>
      <c r="F2163" s="154">
        <v>16735.5</v>
      </c>
      <c r="G2163" s="197">
        <f>Tabla111[[#This Row],[Importe]]-Tabla111[[#This Row],[Pagado]]</f>
        <v>0</v>
      </c>
      <c r="H2163" s="153" t="s">
        <v>10</v>
      </c>
    </row>
    <row r="2164" spans="1:8" x14ac:dyDescent="0.25">
      <c r="A2164" s="73">
        <v>44854</v>
      </c>
      <c r="B2164" s="74" t="s">
        <v>33778</v>
      </c>
      <c r="C2164" s="75" t="s">
        <v>296</v>
      </c>
      <c r="D2164" s="81">
        <v>1304</v>
      </c>
      <c r="E2164" s="230">
        <v>44854</v>
      </c>
      <c r="F2164" s="81">
        <v>1304</v>
      </c>
      <c r="G2164" s="197">
        <f>Tabla111[[#This Row],[Importe]]-Tabla111[[#This Row],[Pagado]]</f>
        <v>0</v>
      </c>
      <c r="H2164" s="75" t="s">
        <v>10</v>
      </c>
    </row>
    <row r="2165" spans="1:8" x14ac:dyDescent="0.25">
      <c r="A2165" s="148">
        <v>44854</v>
      </c>
      <c r="B2165" s="149" t="s">
        <v>33779</v>
      </c>
      <c r="C2165" s="153" t="s">
        <v>1421</v>
      </c>
      <c r="D2165" s="154">
        <v>17000</v>
      </c>
      <c r="E2165" s="231">
        <v>44854</v>
      </c>
      <c r="F2165" s="154">
        <v>17000</v>
      </c>
      <c r="G2165" s="197">
        <f>Tabla111[[#This Row],[Importe]]-Tabla111[[#This Row],[Pagado]]</f>
        <v>0</v>
      </c>
      <c r="H2165" s="153" t="s">
        <v>10</v>
      </c>
    </row>
    <row r="2166" spans="1:8" x14ac:dyDescent="0.25">
      <c r="A2166" s="73">
        <v>44854</v>
      </c>
      <c r="B2166" s="74" t="s">
        <v>33780</v>
      </c>
      <c r="C2166" s="75" t="s">
        <v>67</v>
      </c>
      <c r="D2166" s="81">
        <v>4727.82</v>
      </c>
      <c r="E2166" s="230">
        <v>44854</v>
      </c>
      <c r="F2166" s="81">
        <v>4727.82</v>
      </c>
      <c r="G2166" s="197">
        <f>Tabla111[[#This Row],[Importe]]-Tabla111[[#This Row],[Pagado]]</f>
        <v>0</v>
      </c>
      <c r="H2166" s="75" t="s">
        <v>10</v>
      </c>
    </row>
    <row r="2167" spans="1:8" x14ac:dyDescent="0.25">
      <c r="A2167" s="148">
        <v>44854</v>
      </c>
      <c r="B2167" s="149" t="s">
        <v>33781</v>
      </c>
      <c r="C2167" s="153" t="s">
        <v>175</v>
      </c>
      <c r="D2167" s="154">
        <v>21401.7</v>
      </c>
      <c r="E2167" s="231">
        <v>44855</v>
      </c>
      <c r="F2167" s="154">
        <v>21401.7</v>
      </c>
      <c r="G2167" s="197">
        <f>Tabla111[[#This Row],[Importe]]-Tabla111[[#This Row],[Pagado]]</f>
        <v>0</v>
      </c>
      <c r="H2167" s="153" t="s">
        <v>10</v>
      </c>
    </row>
    <row r="2168" spans="1:8" x14ac:dyDescent="0.25">
      <c r="A2168" s="73">
        <v>44854</v>
      </c>
      <c r="B2168" s="74" t="s">
        <v>33782</v>
      </c>
      <c r="C2168" s="75" t="s">
        <v>426</v>
      </c>
      <c r="D2168" s="81">
        <v>5816.9</v>
      </c>
      <c r="E2168" s="230">
        <v>44855</v>
      </c>
      <c r="F2168" s="81">
        <v>5816.9</v>
      </c>
      <c r="G2168" s="197">
        <f>Tabla111[[#This Row],[Importe]]-Tabla111[[#This Row],[Pagado]]</f>
        <v>0</v>
      </c>
      <c r="H2168" s="75" t="s">
        <v>10</v>
      </c>
    </row>
    <row r="2169" spans="1:8" x14ac:dyDescent="0.25">
      <c r="A2169" s="148">
        <v>44854</v>
      </c>
      <c r="B2169" s="149" t="s">
        <v>33783</v>
      </c>
      <c r="C2169" s="153" t="s">
        <v>175</v>
      </c>
      <c r="D2169" s="154">
        <v>4928</v>
      </c>
      <c r="E2169" s="231">
        <v>44855</v>
      </c>
      <c r="F2169" s="154">
        <v>4928</v>
      </c>
      <c r="G2169" s="197">
        <f>Tabla111[[#This Row],[Importe]]-Tabla111[[#This Row],[Pagado]]</f>
        <v>0</v>
      </c>
      <c r="H2169" s="153" t="s">
        <v>10</v>
      </c>
    </row>
    <row r="2170" spans="1:8" x14ac:dyDescent="0.25">
      <c r="A2170" s="73">
        <v>44854</v>
      </c>
      <c r="B2170" s="74" t="s">
        <v>33784</v>
      </c>
      <c r="C2170" s="75" t="s">
        <v>21085</v>
      </c>
      <c r="D2170" s="81">
        <v>17822</v>
      </c>
      <c r="E2170" s="230">
        <v>44854</v>
      </c>
      <c r="F2170" s="81">
        <v>17822</v>
      </c>
      <c r="G2170" s="197">
        <f>Tabla111[[#This Row],[Importe]]-Tabla111[[#This Row],[Pagado]]</f>
        <v>0</v>
      </c>
      <c r="H2170" s="75" t="s">
        <v>10</v>
      </c>
    </row>
    <row r="2171" spans="1:8" x14ac:dyDescent="0.25">
      <c r="A2171" s="148">
        <v>44854</v>
      </c>
      <c r="B2171" s="149" t="s">
        <v>33785</v>
      </c>
      <c r="C2171" s="153" t="s">
        <v>5694</v>
      </c>
      <c r="D2171" s="154">
        <v>4115.8999999999996</v>
      </c>
      <c r="E2171" s="231">
        <v>44854</v>
      </c>
      <c r="F2171" s="154">
        <v>4115.8999999999996</v>
      </c>
      <c r="G2171" s="197">
        <f>Tabla111[[#This Row],[Importe]]-Tabla111[[#This Row],[Pagado]]</f>
        <v>0</v>
      </c>
      <c r="H2171" s="153" t="s">
        <v>10</v>
      </c>
    </row>
    <row r="2172" spans="1:8" x14ac:dyDescent="0.25">
      <c r="A2172" s="73">
        <v>44854</v>
      </c>
      <c r="B2172" s="74" t="s">
        <v>33786</v>
      </c>
      <c r="C2172" s="75" t="s">
        <v>196</v>
      </c>
      <c r="D2172" s="81">
        <v>7815.5</v>
      </c>
      <c r="E2172" s="230">
        <v>44855</v>
      </c>
      <c r="F2172" s="81">
        <v>7815.5</v>
      </c>
      <c r="G2172" s="197">
        <f>Tabla111[[#This Row],[Importe]]-Tabla111[[#This Row],[Pagado]]</f>
        <v>0</v>
      </c>
      <c r="H2172" s="75" t="s">
        <v>10</v>
      </c>
    </row>
    <row r="2173" spans="1:8" x14ac:dyDescent="0.25">
      <c r="A2173" s="148">
        <v>44855</v>
      </c>
      <c r="B2173" s="149" t="s">
        <v>33787</v>
      </c>
      <c r="C2173" s="153" t="s">
        <v>75</v>
      </c>
      <c r="D2173" s="154">
        <v>10311.6</v>
      </c>
      <c r="E2173" s="231">
        <v>44855</v>
      </c>
      <c r="F2173" s="154">
        <v>10311.6</v>
      </c>
      <c r="G2173" s="197">
        <f>Tabla111[[#This Row],[Importe]]-Tabla111[[#This Row],[Pagado]]</f>
        <v>0</v>
      </c>
      <c r="H2173" s="153" t="s">
        <v>10</v>
      </c>
    </row>
    <row r="2174" spans="1:8" x14ac:dyDescent="0.25">
      <c r="A2174" s="73">
        <v>44855</v>
      </c>
      <c r="B2174" s="74" t="s">
        <v>33788</v>
      </c>
      <c r="C2174" s="75" t="s">
        <v>473</v>
      </c>
      <c r="D2174" s="81">
        <v>12311.5</v>
      </c>
      <c r="E2174" s="230">
        <v>44855</v>
      </c>
      <c r="F2174" s="81">
        <v>12311.5</v>
      </c>
      <c r="G2174" s="197">
        <f>Tabla111[[#This Row],[Importe]]-Tabla111[[#This Row],[Pagado]]</f>
        <v>0</v>
      </c>
      <c r="H2174" s="75" t="s">
        <v>10</v>
      </c>
    </row>
    <row r="2175" spans="1:8" x14ac:dyDescent="0.25">
      <c r="A2175" s="148">
        <v>44855</v>
      </c>
      <c r="B2175" s="149" t="s">
        <v>33789</v>
      </c>
      <c r="C2175" s="153" t="s">
        <v>198</v>
      </c>
      <c r="D2175" s="154">
        <v>1044.8</v>
      </c>
      <c r="E2175" s="231">
        <v>44855</v>
      </c>
      <c r="F2175" s="154">
        <v>1044.8</v>
      </c>
      <c r="G2175" s="197">
        <f>Tabla111[[#This Row],[Importe]]-Tabla111[[#This Row],[Pagado]]</f>
        <v>0</v>
      </c>
      <c r="H2175" s="153" t="s">
        <v>10</v>
      </c>
    </row>
    <row r="2176" spans="1:8" x14ac:dyDescent="0.25">
      <c r="A2176" s="73">
        <v>44855</v>
      </c>
      <c r="B2176" s="74" t="s">
        <v>33790</v>
      </c>
      <c r="C2176" s="75" t="s">
        <v>20</v>
      </c>
      <c r="D2176" s="81">
        <v>1983.7</v>
      </c>
      <c r="E2176" s="230">
        <v>44855</v>
      </c>
      <c r="F2176" s="81">
        <v>1983.7</v>
      </c>
      <c r="G2176" s="197">
        <f>Tabla111[[#This Row],[Importe]]-Tabla111[[#This Row],[Pagado]]</f>
        <v>0</v>
      </c>
      <c r="H2176" s="75" t="s">
        <v>10</v>
      </c>
    </row>
    <row r="2177" spans="1:8" x14ac:dyDescent="0.25">
      <c r="A2177" s="148">
        <v>44855</v>
      </c>
      <c r="B2177" s="149" t="s">
        <v>33791</v>
      </c>
      <c r="C2177" s="153" t="s">
        <v>1187</v>
      </c>
      <c r="D2177" s="154">
        <v>3249.6</v>
      </c>
      <c r="E2177" s="231">
        <v>44855</v>
      </c>
      <c r="F2177" s="154">
        <v>3249.6</v>
      </c>
      <c r="G2177" s="197">
        <f>Tabla111[[#This Row],[Importe]]-Tabla111[[#This Row],[Pagado]]</f>
        <v>0</v>
      </c>
      <c r="H2177" s="153" t="s">
        <v>10</v>
      </c>
    </row>
    <row r="2178" spans="1:8" x14ac:dyDescent="0.25">
      <c r="A2178" s="73">
        <v>44855</v>
      </c>
      <c r="B2178" s="74" t="s">
        <v>33792</v>
      </c>
      <c r="C2178" s="75" t="s">
        <v>450</v>
      </c>
      <c r="D2178" s="81">
        <v>7792.4</v>
      </c>
      <c r="E2178" s="230">
        <v>44855</v>
      </c>
      <c r="F2178" s="81">
        <v>7792.4</v>
      </c>
      <c r="G2178" s="197">
        <f>Tabla111[[#This Row],[Importe]]-Tabla111[[#This Row],[Pagado]]</f>
        <v>0</v>
      </c>
      <c r="H2178" s="75" t="s">
        <v>10</v>
      </c>
    </row>
    <row r="2179" spans="1:8" x14ac:dyDescent="0.25">
      <c r="A2179" s="148">
        <v>44855</v>
      </c>
      <c r="B2179" s="149" t="s">
        <v>33793</v>
      </c>
      <c r="C2179" s="153" t="s">
        <v>95</v>
      </c>
      <c r="D2179" s="154">
        <v>25400.2</v>
      </c>
      <c r="E2179" s="231">
        <v>44855</v>
      </c>
      <c r="F2179" s="154">
        <v>25400.2</v>
      </c>
      <c r="G2179" s="197">
        <f>Tabla111[[#This Row],[Importe]]-Tabla111[[#This Row],[Pagado]]</f>
        <v>0</v>
      </c>
      <c r="H2179" s="153" t="s">
        <v>10</v>
      </c>
    </row>
    <row r="2180" spans="1:8" x14ac:dyDescent="0.25">
      <c r="A2180" s="73">
        <v>44855</v>
      </c>
      <c r="B2180" s="74" t="s">
        <v>33794</v>
      </c>
      <c r="C2180" s="75" t="s">
        <v>22</v>
      </c>
      <c r="D2180" s="81">
        <v>46138.3</v>
      </c>
      <c r="E2180" s="230" t="s">
        <v>33795</v>
      </c>
      <c r="F2180" s="81">
        <f>43000+3138.3</f>
        <v>46138.3</v>
      </c>
      <c r="G2180" s="197">
        <f>Tabla111[[#This Row],[Importe]]-Tabla111[[#This Row],[Pagado]]</f>
        <v>0</v>
      </c>
      <c r="H2180" s="75" t="s">
        <v>10</v>
      </c>
    </row>
    <row r="2181" spans="1:8" x14ac:dyDescent="0.25">
      <c r="A2181" s="148">
        <v>44855</v>
      </c>
      <c r="B2181" s="149" t="s">
        <v>33796</v>
      </c>
      <c r="C2181" s="153" t="s">
        <v>109</v>
      </c>
      <c r="D2181" s="154">
        <v>4738.5</v>
      </c>
      <c r="E2181" s="231">
        <v>44856</v>
      </c>
      <c r="F2181" s="154">
        <v>4738.5</v>
      </c>
      <c r="G2181" s="197">
        <f>Tabla111[[#This Row],[Importe]]-Tabla111[[#This Row],[Pagado]]</f>
        <v>0</v>
      </c>
      <c r="H2181" s="153" t="s">
        <v>10</v>
      </c>
    </row>
    <row r="2182" spans="1:8" x14ac:dyDescent="0.25">
      <c r="A2182" s="73">
        <v>44855</v>
      </c>
      <c r="B2182" s="74" t="s">
        <v>33797</v>
      </c>
      <c r="C2182" s="75" t="s">
        <v>5043</v>
      </c>
      <c r="D2182" s="81">
        <v>5460.5</v>
      </c>
      <c r="E2182" s="230">
        <v>44858</v>
      </c>
      <c r="F2182" s="81">
        <v>5460.5</v>
      </c>
      <c r="G2182" s="197">
        <f>Tabla111[[#This Row],[Importe]]-Tabla111[[#This Row],[Pagado]]</f>
        <v>0</v>
      </c>
      <c r="H2182" s="75" t="s">
        <v>10</v>
      </c>
    </row>
    <row r="2183" spans="1:8" x14ac:dyDescent="0.25">
      <c r="A2183" s="148">
        <v>44855</v>
      </c>
      <c r="B2183" s="149" t="s">
        <v>33798</v>
      </c>
      <c r="C2183" s="153" t="s">
        <v>97</v>
      </c>
      <c r="D2183" s="154">
        <v>14524.5</v>
      </c>
      <c r="E2183" s="231">
        <v>44856</v>
      </c>
      <c r="F2183" s="154">
        <v>14524.5</v>
      </c>
      <c r="G2183" s="197">
        <f>Tabla111[[#This Row],[Importe]]-Tabla111[[#This Row],[Pagado]]</f>
        <v>0</v>
      </c>
      <c r="H2183" s="153" t="s">
        <v>10</v>
      </c>
    </row>
    <row r="2184" spans="1:8" x14ac:dyDescent="0.25">
      <c r="A2184" s="73">
        <v>44855</v>
      </c>
      <c r="B2184" s="74" t="s">
        <v>33799</v>
      </c>
      <c r="C2184" s="75" t="s">
        <v>120</v>
      </c>
      <c r="D2184" s="81">
        <v>911.4</v>
      </c>
      <c r="E2184" s="230">
        <v>45220</v>
      </c>
      <c r="F2184" s="81">
        <v>911.4</v>
      </c>
      <c r="G2184" s="197">
        <f>Tabla111[[#This Row],[Importe]]-Tabla111[[#This Row],[Pagado]]</f>
        <v>0</v>
      </c>
      <c r="H2184" s="75" t="s">
        <v>10</v>
      </c>
    </row>
    <row r="2185" spans="1:8" x14ac:dyDescent="0.25">
      <c r="A2185" s="148">
        <v>44855</v>
      </c>
      <c r="B2185" s="149" t="s">
        <v>33800</v>
      </c>
      <c r="C2185" s="153" t="s">
        <v>348</v>
      </c>
      <c r="D2185" s="154">
        <v>7650.8</v>
      </c>
      <c r="E2185" s="231">
        <v>44856</v>
      </c>
      <c r="F2185" s="154">
        <v>7650.8</v>
      </c>
      <c r="G2185" s="197">
        <f>Tabla111[[#This Row],[Importe]]-Tabla111[[#This Row],[Pagado]]</f>
        <v>0</v>
      </c>
      <c r="H2185" s="153" t="s">
        <v>10</v>
      </c>
    </row>
    <row r="2186" spans="1:8" x14ac:dyDescent="0.25">
      <c r="A2186" s="73">
        <v>44855</v>
      </c>
      <c r="B2186" s="74" t="s">
        <v>33801</v>
      </c>
      <c r="C2186" s="75" t="s">
        <v>111</v>
      </c>
      <c r="D2186" s="81">
        <v>5349.5</v>
      </c>
      <c r="E2186" s="230">
        <v>44856</v>
      </c>
      <c r="F2186" s="81">
        <v>5349.5</v>
      </c>
      <c r="G2186" s="197">
        <f>Tabla111[[#This Row],[Importe]]-Tabla111[[#This Row],[Pagado]]</f>
        <v>0</v>
      </c>
      <c r="H2186" s="75" t="s">
        <v>10</v>
      </c>
    </row>
    <row r="2187" spans="1:8" x14ac:dyDescent="0.25">
      <c r="A2187" s="148">
        <v>44855</v>
      </c>
      <c r="B2187" s="149" t="s">
        <v>33802</v>
      </c>
      <c r="C2187" s="153" t="s">
        <v>105</v>
      </c>
      <c r="D2187" s="154">
        <v>4247</v>
      </c>
      <c r="E2187" s="231">
        <v>44855</v>
      </c>
      <c r="F2187" s="154">
        <v>4247</v>
      </c>
      <c r="G2187" s="197">
        <f>Tabla111[[#This Row],[Importe]]-Tabla111[[#This Row],[Pagado]]</f>
        <v>0</v>
      </c>
      <c r="H2187" s="153" t="s">
        <v>10</v>
      </c>
    </row>
    <row r="2188" spans="1:8" x14ac:dyDescent="0.25">
      <c r="A2188" s="73">
        <v>44855</v>
      </c>
      <c r="B2188" s="74" t="s">
        <v>33803</v>
      </c>
      <c r="C2188" s="75" t="s">
        <v>131</v>
      </c>
      <c r="D2188" s="81">
        <v>3970.2</v>
      </c>
      <c r="E2188" s="230">
        <v>44855</v>
      </c>
      <c r="F2188" s="81">
        <v>3970.2</v>
      </c>
      <c r="G2188" s="197">
        <f>Tabla111[[#This Row],[Importe]]-Tabla111[[#This Row],[Pagado]]</f>
        <v>0</v>
      </c>
      <c r="H2188" s="75" t="s">
        <v>10</v>
      </c>
    </row>
    <row r="2189" spans="1:8" x14ac:dyDescent="0.25">
      <c r="A2189" s="148">
        <v>44855</v>
      </c>
      <c r="B2189" s="149" t="s">
        <v>33804</v>
      </c>
      <c r="C2189" s="153" t="s">
        <v>89</v>
      </c>
      <c r="D2189" s="154">
        <v>13230.8</v>
      </c>
      <c r="E2189" s="231">
        <v>44856</v>
      </c>
      <c r="F2189" s="154">
        <v>13230.8</v>
      </c>
      <c r="G2189" s="197">
        <f>Tabla111[[#This Row],[Importe]]-Tabla111[[#This Row],[Pagado]]</f>
        <v>0</v>
      </c>
      <c r="H2189" s="153" t="s">
        <v>10</v>
      </c>
    </row>
    <row r="2190" spans="1:8" x14ac:dyDescent="0.25">
      <c r="A2190" s="73">
        <v>44855</v>
      </c>
      <c r="B2190" s="74" t="s">
        <v>33805</v>
      </c>
      <c r="C2190" s="75" t="s">
        <v>6170</v>
      </c>
      <c r="D2190" s="81">
        <v>0</v>
      </c>
      <c r="E2190" s="232" t="s">
        <v>189</v>
      </c>
      <c r="F2190" s="81">
        <v>0</v>
      </c>
      <c r="G2190" s="197">
        <f>Tabla111[[#This Row],[Importe]]-Tabla111[[#This Row],[Pagado]]</f>
        <v>0</v>
      </c>
      <c r="H2190" s="75" t="s">
        <v>189</v>
      </c>
    </row>
    <row r="2191" spans="1:8" x14ac:dyDescent="0.25">
      <c r="A2191" s="148">
        <v>44855</v>
      </c>
      <c r="B2191" s="149" t="s">
        <v>33806</v>
      </c>
      <c r="C2191" s="153" t="s">
        <v>15126</v>
      </c>
      <c r="D2191" s="154">
        <v>0</v>
      </c>
      <c r="E2191" s="233" t="s">
        <v>189</v>
      </c>
      <c r="F2191" s="154">
        <v>0</v>
      </c>
      <c r="G2191" s="197">
        <f>Tabla111[[#This Row],[Importe]]-Tabla111[[#This Row],[Pagado]]</f>
        <v>0</v>
      </c>
      <c r="H2191" s="159" t="s">
        <v>33807</v>
      </c>
    </row>
    <row r="2192" spans="1:8" x14ac:dyDescent="0.25">
      <c r="A2192" s="73">
        <v>44855</v>
      </c>
      <c r="B2192" s="74" t="s">
        <v>33808</v>
      </c>
      <c r="C2192" s="75" t="s">
        <v>12</v>
      </c>
      <c r="D2192" s="81">
        <v>11063.5</v>
      </c>
      <c r="E2192" s="230">
        <v>44855</v>
      </c>
      <c r="F2192" s="81">
        <v>11063.5</v>
      </c>
      <c r="G2192" s="197">
        <f>Tabla111[[#This Row],[Importe]]-Tabla111[[#This Row],[Pagado]]</f>
        <v>0</v>
      </c>
      <c r="H2192" s="75" t="s">
        <v>10</v>
      </c>
    </row>
    <row r="2193" spans="1:8" x14ac:dyDescent="0.25">
      <c r="A2193" s="148">
        <v>44855</v>
      </c>
      <c r="B2193" s="149" t="s">
        <v>33809</v>
      </c>
      <c r="C2193" s="153" t="s">
        <v>93</v>
      </c>
      <c r="D2193" s="154">
        <v>5453.5</v>
      </c>
      <c r="E2193" s="231">
        <v>44856</v>
      </c>
      <c r="F2193" s="154">
        <v>5453.5</v>
      </c>
      <c r="G2193" s="197">
        <f>Tabla111[[#This Row],[Importe]]-Tabla111[[#This Row],[Pagado]]</f>
        <v>0</v>
      </c>
      <c r="H2193" s="153" t="s">
        <v>10</v>
      </c>
    </row>
    <row r="2194" spans="1:8" x14ac:dyDescent="0.25">
      <c r="A2194" s="73">
        <v>44855</v>
      </c>
      <c r="B2194" s="74" t="s">
        <v>33810</v>
      </c>
      <c r="C2194" s="75" t="s">
        <v>114</v>
      </c>
      <c r="D2194" s="81">
        <v>11832</v>
      </c>
      <c r="E2194" s="230">
        <v>44856</v>
      </c>
      <c r="F2194" s="81">
        <v>11832</v>
      </c>
      <c r="G2194" s="197">
        <f>Tabla111[[#This Row],[Importe]]-Tabla111[[#This Row],[Pagado]]</f>
        <v>0</v>
      </c>
      <c r="H2194" s="75" t="s">
        <v>10</v>
      </c>
    </row>
    <row r="2195" spans="1:8" x14ac:dyDescent="0.25">
      <c r="A2195" s="148">
        <v>44855</v>
      </c>
      <c r="B2195" s="149" t="s">
        <v>33811</v>
      </c>
      <c r="C2195" s="153" t="s">
        <v>60</v>
      </c>
      <c r="D2195" s="154">
        <v>5925.1</v>
      </c>
      <c r="E2195" s="231">
        <v>44856</v>
      </c>
      <c r="F2195" s="154">
        <v>5925.1</v>
      </c>
      <c r="G2195" s="197">
        <f>Tabla111[[#This Row],[Importe]]-Tabla111[[#This Row],[Pagado]]</f>
        <v>0</v>
      </c>
      <c r="H2195" s="153" t="s">
        <v>10</v>
      </c>
    </row>
    <row r="2196" spans="1:8" x14ac:dyDescent="0.25">
      <c r="A2196" s="73">
        <v>44855</v>
      </c>
      <c r="B2196" s="74" t="s">
        <v>33812</v>
      </c>
      <c r="C2196" s="75" t="s">
        <v>9415</v>
      </c>
      <c r="D2196" s="81">
        <v>33832</v>
      </c>
      <c r="E2196" s="230">
        <v>44862</v>
      </c>
      <c r="F2196" s="81">
        <v>33832</v>
      </c>
      <c r="G2196" s="197">
        <f>Tabla111[[#This Row],[Importe]]-Tabla111[[#This Row],[Pagado]]</f>
        <v>0</v>
      </c>
      <c r="H2196" s="75" t="s">
        <v>10</v>
      </c>
    </row>
    <row r="2197" spans="1:8" x14ac:dyDescent="0.25">
      <c r="A2197" s="148">
        <v>44855</v>
      </c>
      <c r="B2197" s="149" t="s">
        <v>33813</v>
      </c>
      <c r="C2197" s="153" t="s">
        <v>64</v>
      </c>
      <c r="D2197" s="154">
        <v>5642</v>
      </c>
      <c r="E2197" s="231">
        <v>44856</v>
      </c>
      <c r="F2197" s="154">
        <v>5642</v>
      </c>
      <c r="G2197" s="197">
        <f>Tabla111[[#This Row],[Importe]]-Tabla111[[#This Row],[Pagado]]</f>
        <v>0</v>
      </c>
      <c r="H2197" s="153" t="s">
        <v>10</v>
      </c>
    </row>
    <row r="2198" spans="1:8" x14ac:dyDescent="0.25">
      <c r="A2198" s="73">
        <v>44855</v>
      </c>
      <c r="B2198" s="74" t="s">
        <v>33814</v>
      </c>
      <c r="C2198" s="75" t="s">
        <v>9</v>
      </c>
      <c r="D2198" s="81">
        <v>9676.4</v>
      </c>
      <c r="E2198" s="230">
        <v>44855</v>
      </c>
      <c r="F2198" s="81">
        <v>9676.4</v>
      </c>
      <c r="G2198" s="197">
        <f>Tabla111[[#This Row],[Importe]]-Tabla111[[#This Row],[Pagado]]</f>
        <v>0</v>
      </c>
      <c r="H2198" s="75" t="s">
        <v>10</v>
      </c>
    </row>
    <row r="2199" spans="1:8" x14ac:dyDescent="0.25">
      <c r="A2199" s="148">
        <v>44855</v>
      </c>
      <c r="B2199" s="149" t="s">
        <v>33815</v>
      </c>
      <c r="C2199" s="153" t="s">
        <v>79</v>
      </c>
      <c r="D2199" s="154">
        <v>22089.599999999999</v>
      </c>
      <c r="E2199" s="231">
        <v>44855</v>
      </c>
      <c r="F2199" s="154">
        <v>22089.599999999999</v>
      </c>
      <c r="G2199" s="197">
        <f>Tabla111[[#This Row],[Importe]]-Tabla111[[#This Row],[Pagado]]</f>
        <v>0</v>
      </c>
      <c r="H2199" s="153" t="s">
        <v>10</v>
      </c>
    </row>
    <row r="2200" spans="1:8" x14ac:dyDescent="0.25">
      <c r="A2200" s="73">
        <v>44855</v>
      </c>
      <c r="B2200" s="74" t="s">
        <v>33816</v>
      </c>
      <c r="C2200" s="75" t="s">
        <v>314</v>
      </c>
      <c r="D2200" s="81">
        <v>5453.4</v>
      </c>
      <c r="E2200" s="230">
        <v>44855</v>
      </c>
      <c r="F2200" s="81">
        <v>5453.4</v>
      </c>
      <c r="G2200" s="197">
        <f>Tabla111[[#This Row],[Importe]]-Tabla111[[#This Row],[Pagado]]</f>
        <v>0</v>
      </c>
      <c r="H2200" s="75" t="s">
        <v>10</v>
      </c>
    </row>
    <row r="2201" spans="1:8" x14ac:dyDescent="0.25">
      <c r="A2201" s="148">
        <v>44855</v>
      </c>
      <c r="B2201" s="149" t="s">
        <v>33817</v>
      </c>
      <c r="C2201" s="153" t="s">
        <v>87</v>
      </c>
      <c r="D2201" s="154">
        <v>2749.8</v>
      </c>
      <c r="E2201" s="231">
        <v>44855</v>
      </c>
      <c r="F2201" s="154">
        <v>2749.8</v>
      </c>
      <c r="G2201" s="197">
        <f>Tabla111[[#This Row],[Importe]]-Tabla111[[#This Row],[Pagado]]</f>
        <v>0</v>
      </c>
      <c r="H2201" s="153" t="s">
        <v>10</v>
      </c>
    </row>
    <row r="2202" spans="1:8" x14ac:dyDescent="0.25">
      <c r="A2202" s="73">
        <v>44855</v>
      </c>
      <c r="B2202" s="74" t="s">
        <v>33818</v>
      </c>
      <c r="C2202" s="75" t="s">
        <v>484</v>
      </c>
      <c r="D2202" s="81">
        <v>5976</v>
      </c>
      <c r="E2202" s="230">
        <v>44855</v>
      </c>
      <c r="F2202" s="81">
        <v>5976</v>
      </c>
      <c r="G2202" s="197">
        <f>Tabla111[[#This Row],[Importe]]-Tabla111[[#This Row],[Pagado]]</f>
        <v>0</v>
      </c>
      <c r="H2202" s="75" t="s">
        <v>10</v>
      </c>
    </row>
    <row r="2203" spans="1:8" x14ac:dyDescent="0.25">
      <c r="A2203" s="148">
        <v>44855</v>
      </c>
      <c r="B2203" s="149" t="s">
        <v>33819</v>
      </c>
      <c r="C2203" s="153" t="s">
        <v>31</v>
      </c>
      <c r="D2203" s="154">
        <v>4914.72</v>
      </c>
      <c r="E2203" s="231">
        <v>44855</v>
      </c>
      <c r="F2203" s="154">
        <v>4914.72</v>
      </c>
      <c r="G2203" s="197">
        <f>Tabla111[[#This Row],[Importe]]-Tabla111[[#This Row],[Pagado]]</f>
        <v>0</v>
      </c>
      <c r="H2203" s="153" t="s">
        <v>10</v>
      </c>
    </row>
    <row r="2204" spans="1:8" x14ac:dyDescent="0.25">
      <c r="A2204" s="73">
        <v>44855</v>
      </c>
      <c r="B2204" s="74" t="s">
        <v>33820</v>
      </c>
      <c r="C2204" s="75" t="s">
        <v>45</v>
      </c>
      <c r="D2204" s="81">
        <v>12175.2</v>
      </c>
      <c r="E2204" s="230">
        <v>44855</v>
      </c>
      <c r="F2204" s="81">
        <v>12175.2</v>
      </c>
      <c r="G2204" s="197">
        <f>Tabla111[[#This Row],[Importe]]-Tabla111[[#This Row],[Pagado]]</f>
        <v>0</v>
      </c>
      <c r="H2204" s="75" t="s">
        <v>10</v>
      </c>
    </row>
    <row r="2205" spans="1:8" x14ac:dyDescent="0.25">
      <c r="A2205" s="148">
        <v>44855</v>
      </c>
      <c r="B2205" s="149" t="s">
        <v>33821</v>
      </c>
      <c r="C2205" s="153" t="s">
        <v>7894</v>
      </c>
      <c r="D2205" s="154">
        <v>5467.2</v>
      </c>
      <c r="E2205" s="231">
        <v>44855</v>
      </c>
      <c r="F2205" s="154">
        <v>5467.2</v>
      </c>
      <c r="G2205" s="197">
        <f>Tabla111[[#This Row],[Importe]]-Tabla111[[#This Row],[Pagado]]</f>
        <v>0</v>
      </c>
      <c r="H2205" s="153" t="s">
        <v>10</v>
      </c>
    </row>
    <row r="2206" spans="1:8" x14ac:dyDescent="0.25">
      <c r="A2206" s="73">
        <v>44855</v>
      </c>
      <c r="B2206" s="74" t="s">
        <v>33822</v>
      </c>
      <c r="C2206" s="75" t="s">
        <v>7894</v>
      </c>
      <c r="D2206" s="81">
        <v>648</v>
      </c>
      <c r="E2206" s="230">
        <v>44855</v>
      </c>
      <c r="F2206" s="81">
        <v>648</v>
      </c>
      <c r="G2206" s="197">
        <f>Tabla111[[#This Row],[Importe]]-Tabla111[[#This Row],[Pagado]]</f>
        <v>0</v>
      </c>
      <c r="H2206" s="75" t="s">
        <v>10</v>
      </c>
    </row>
    <row r="2207" spans="1:8" x14ac:dyDescent="0.25">
      <c r="A2207" s="148">
        <v>44855</v>
      </c>
      <c r="B2207" s="149" t="s">
        <v>33823</v>
      </c>
      <c r="C2207" s="153" t="s">
        <v>2780</v>
      </c>
      <c r="D2207" s="154">
        <v>6066.9</v>
      </c>
      <c r="E2207" s="231">
        <v>44855</v>
      </c>
      <c r="F2207" s="154">
        <v>6066.9</v>
      </c>
      <c r="G2207" s="197">
        <f>Tabla111[[#This Row],[Importe]]-Tabla111[[#This Row],[Pagado]]</f>
        <v>0</v>
      </c>
      <c r="H2207" s="153" t="s">
        <v>10</v>
      </c>
    </row>
    <row r="2208" spans="1:8" x14ac:dyDescent="0.25">
      <c r="A2208" s="73">
        <v>44855</v>
      </c>
      <c r="B2208" s="74" t="s">
        <v>33824</v>
      </c>
      <c r="C2208" s="75" t="s">
        <v>58</v>
      </c>
      <c r="D2208" s="81">
        <v>2411.8000000000002</v>
      </c>
      <c r="E2208" s="230">
        <v>44855</v>
      </c>
      <c r="F2208" s="81">
        <v>2411.8000000000002</v>
      </c>
      <c r="G2208" s="197">
        <f>Tabla111[[#This Row],[Importe]]-Tabla111[[#This Row],[Pagado]]</f>
        <v>0</v>
      </c>
      <c r="H2208" s="75" t="s">
        <v>10</v>
      </c>
    </row>
    <row r="2209" spans="1:8" x14ac:dyDescent="0.25">
      <c r="A2209" s="148">
        <v>44855</v>
      </c>
      <c r="B2209" s="149" t="s">
        <v>33825</v>
      </c>
      <c r="C2209" s="153" t="s">
        <v>149</v>
      </c>
      <c r="D2209" s="154">
        <v>470</v>
      </c>
      <c r="E2209" s="231">
        <v>44855</v>
      </c>
      <c r="F2209" s="154">
        <v>470</v>
      </c>
      <c r="G2209" s="197">
        <f>Tabla111[[#This Row],[Importe]]-Tabla111[[#This Row],[Pagado]]</f>
        <v>0</v>
      </c>
      <c r="H2209" s="153" t="s">
        <v>10</v>
      </c>
    </row>
    <row r="2210" spans="1:8" x14ac:dyDescent="0.25">
      <c r="A2210" s="73">
        <v>44855</v>
      </c>
      <c r="B2210" s="74" t="s">
        <v>33826</v>
      </c>
      <c r="C2210" s="75" t="s">
        <v>647</v>
      </c>
      <c r="D2210" s="81">
        <v>6088.4</v>
      </c>
      <c r="E2210" s="230">
        <v>44855</v>
      </c>
      <c r="F2210" s="81">
        <v>6088.4</v>
      </c>
      <c r="G2210" s="197">
        <f>Tabla111[[#This Row],[Importe]]-Tabla111[[#This Row],[Pagado]]</f>
        <v>0</v>
      </c>
      <c r="H2210" s="75" t="s">
        <v>10</v>
      </c>
    </row>
    <row r="2211" spans="1:8" x14ac:dyDescent="0.25">
      <c r="A2211" s="148">
        <v>44855</v>
      </c>
      <c r="B2211" s="149" t="s">
        <v>33827</v>
      </c>
      <c r="C2211" s="153" t="s">
        <v>154</v>
      </c>
      <c r="D2211" s="154">
        <v>65034</v>
      </c>
      <c r="E2211" s="231">
        <v>44859</v>
      </c>
      <c r="F2211" s="154">
        <v>65034</v>
      </c>
      <c r="G2211" s="197">
        <f>Tabla111[[#This Row],[Importe]]-Tabla111[[#This Row],[Pagado]]</f>
        <v>0</v>
      </c>
      <c r="H2211" s="153" t="s">
        <v>10</v>
      </c>
    </row>
    <row r="2212" spans="1:8" x14ac:dyDescent="0.25">
      <c r="A2212" s="73">
        <v>44855</v>
      </c>
      <c r="B2212" s="74" t="s">
        <v>33828</v>
      </c>
      <c r="C2212" s="75" t="s">
        <v>173</v>
      </c>
      <c r="D2212" s="81">
        <v>41859.800000000003</v>
      </c>
      <c r="E2212" s="230">
        <v>44856</v>
      </c>
      <c r="F2212" s="81">
        <v>41859.800000000003</v>
      </c>
      <c r="G2212" s="197">
        <f>Tabla111[[#This Row],[Importe]]-Tabla111[[#This Row],[Pagado]]</f>
        <v>0</v>
      </c>
      <c r="H2212" s="75" t="s">
        <v>10</v>
      </c>
    </row>
    <row r="2213" spans="1:8" x14ac:dyDescent="0.25">
      <c r="A2213" s="148">
        <v>44855</v>
      </c>
      <c r="B2213" s="149" t="s">
        <v>33829</v>
      </c>
      <c r="C2213" s="153" t="s">
        <v>140</v>
      </c>
      <c r="D2213" s="154">
        <v>1936</v>
      </c>
      <c r="E2213" s="231">
        <v>44855</v>
      </c>
      <c r="F2213" s="154">
        <v>1936</v>
      </c>
      <c r="G2213" s="197">
        <f>Tabla111[[#This Row],[Importe]]-Tabla111[[#This Row],[Pagado]]</f>
        <v>0</v>
      </c>
      <c r="H2213" s="153" t="s">
        <v>10</v>
      </c>
    </row>
    <row r="2214" spans="1:8" x14ac:dyDescent="0.25">
      <c r="A2214" s="73">
        <v>44855</v>
      </c>
      <c r="B2214" s="74" t="s">
        <v>33830</v>
      </c>
      <c r="C2214" s="75" t="s">
        <v>127</v>
      </c>
      <c r="D2214" s="81">
        <v>598.5</v>
      </c>
      <c r="E2214" s="230">
        <v>44855</v>
      </c>
      <c r="F2214" s="81">
        <v>598.5</v>
      </c>
      <c r="G2214" s="197">
        <f>Tabla111[[#This Row],[Importe]]-Tabla111[[#This Row],[Pagado]]</f>
        <v>0</v>
      </c>
      <c r="H2214" s="75" t="s">
        <v>10</v>
      </c>
    </row>
    <row r="2215" spans="1:8" x14ac:dyDescent="0.25">
      <c r="A2215" s="148">
        <v>44855</v>
      </c>
      <c r="B2215" s="149" t="s">
        <v>33831</v>
      </c>
      <c r="C2215" s="153" t="s">
        <v>208</v>
      </c>
      <c r="D2215" s="154">
        <v>20728.5</v>
      </c>
      <c r="E2215" s="231">
        <v>44856</v>
      </c>
      <c r="F2215" s="154">
        <v>20728.5</v>
      </c>
      <c r="G2215" s="197">
        <f>Tabla111[[#This Row],[Importe]]-Tabla111[[#This Row],[Pagado]]</f>
        <v>0</v>
      </c>
      <c r="H2215" s="153" t="s">
        <v>10</v>
      </c>
    </row>
    <row r="2216" spans="1:8" x14ac:dyDescent="0.25">
      <c r="A2216" s="73">
        <v>44855</v>
      </c>
      <c r="B2216" s="74" t="s">
        <v>33832</v>
      </c>
      <c r="C2216" s="75" t="s">
        <v>45</v>
      </c>
      <c r="D2216" s="81">
        <v>140</v>
      </c>
      <c r="E2216" s="230">
        <v>44855</v>
      </c>
      <c r="F2216" s="81">
        <v>140</v>
      </c>
      <c r="G2216" s="197">
        <f>Tabla111[[#This Row],[Importe]]-Tabla111[[#This Row],[Pagado]]</f>
        <v>0</v>
      </c>
      <c r="H2216" s="75" t="s">
        <v>10</v>
      </c>
    </row>
    <row r="2217" spans="1:8" x14ac:dyDescent="0.25">
      <c r="A2217" s="148">
        <v>44855</v>
      </c>
      <c r="B2217" s="149" t="s">
        <v>33833</v>
      </c>
      <c r="C2217" s="153" t="s">
        <v>365</v>
      </c>
      <c r="D2217" s="154">
        <v>1607.4</v>
      </c>
      <c r="E2217" s="231">
        <v>44855</v>
      </c>
      <c r="F2217" s="154">
        <v>1607.4</v>
      </c>
      <c r="G2217" s="197">
        <f>Tabla111[[#This Row],[Importe]]-Tabla111[[#This Row],[Pagado]]</f>
        <v>0</v>
      </c>
      <c r="H2217" s="153" t="s">
        <v>10</v>
      </c>
    </row>
    <row r="2218" spans="1:8" x14ac:dyDescent="0.25">
      <c r="A2218" s="73">
        <v>44855</v>
      </c>
      <c r="B2218" s="74" t="s">
        <v>33834</v>
      </c>
      <c r="C2218" s="75" t="s">
        <v>29</v>
      </c>
      <c r="D2218" s="81">
        <v>6450.6</v>
      </c>
      <c r="E2218" s="230">
        <v>44855</v>
      </c>
      <c r="F2218" s="81">
        <v>6450.6</v>
      </c>
      <c r="G2218" s="197">
        <f>Tabla111[[#This Row],[Importe]]-Tabla111[[#This Row],[Pagado]]</f>
        <v>0</v>
      </c>
      <c r="H2218" s="75" t="s">
        <v>10</v>
      </c>
    </row>
    <row r="2219" spans="1:8" x14ac:dyDescent="0.25">
      <c r="A2219" s="148">
        <v>44855</v>
      </c>
      <c r="B2219" s="149" t="s">
        <v>33835</v>
      </c>
      <c r="C2219" s="153" t="s">
        <v>161</v>
      </c>
      <c r="D2219" s="154">
        <v>3472.5</v>
      </c>
      <c r="E2219" s="231">
        <v>44855</v>
      </c>
      <c r="F2219" s="154">
        <v>3472.5</v>
      </c>
      <c r="G2219" s="197">
        <f>Tabla111[[#This Row],[Importe]]-Tabla111[[#This Row],[Pagado]]</f>
        <v>0</v>
      </c>
      <c r="H2219" s="153" t="s">
        <v>10</v>
      </c>
    </row>
    <row r="2220" spans="1:8" x14ac:dyDescent="0.25">
      <c r="A2220" s="73">
        <v>44855</v>
      </c>
      <c r="B2220" s="74" t="s">
        <v>33836</v>
      </c>
      <c r="C2220" s="75" t="s">
        <v>28087</v>
      </c>
      <c r="D2220" s="81">
        <v>173657.74</v>
      </c>
      <c r="E2220" s="230" t="s">
        <v>33837</v>
      </c>
      <c r="F2220" s="81">
        <f>162417.53+11240.21</f>
        <v>173657.74</v>
      </c>
      <c r="G2220" s="197">
        <f>Tabla111[[#This Row],[Importe]]-Tabla111[[#This Row],[Pagado]]</f>
        <v>0</v>
      </c>
      <c r="H2220" s="75" t="s">
        <v>10</v>
      </c>
    </row>
    <row r="2221" spans="1:8" x14ac:dyDescent="0.25">
      <c r="A2221" s="148">
        <v>44855</v>
      </c>
      <c r="B2221" s="149" t="s">
        <v>33838</v>
      </c>
      <c r="C2221" s="153" t="s">
        <v>135</v>
      </c>
      <c r="D2221" s="154">
        <v>1176</v>
      </c>
      <c r="E2221" s="231">
        <v>44855</v>
      </c>
      <c r="F2221" s="154">
        <v>1176</v>
      </c>
      <c r="G2221" s="197">
        <f>Tabla111[[#This Row],[Importe]]-Tabla111[[#This Row],[Pagado]]</f>
        <v>0</v>
      </c>
      <c r="H2221" s="153" t="s">
        <v>10</v>
      </c>
    </row>
    <row r="2222" spans="1:8" x14ac:dyDescent="0.25">
      <c r="A2222" s="73">
        <v>44855</v>
      </c>
      <c r="B2222" s="74" t="s">
        <v>33839</v>
      </c>
      <c r="C2222" s="75" t="s">
        <v>11383</v>
      </c>
      <c r="D2222" s="81">
        <v>19675.5</v>
      </c>
      <c r="E2222" s="230">
        <v>44855</v>
      </c>
      <c r="F2222" s="81">
        <v>19675.5</v>
      </c>
      <c r="G2222" s="197">
        <f>Tabla111[[#This Row],[Importe]]-Tabla111[[#This Row],[Pagado]]</f>
        <v>0</v>
      </c>
      <c r="H2222" s="75" t="s">
        <v>10</v>
      </c>
    </row>
    <row r="2223" spans="1:8" x14ac:dyDescent="0.25">
      <c r="A2223" s="148">
        <v>44855</v>
      </c>
      <c r="B2223" s="149" t="s">
        <v>33840</v>
      </c>
      <c r="C2223" s="153" t="s">
        <v>53</v>
      </c>
      <c r="D2223" s="154">
        <v>2097.8000000000002</v>
      </c>
      <c r="E2223" s="231">
        <v>44855</v>
      </c>
      <c r="F2223" s="154">
        <v>2097.8000000000002</v>
      </c>
      <c r="G2223" s="197">
        <f>Tabla111[[#This Row],[Importe]]-Tabla111[[#This Row],[Pagado]]</f>
        <v>0</v>
      </c>
      <c r="H2223" s="153" t="s">
        <v>10</v>
      </c>
    </row>
    <row r="2224" spans="1:8" x14ac:dyDescent="0.25">
      <c r="A2224" s="73">
        <v>44855</v>
      </c>
      <c r="B2224" s="74" t="s">
        <v>33841</v>
      </c>
      <c r="C2224" s="75" t="s">
        <v>196</v>
      </c>
      <c r="D2224" s="81">
        <v>66286.039999999994</v>
      </c>
      <c r="E2224" s="230">
        <v>44855</v>
      </c>
      <c r="F2224" s="81">
        <v>66286.039999999994</v>
      </c>
      <c r="G2224" s="197">
        <f>Tabla111[[#This Row],[Importe]]-Tabla111[[#This Row],[Pagado]]</f>
        <v>0</v>
      </c>
      <c r="H2224" s="75" t="s">
        <v>10</v>
      </c>
    </row>
    <row r="2225" spans="1:8" x14ac:dyDescent="0.25">
      <c r="A2225" s="148">
        <v>44855</v>
      </c>
      <c r="B2225" s="149" t="s">
        <v>33842</v>
      </c>
      <c r="C2225" s="153" t="s">
        <v>2114</v>
      </c>
      <c r="D2225" s="154">
        <v>2114.4</v>
      </c>
      <c r="E2225" s="231">
        <v>44855</v>
      </c>
      <c r="F2225" s="154">
        <v>2114.4</v>
      </c>
      <c r="G2225" s="197">
        <f>Tabla111[[#This Row],[Importe]]-Tabla111[[#This Row],[Pagado]]</f>
        <v>0</v>
      </c>
      <c r="H2225" s="153" t="s">
        <v>10</v>
      </c>
    </row>
    <row r="2226" spans="1:8" x14ac:dyDescent="0.25">
      <c r="A2226" s="73">
        <v>44855</v>
      </c>
      <c r="B2226" s="74" t="s">
        <v>33843</v>
      </c>
      <c r="C2226" s="75" t="s">
        <v>181</v>
      </c>
      <c r="D2226" s="81">
        <v>11762.8</v>
      </c>
      <c r="E2226" s="230">
        <v>44855</v>
      </c>
      <c r="F2226" s="81">
        <v>11762.8</v>
      </c>
      <c r="G2226" s="197">
        <f>Tabla111[[#This Row],[Importe]]-Tabla111[[#This Row],[Pagado]]</f>
        <v>0</v>
      </c>
      <c r="H2226" s="75" t="s">
        <v>10</v>
      </c>
    </row>
    <row r="2227" spans="1:8" x14ac:dyDescent="0.25">
      <c r="A2227" s="148">
        <v>44855</v>
      </c>
      <c r="B2227" s="149" t="s">
        <v>33844</v>
      </c>
      <c r="C2227" s="153" t="s">
        <v>24284</v>
      </c>
      <c r="D2227" s="154">
        <v>546</v>
      </c>
      <c r="E2227" s="231">
        <v>44855</v>
      </c>
      <c r="F2227" s="154">
        <v>546</v>
      </c>
      <c r="G2227" s="197">
        <f>Tabla111[[#This Row],[Importe]]-Tabla111[[#This Row],[Pagado]]</f>
        <v>0</v>
      </c>
      <c r="H2227" s="153" t="s">
        <v>10</v>
      </c>
    </row>
    <row r="2228" spans="1:8" x14ac:dyDescent="0.25">
      <c r="A2228" s="73">
        <v>44855</v>
      </c>
      <c r="B2228" s="74" t="s">
        <v>33845</v>
      </c>
      <c r="C2228" s="75" t="s">
        <v>230</v>
      </c>
      <c r="D2228" s="81">
        <v>7273.9</v>
      </c>
      <c r="E2228" s="230">
        <v>44855</v>
      </c>
      <c r="F2228" s="81">
        <v>7273.9</v>
      </c>
      <c r="G2228" s="197">
        <f>Tabla111[[#This Row],[Importe]]-Tabla111[[#This Row],[Pagado]]</f>
        <v>0</v>
      </c>
      <c r="H2228" s="75" t="s">
        <v>10</v>
      </c>
    </row>
    <row r="2229" spans="1:8" x14ac:dyDescent="0.25">
      <c r="A2229" s="148">
        <v>44855</v>
      </c>
      <c r="B2229" s="149" t="s">
        <v>33846</v>
      </c>
      <c r="C2229" s="153" t="s">
        <v>214</v>
      </c>
      <c r="D2229" s="154">
        <v>1544.4</v>
      </c>
      <c r="E2229" s="231">
        <v>44855</v>
      </c>
      <c r="F2229" s="154">
        <v>1544.4</v>
      </c>
      <c r="G2229" s="197">
        <f>Tabla111[[#This Row],[Importe]]-Tabla111[[#This Row],[Pagado]]</f>
        <v>0</v>
      </c>
      <c r="H2229" s="153" t="s">
        <v>10</v>
      </c>
    </row>
    <row r="2230" spans="1:8" x14ac:dyDescent="0.25">
      <c r="A2230" s="73">
        <v>44855</v>
      </c>
      <c r="B2230" s="74" t="s">
        <v>33847</v>
      </c>
      <c r="C2230" s="75" t="s">
        <v>37</v>
      </c>
      <c r="D2230" s="81">
        <v>4473.6000000000004</v>
      </c>
      <c r="E2230" s="230">
        <v>44855</v>
      </c>
      <c r="F2230" s="81">
        <v>4473.6000000000004</v>
      </c>
      <c r="G2230" s="197">
        <f>Tabla111[[#This Row],[Importe]]-Tabla111[[#This Row],[Pagado]]</f>
        <v>0</v>
      </c>
      <c r="H2230" s="75" t="s">
        <v>10</v>
      </c>
    </row>
    <row r="2231" spans="1:8" x14ac:dyDescent="0.25">
      <c r="A2231" s="148">
        <v>44855</v>
      </c>
      <c r="B2231" s="149" t="s">
        <v>33848</v>
      </c>
      <c r="C2231" s="153" t="s">
        <v>17431</v>
      </c>
      <c r="D2231" s="154">
        <v>0</v>
      </c>
      <c r="E2231" s="233" t="s">
        <v>189</v>
      </c>
      <c r="F2231" s="154">
        <v>0</v>
      </c>
      <c r="G2231" s="197">
        <f>Tabla111[[#This Row],[Importe]]-Tabla111[[#This Row],[Pagado]]</f>
        <v>0</v>
      </c>
      <c r="H2231" s="153" t="s">
        <v>189</v>
      </c>
    </row>
    <row r="2232" spans="1:8" x14ac:dyDescent="0.25">
      <c r="A2232" s="73">
        <v>44855</v>
      </c>
      <c r="B2232" s="74" t="s">
        <v>33849</v>
      </c>
      <c r="C2232" s="75" t="s">
        <v>216</v>
      </c>
      <c r="D2232" s="81">
        <v>725.4</v>
      </c>
      <c r="E2232" s="230">
        <v>44855</v>
      </c>
      <c r="F2232" s="81">
        <v>725.4</v>
      </c>
      <c r="G2232" s="197">
        <f>Tabla111[[#This Row],[Importe]]-Tabla111[[#This Row],[Pagado]]</f>
        <v>0</v>
      </c>
      <c r="H2232" s="75" t="s">
        <v>10</v>
      </c>
    </row>
    <row r="2233" spans="1:8" x14ac:dyDescent="0.25">
      <c r="A2233" s="148">
        <v>44855</v>
      </c>
      <c r="B2233" s="149" t="s">
        <v>33850</v>
      </c>
      <c r="C2233" s="153" t="s">
        <v>31</v>
      </c>
      <c r="D2233" s="154">
        <v>436.6</v>
      </c>
      <c r="E2233" s="231">
        <v>44855</v>
      </c>
      <c r="F2233" s="154">
        <v>436.6</v>
      </c>
      <c r="G2233" s="197">
        <f>Tabla111[[#This Row],[Importe]]-Tabla111[[#This Row],[Pagado]]</f>
        <v>0</v>
      </c>
      <c r="H2233" s="153" t="s">
        <v>10</v>
      </c>
    </row>
    <row r="2234" spans="1:8" x14ac:dyDescent="0.25">
      <c r="A2234" s="73">
        <v>44855</v>
      </c>
      <c r="B2234" s="74" t="s">
        <v>33851</v>
      </c>
      <c r="C2234" s="75" t="s">
        <v>200</v>
      </c>
      <c r="D2234" s="81">
        <v>3962.4</v>
      </c>
      <c r="E2234" s="230">
        <v>44855</v>
      </c>
      <c r="F2234" s="81">
        <v>3962.4</v>
      </c>
      <c r="G2234" s="197">
        <f>Tabla111[[#This Row],[Importe]]-Tabla111[[#This Row],[Pagado]]</f>
        <v>0</v>
      </c>
      <c r="H2234" s="75" t="s">
        <v>10</v>
      </c>
    </row>
    <row r="2235" spans="1:8" x14ac:dyDescent="0.25">
      <c r="A2235" s="148">
        <v>44855</v>
      </c>
      <c r="B2235" s="149" t="s">
        <v>33852</v>
      </c>
      <c r="C2235" s="153" t="s">
        <v>49</v>
      </c>
      <c r="D2235" s="154">
        <v>4676.1000000000004</v>
      </c>
      <c r="E2235" s="231">
        <v>44855</v>
      </c>
      <c r="F2235" s="154">
        <v>4676.1000000000004</v>
      </c>
      <c r="G2235" s="197">
        <f>Tabla111[[#This Row],[Importe]]-Tabla111[[#This Row],[Pagado]]</f>
        <v>0</v>
      </c>
      <c r="H2235" s="153" t="s">
        <v>10</v>
      </c>
    </row>
    <row r="2236" spans="1:8" x14ac:dyDescent="0.25">
      <c r="A2236" s="73">
        <v>44855</v>
      </c>
      <c r="B2236" s="74" t="s">
        <v>33853</v>
      </c>
      <c r="C2236" s="75" t="s">
        <v>35</v>
      </c>
      <c r="D2236" s="81">
        <v>971.6</v>
      </c>
      <c r="E2236" s="230">
        <v>44855</v>
      </c>
      <c r="F2236" s="81">
        <v>971.6</v>
      </c>
      <c r="G2236" s="197">
        <f>Tabla111[[#This Row],[Importe]]-Tabla111[[#This Row],[Pagado]]</f>
        <v>0</v>
      </c>
      <c r="H2236" s="75" t="s">
        <v>10</v>
      </c>
    </row>
    <row r="2237" spans="1:8" x14ac:dyDescent="0.25">
      <c r="A2237" s="148">
        <v>44855</v>
      </c>
      <c r="B2237" s="149" t="s">
        <v>33854</v>
      </c>
      <c r="C2237" s="153" t="s">
        <v>31</v>
      </c>
      <c r="D2237" s="154">
        <v>2208</v>
      </c>
      <c r="E2237" s="231">
        <v>44855</v>
      </c>
      <c r="F2237" s="154">
        <v>2208</v>
      </c>
      <c r="G2237" s="197">
        <f>Tabla111[[#This Row],[Importe]]-Tabla111[[#This Row],[Pagado]]</f>
        <v>0</v>
      </c>
      <c r="H2237" s="153" t="s">
        <v>10</v>
      </c>
    </row>
    <row r="2238" spans="1:8" x14ac:dyDescent="0.25">
      <c r="A2238" s="73">
        <v>44855</v>
      </c>
      <c r="B2238" s="74" t="s">
        <v>33855</v>
      </c>
      <c r="C2238" s="75" t="s">
        <v>2383</v>
      </c>
      <c r="D2238" s="81">
        <v>1449</v>
      </c>
      <c r="E2238" s="230">
        <v>44855</v>
      </c>
      <c r="F2238" s="81">
        <v>1449</v>
      </c>
      <c r="G2238" s="197">
        <f>Tabla111[[#This Row],[Importe]]-Tabla111[[#This Row],[Pagado]]</f>
        <v>0</v>
      </c>
      <c r="H2238" s="75" t="s">
        <v>10</v>
      </c>
    </row>
    <row r="2239" spans="1:8" x14ac:dyDescent="0.25">
      <c r="A2239" s="148">
        <v>44855</v>
      </c>
      <c r="B2239" s="149" t="s">
        <v>33856</v>
      </c>
      <c r="C2239" s="153" t="s">
        <v>212</v>
      </c>
      <c r="D2239" s="154">
        <v>79311.820000000007</v>
      </c>
      <c r="E2239" s="231">
        <v>44860</v>
      </c>
      <c r="F2239" s="154">
        <v>79311.820000000007</v>
      </c>
      <c r="G2239" s="197">
        <f>Tabla111[[#This Row],[Importe]]-Tabla111[[#This Row],[Pagado]]</f>
        <v>0</v>
      </c>
      <c r="H2239" s="153" t="s">
        <v>10</v>
      </c>
    </row>
    <row r="2240" spans="1:8" x14ac:dyDescent="0.25">
      <c r="A2240" s="73">
        <v>44855</v>
      </c>
      <c r="B2240" s="74" t="s">
        <v>33857</v>
      </c>
      <c r="C2240" s="75" t="s">
        <v>218</v>
      </c>
      <c r="D2240" s="81">
        <v>40440.54</v>
      </c>
      <c r="E2240" s="230">
        <v>44859</v>
      </c>
      <c r="F2240" s="81">
        <v>40440.54</v>
      </c>
      <c r="G2240" s="197">
        <f>Tabla111[[#This Row],[Importe]]-Tabla111[[#This Row],[Pagado]]</f>
        <v>0</v>
      </c>
      <c r="H2240" s="75" t="s">
        <v>10</v>
      </c>
    </row>
    <row r="2241" spans="1:8" x14ac:dyDescent="0.25">
      <c r="A2241" s="148">
        <v>44855</v>
      </c>
      <c r="B2241" s="149" t="s">
        <v>33858</v>
      </c>
      <c r="C2241" s="153" t="s">
        <v>206</v>
      </c>
      <c r="D2241" s="154">
        <v>47894.22</v>
      </c>
      <c r="E2241" s="231">
        <v>44859</v>
      </c>
      <c r="F2241" s="154">
        <v>47894.22</v>
      </c>
      <c r="G2241" s="197">
        <f>Tabla111[[#This Row],[Importe]]-Tabla111[[#This Row],[Pagado]]</f>
        <v>0</v>
      </c>
      <c r="H2241" s="153" t="s">
        <v>10</v>
      </c>
    </row>
    <row r="2242" spans="1:8" x14ac:dyDescent="0.25">
      <c r="A2242" s="73">
        <v>44855</v>
      </c>
      <c r="B2242" s="74" t="s">
        <v>33859</v>
      </c>
      <c r="C2242" s="75" t="s">
        <v>226</v>
      </c>
      <c r="D2242" s="81">
        <v>13864.5</v>
      </c>
      <c r="E2242" s="230">
        <v>44855</v>
      </c>
      <c r="F2242" s="81">
        <v>13864.5</v>
      </c>
      <c r="G2242" s="197">
        <f>Tabla111[[#This Row],[Importe]]-Tabla111[[#This Row],[Pagado]]</f>
        <v>0</v>
      </c>
      <c r="H2242" s="75" t="s">
        <v>10</v>
      </c>
    </row>
    <row r="2243" spans="1:8" x14ac:dyDescent="0.25">
      <c r="A2243" s="148">
        <v>44855</v>
      </c>
      <c r="B2243" s="149" t="s">
        <v>33860</v>
      </c>
      <c r="C2243" s="153" t="s">
        <v>51</v>
      </c>
      <c r="D2243" s="154">
        <v>2541</v>
      </c>
      <c r="E2243" s="231">
        <v>44855</v>
      </c>
      <c r="F2243" s="154">
        <v>2541</v>
      </c>
      <c r="G2243" s="197">
        <f>Tabla111[[#This Row],[Importe]]-Tabla111[[#This Row],[Pagado]]</f>
        <v>0</v>
      </c>
      <c r="H2243" s="153" t="s">
        <v>10</v>
      </c>
    </row>
    <row r="2244" spans="1:8" x14ac:dyDescent="0.25">
      <c r="A2244" s="73">
        <v>44855</v>
      </c>
      <c r="B2244" s="74" t="s">
        <v>33861</v>
      </c>
      <c r="C2244" s="75" t="s">
        <v>24</v>
      </c>
      <c r="D2244" s="81">
        <v>281.39999999999998</v>
      </c>
      <c r="E2244" s="230">
        <v>44855</v>
      </c>
      <c r="F2244" s="81">
        <v>281.39999999999998</v>
      </c>
      <c r="G2244" s="197">
        <f>Tabla111[[#This Row],[Importe]]-Tabla111[[#This Row],[Pagado]]</f>
        <v>0</v>
      </c>
      <c r="H2244" s="75" t="s">
        <v>10</v>
      </c>
    </row>
    <row r="2245" spans="1:8" x14ac:dyDescent="0.25">
      <c r="A2245" s="148">
        <v>44855</v>
      </c>
      <c r="B2245" s="149" t="s">
        <v>33862</v>
      </c>
      <c r="C2245" s="153" t="s">
        <v>24</v>
      </c>
      <c r="D2245" s="154">
        <v>361.2</v>
      </c>
      <c r="E2245" s="231">
        <v>44855</v>
      </c>
      <c r="F2245" s="154">
        <v>361.2</v>
      </c>
      <c r="G2245" s="197">
        <f>Tabla111[[#This Row],[Importe]]-Tabla111[[#This Row],[Pagado]]</f>
        <v>0</v>
      </c>
      <c r="H2245" s="153" t="s">
        <v>10</v>
      </c>
    </row>
    <row r="2246" spans="1:8" x14ac:dyDescent="0.25">
      <c r="A2246" s="73">
        <v>44855</v>
      </c>
      <c r="B2246" s="74" t="s">
        <v>33863</v>
      </c>
      <c r="C2246" s="75" t="s">
        <v>849</v>
      </c>
      <c r="D2246" s="81">
        <v>4615.8</v>
      </c>
      <c r="E2246" s="230">
        <v>44855</v>
      </c>
      <c r="F2246" s="81">
        <v>4615.8</v>
      </c>
      <c r="G2246" s="197">
        <f>Tabla111[[#This Row],[Importe]]-Tabla111[[#This Row],[Pagado]]</f>
        <v>0</v>
      </c>
      <c r="H2246" s="75" t="s">
        <v>10</v>
      </c>
    </row>
    <row r="2247" spans="1:8" x14ac:dyDescent="0.25">
      <c r="A2247" s="148">
        <v>44855</v>
      </c>
      <c r="B2247" s="149" t="s">
        <v>33864</v>
      </c>
      <c r="C2247" s="153" t="s">
        <v>849</v>
      </c>
      <c r="D2247" s="154">
        <v>841.3</v>
      </c>
      <c r="E2247" s="231">
        <v>44855</v>
      </c>
      <c r="F2247" s="154">
        <v>841.3</v>
      </c>
      <c r="G2247" s="197">
        <f>Tabla111[[#This Row],[Importe]]-Tabla111[[#This Row],[Pagado]]</f>
        <v>0</v>
      </c>
      <c r="H2247" s="153" t="s">
        <v>10</v>
      </c>
    </row>
    <row r="2248" spans="1:8" x14ac:dyDescent="0.25">
      <c r="A2248" s="73">
        <v>44855</v>
      </c>
      <c r="B2248" s="74" t="s">
        <v>33865</v>
      </c>
      <c r="C2248" s="75" t="s">
        <v>1265</v>
      </c>
      <c r="D2248" s="81">
        <v>554.4</v>
      </c>
      <c r="E2248" s="230">
        <v>44855</v>
      </c>
      <c r="F2248" s="81">
        <v>554.4</v>
      </c>
      <c r="G2248" s="197">
        <f>Tabla111[[#This Row],[Importe]]-Tabla111[[#This Row],[Pagado]]</f>
        <v>0</v>
      </c>
      <c r="H2248" s="75" t="s">
        <v>10</v>
      </c>
    </row>
    <row r="2249" spans="1:8" x14ac:dyDescent="0.25">
      <c r="A2249" s="148">
        <v>44855</v>
      </c>
      <c r="B2249" s="149" t="s">
        <v>33866</v>
      </c>
      <c r="C2249" s="153" t="s">
        <v>1644</v>
      </c>
      <c r="D2249" s="154">
        <v>14961.4</v>
      </c>
      <c r="E2249" s="231">
        <v>44856</v>
      </c>
      <c r="F2249" s="154">
        <v>14961.4</v>
      </c>
      <c r="G2249" s="197">
        <f>Tabla111[[#This Row],[Importe]]-Tabla111[[#This Row],[Pagado]]</f>
        <v>0</v>
      </c>
      <c r="H2249" s="153" t="s">
        <v>10</v>
      </c>
    </row>
    <row r="2250" spans="1:8" x14ac:dyDescent="0.25">
      <c r="A2250" s="73">
        <v>44855</v>
      </c>
      <c r="B2250" s="74" t="s">
        <v>33867</v>
      </c>
      <c r="C2250" s="75" t="s">
        <v>31</v>
      </c>
      <c r="D2250" s="81">
        <v>3211</v>
      </c>
      <c r="E2250" s="230">
        <v>44855</v>
      </c>
      <c r="F2250" s="81">
        <v>3211</v>
      </c>
      <c r="G2250" s="197">
        <f>Tabla111[[#This Row],[Importe]]-Tabla111[[#This Row],[Pagado]]</f>
        <v>0</v>
      </c>
      <c r="H2250" s="75" t="s">
        <v>10</v>
      </c>
    </row>
    <row r="2251" spans="1:8" x14ac:dyDescent="0.25">
      <c r="A2251" s="148">
        <v>44855</v>
      </c>
      <c r="B2251" s="149" t="s">
        <v>33868</v>
      </c>
      <c r="C2251" s="153" t="s">
        <v>133</v>
      </c>
      <c r="D2251" s="154">
        <v>15981.7</v>
      </c>
      <c r="E2251" s="231">
        <v>44857</v>
      </c>
      <c r="F2251" s="154">
        <v>15981.7</v>
      </c>
      <c r="G2251" s="197">
        <f>Tabla111[[#This Row],[Importe]]-Tabla111[[#This Row],[Pagado]]</f>
        <v>0</v>
      </c>
      <c r="H2251" s="153" t="s">
        <v>10</v>
      </c>
    </row>
    <row r="2252" spans="1:8" x14ac:dyDescent="0.25">
      <c r="A2252" s="73">
        <v>44855</v>
      </c>
      <c r="B2252" s="74" t="s">
        <v>33869</v>
      </c>
      <c r="C2252" s="75" t="s">
        <v>233</v>
      </c>
      <c r="D2252" s="81">
        <v>6762.4</v>
      </c>
      <c r="E2252" s="230">
        <v>44855</v>
      </c>
      <c r="F2252" s="81">
        <v>6762.4</v>
      </c>
      <c r="G2252" s="197">
        <f>Tabla111[[#This Row],[Importe]]-Tabla111[[#This Row],[Pagado]]</f>
        <v>0</v>
      </c>
      <c r="H2252" s="75" t="s">
        <v>10</v>
      </c>
    </row>
    <row r="2253" spans="1:8" x14ac:dyDescent="0.25">
      <c r="A2253" s="148">
        <v>44855</v>
      </c>
      <c r="B2253" s="149" t="s">
        <v>33870</v>
      </c>
      <c r="C2253" s="153" t="s">
        <v>9827</v>
      </c>
      <c r="D2253" s="154">
        <v>4108.5</v>
      </c>
      <c r="E2253" s="231">
        <v>44855</v>
      </c>
      <c r="F2253" s="154">
        <v>4108.5</v>
      </c>
      <c r="G2253" s="197">
        <f>Tabla111[[#This Row],[Importe]]-Tabla111[[#This Row],[Pagado]]</f>
        <v>0</v>
      </c>
      <c r="H2253" s="153" t="s">
        <v>10</v>
      </c>
    </row>
    <row r="2254" spans="1:8" x14ac:dyDescent="0.25">
      <c r="A2254" s="73">
        <v>44855</v>
      </c>
      <c r="B2254" s="74" t="s">
        <v>33871</v>
      </c>
      <c r="C2254" s="75" t="s">
        <v>419</v>
      </c>
      <c r="D2254" s="81">
        <v>6835.4</v>
      </c>
      <c r="E2254" s="230">
        <v>44855</v>
      </c>
      <c r="F2254" s="81">
        <v>6835.4</v>
      </c>
      <c r="G2254" s="197">
        <f>Tabla111[[#This Row],[Importe]]-Tabla111[[#This Row],[Pagado]]</f>
        <v>0</v>
      </c>
      <c r="H2254" s="75" t="s">
        <v>10</v>
      </c>
    </row>
    <row r="2255" spans="1:8" x14ac:dyDescent="0.25">
      <c r="A2255" s="148">
        <v>44855</v>
      </c>
      <c r="B2255" s="149" t="s">
        <v>33872</v>
      </c>
      <c r="C2255" s="153" t="s">
        <v>654</v>
      </c>
      <c r="D2255" s="154">
        <v>1596</v>
      </c>
      <c r="E2255" s="231">
        <v>44855</v>
      </c>
      <c r="F2255" s="154">
        <v>1596</v>
      </c>
      <c r="G2255" s="197">
        <f>Tabla111[[#This Row],[Importe]]-Tabla111[[#This Row],[Pagado]]</f>
        <v>0</v>
      </c>
      <c r="H2255" s="153" t="s">
        <v>10</v>
      </c>
    </row>
    <row r="2256" spans="1:8" x14ac:dyDescent="0.25">
      <c r="A2256" s="73">
        <v>44855</v>
      </c>
      <c r="B2256" s="74" t="s">
        <v>33873</v>
      </c>
      <c r="C2256" s="75" t="s">
        <v>1378</v>
      </c>
      <c r="D2256" s="81">
        <v>95353</v>
      </c>
      <c r="E2256" s="230">
        <v>44856</v>
      </c>
      <c r="F2256" s="81">
        <v>95353</v>
      </c>
      <c r="G2256" s="197">
        <f>Tabla111[[#This Row],[Importe]]-Tabla111[[#This Row],[Pagado]]</f>
        <v>0</v>
      </c>
      <c r="H2256" s="75" t="s">
        <v>10</v>
      </c>
    </row>
    <row r="2257" spans="1:8" x14ac:dyDescent="0.25">
      <c r="A2257" s="148">
        <v>44855</v>
      </c>
      <c r="B2257" s="149" t="s">
        <v>33874</v>
      </c>
      <c r="C2257" s="153" t="s">
        <v>592</v>
      </c>
      <c r="D2257" s="154">
        <v>47549</v>
      </c>
      <c r="E2257" s="231" t="s">
        <v>35009</v>
      </c>
      <c r="F2257" s="154">
        <f>1000</f>
        <v>1000</v>
      </c>
      <c r="G2257" s="197">
        <f>Tabla111[[#This Row],[Importe]]-Tabla111[[#This Row],[Pagado]]</f>
        <v>46549</v>
      </c>
      <c r="H2257" s="153" t="s">
        <v>4814</v>
      </c>
    </row>
    <row r="2258" spans="1:8" x14ac:dyDescent="0.25">
      <c r="A2258" s="73">
        <v>44855</v>
      </c>
      <c r="B2258" s="74" t="s">
        <v>33875</v>
      </c>
      <c r="C2258" s="75" t="s">
        <v>541</v>
      </c>
      <c r="D2258" s="81">
        <v>14428.8</v>
      </c>
      <c r="E2258" s="230">
        <v>44856</v>
      </c>
      <c r="F2258" s="81">
        <v>14428.8</v>
      </c>
      <c r="G2258" s="197">
        <f>Tabla111[[#This Row],[Importe]]-Tabla111[[#This Row],[Pagado]]</f>
        <v>0</v>
      </c>
      <c r="H2258" s="75" t="s">
        <v>10</v>
      </c>
    </row>
    <row r="2259" spans="1:8" x14ac:dyDescent="0.25">
      <c r="A2259" s="148">
        <v>44855</v>
      </c>
      <c r="B2259" s="149" t="s">
        <v>33876</v>
      </c>
      <c r="C2259" s="153" t="s">
        <v>56</v>
      </c>
      <c r="D2259" s="154">
        <v>4165.6000000000004</v>
      </c>
      <c r="E2259" s="231">
        <v>44855</v>
      </c>
      <c r="F2259" s="154">
        <v>4165.6000000000004</v>
      </c>
      <c r="G2259" s="197">
        <f>Tabla111[[#This Row],[Importe]]-Tabla111[[#This Row],[Pagado]]</f>
        <v>0</v>
      </c>
      <c r="H2259" s="153" t="s">
        <v>10</v>
      </c>
    </row>
    <row r="2260" spans="1:8" x14ac:dyDescent="0.25">
      <c r="A2260" s="73">
        <v>44855</v>
      </c>
      <c r="B2260" s="74" t="s">
        <v>33877</v>
      </c>
      <c r="C2260" s="75" t="s">
        <v>244</v>
      </c>
      <c r="D2260" s="81">
        <v>1408</v>
      </c>
      <c r="E2260" s="230">
        <v>44855</v>
      </c>
      <c r="F2260" s="81">
        <v>1408</v>
      </c>
      <c r="G2260" s="197">
        <f>Tabla111[[#This Row],[Importe]]-Tabla111[[#This Row],[Pagado]]</f>
        <v>0</v>
      </c>
      <c r="H2260" s="75" t="s">
        <v>10</v>
      </c>
    </row>
    <row r="2261" spans="1:8" x14ac:dyDescent="0.25">
      <c r="A2261" s="148">
        <v>44855</v>
      </c>
      <c r="B2261" s="149" t="s">
        <v>33878</v>
      </c>
      <c r="C2261" s="153" t="s">
        <v>296</v>
      </c>
      <c r="D2261" s="154">
        <v>1152</v>
      </c>
      <c r="E2261" s="231">
        <v>44855</v>
      </c>
      <c r="F2261" s="154">
        <v>1152</v>
      </c>
      <c r="G2261" s="197">
        <f>Tabla111[[#This Row],[Importe]]-Tabla111[[#This Row],[Pagado]]</f>
        <v>0</v>
      </c>
      <c r="H2261" s="153" t="s">
        <v>10</v>
      </c>
    </row>
    <row r="2262" spans="1:8" x14ac:dyDescent="0.25">
      <c r="A2262" s="73">
        <v>44855</v>
      </c>
      <c r="B2262" s="74" t="s">
        <v>33879</v>
      </c>
      <c r="C2262" s="75" t="s">
        <v>9993</v>
      </c>
      <c r="D2262" s="81">
        <v>54000.25</v>
      </c>
      <c r="E2262" s="230">
        <v>44855</v>
      </c>
      <c r="F2262" s="81">
        <v>54000.25</v>
      </c>
      <c r="G2262" s="197">
        <f>Tabla111[[#This Row],[Importe]]-Tabla111[[#This Row],[Pagado]]</f>
        <v>0</v>
      </c>
      <c r="H2262" s="75" t="s">
        <v>10</v>
      </c>
    </row>
    <row r="2263" spans="1:8" x14ac:dyDescent="0.25">
      <c r="A2263" s="148">
        <v>44855</v>
      </c>
      <c r="B2263" s="149" t="s">
        <v>33880</v>
      </c>
      <c r="C2263" s="153" t="s">
        <v>142</v>
      </c>
      <c r="D2263" s="154">
        <v>89839.6</v>
      </c>
      <c r="E2263" s="231" t="s">
        <v>4813</v>
      </c>
      <c r="F2263" s="154">
        <v>0</v>
      </c>
      <c r="G2263" s="197">
        <f>Tabla111[[#This Row],[Importe]]-Tabla111[[#This Row],[Pagado]]</f>
        <v>89839.6</v>
      </c>
      <c r="H2263" s="153" t="s">
        <v>4814</v>
      </c>
    </row>
    <row r="2264" spans="1:8" x14ac:dyDescent="0.25">
      <c r="A2264" s="73">
        <v>44855</v>
      </c>
      <c r="B2264" s="74" t="s">
        <v>33881</v>
      </c>
      <c r="C2264" s="75" t="s">
        <v>67</v>
      </c>
      <c r="D2264" s="81">
        <v>7980.7</v>
      </c>
      <c r="E2264" s="230">
        <v>44855</v>
      </c>
      <c r="F2264" s="81">
        <v>7980.7</v>
      </c>
      <c r="G2264" s="197">
        <f>Tabla111[[#This Row],[Importe]]-Tabla111[[#This Row],[Pagado]]</f>
        <v>0</v>
      </c>
      <c r="H2264" s="75" t="s">
        <v>10</v>
      </c>
    </row>
    <row r="2265" spans="1:8" x14ac:dyDescent="0.25">
      <c r="A2265" s="148">
        <v>44855</v>
      </c>
      <c r="B2265" s="149" t="s">
        <v>33882</v>
      </c>
      <c r="C2265" s="153" t="s">
        <v>9993</v>
      </c>
      <c r="D2265" s="154">
        <v>427</v>
      </c>
      <c r="E2265" s="231">
        <v>44855</v>
      </c>
      <c r="F2265" s="154">
        <v>427</v>
      </c>
      <c r="G2265" s="197">
        <f>Tabla111[[#This Row],[Importe]]-Tabla111[[#This Row],[Pagado]]</f>
        <v>0</v>
      </c>
      <c r="H2265" s="153" t="s">
        <v>10</v>
      </c>
    </row>
    <row r="2266" spans="1:8" x14ac:dyDescent="0.25">
      <c r="A2266" s="73">
        <v>44855</v>
      </c>
      <c r="B2266" s="74" t="s">
        <v>33883</v>
      </c>
      <c r="C2266" s="75" t="s">
        <v>31</v>
      </c>
      <c r="D2266" s="81">
        <v>772.2</v>
      </c>
      <c r="E2266" s="230">
        <v>44855</v>
      </c>
      <c r="F2266" s="81">
        <v>772.2</v>
      </c>
      <c r="G2266" s="197">
        <f>Tabla111[[#This Row],[Importe]]-Tabla111[[#This Row],[Pagado]]</f>
        <v>0</v>
      </c>
      <c r="H2266" s="75" t="s">
        <v>10</v>
      </c>
    </row>
    <row r="2267" spans="1:8" x14ac:dyDescent="0.25">
      <c r="A2267" s="148">
        <v>44855</v>
      </c>
      <c r="B2267" s="149" t="s">
        <v>33884</v>
      </c>
      <c r="C2267" s="153" t="s">
        <v>31</v>
      </c>
      <c r="D2267" s="154">
        <v>1048</v>
      </c>
      <c r="E2267" s="231">
        <v>44855</v>
      </c>
      <c r="F2267" s="154">
        <v>1048</v>
      </c>
      <c r="G2267" s="197">
        <f>Tabla111[[#This Row],[Importe]]-Tabla111[[#This Row],[Pagado]]</f>
        <v>0</v>
      </c>
      <c r="H2267" s="153" t="s">
        <v>10</v>
      </c>
    </row>
    <row r="2268" spans="1:8" x14ac:dyDescent="0.25">
      <c r="A2268" s="73">
        <v>44855</v>
      </c>
      <c r="B2268" s="74" t="s">
        <v>33885</v>
      </c>
      <c r="C2268" s="75" t="s">
        <v>146</v>
      </c>
      <c r="D2268" s="81">
        <v>8905.2000000000007</v>
      </c>
      <c r="E2268" s="230">
        <v>44855</v>
      </c>
      <c r="F2268" s="81">
        <v>8905.2000000000007</v>
      </c>
      <c r="G2268" s="197">
        <f>Tabla111[[#This Row],[Importe]]-Tabla111[[#This Row],[Pagado]]</f>
        <v>0</v>
      </c>
      <c r="H2268" s="75" t="s">
        <v>10</v>
      </c>
    </row>
    <row r="2269" spans="1:8" x14ac:dyDescent="0.25">
      <c r="A2269" s="148">
        <v>44855</v>
      </c>
      <c r="B2269" s="149" t="s">
        <v>33886</v>
      </c>
      <c r="C2269" s="153" t="s">
        <v>107</v>
      </c>
      <c r="D2269" s="154">
        <v>10902.9</v>
      </c>
      <c r="E2269" s="231">
        <v>44855</v>
      </c>
      <c r="F2269" s="154">
        <v>10902.9</v>
      </c>
      <c r="G2269" s="197">
        <f>Tabla111[[#This Row],[Importe]]-Tabla111[[#This Row],[Pagado]]</f>
        <v>0</v>
      </c>
      <c r="H2269" s="153" t="s">
        <v>10</v>
      </c>
    </row>
    <row r="2270" spans="1:8" x14ac:dyDescent="0.25">
      <c r="A2270" s="73">
        <v>44855</v>
      </c>
      <c r="B2270" s="74" t="s">
        <v>33887</v>
      </c>
      <c r="C2270" s="75" t="s">
        <v>664</v>
      </c>
      <c r="D2270" s="81">
        <v>3907.8</v>
      </c>
      <c r="E2270" s="230">
        <v>44855</v>
      </c>
      <c r="F2270" s="81">
        <v>3907.8</v>
      </c>
      <c r="G2270" s="197">
        <f>Tabla111[[#This Row],[Importe]]-Tabla111[[#This Row],[Pagado]]</f>
        <v>0</v>
      </c>
      <c r="H2270" s="75" t="s">
        <v>10</v>
      </c>
    </row>
    <row r="2271" spans="1:8" x14ac:dyDescent="0.25">
      <c r="A2271" s="148">
        <v>44855</v>
      </c>
      <c r="B2271" s="149" t="s">
        <v>33888</v>
      </c>
      <c r="C2271" s="153" t="s">
        <v>450</v>
      </c>
      <c r="D2271" s="154">
        <v>938.7</v>
      </c>
      <c r="E2271" s="231">
        <v>44855</v>
      </c>
      <c r="F2271" s="154">
        <v>938.7</v>
      </c>
      <c r="G2271" s="197">
        <f>Tabla111[[#This Row],[Importe]]-Tabla111[[#This Row],[Pagado]]</f>
        <v>0</v>
      </c>
      <c r="H2271" s="153" t="s">
        <v>10</v>
      </c>
    </row>
    <row r="2272" spans="1:8" x14ac:dyDescent="0.25">
      <c r="A2272" s="73">
        <v>44855</v>
      </c>
      <c r="B2272" s="74" t="s">
        <v>33889</v>
      </c>
      <c r="C2272" s="75" t="s">
        <v>409</v>
      </c>
      <c r="D2272" s="81">
        <v>3824.4</v>
      </c>
      <c r="E2272" s="230">
        <v>44859</v>
      </c>
      <c r="F2272" s="81">
        <v>3824.4</v>
      </c>
      <c r="G2272" s="197">
        <f>Tabla111[[#This Row],[Importe]]-Tabla111[[#This Row],[Pagado]]</f>
        <v>0</v>
      </c>
      <c r="H2272" s="75" t="s">
        <v>10</v>
      </c>
    </row>
    <row r="2273" spans="1:8" x14ac:dyDescent="0.25">
      <c r="A2273" s="148">
        <v>44855</v>
      </c>
      <c r="B2273" s="149" t="s">
        <v>33890</v>
      </c>
      <c r="C2273" s="153" t="s">
        <v>33891</v>
      </c>
      <c r="D2273" s="154">
        <v>0</v>
      </c>
      <c r="E2273" s="233" t="s">
        <v>189</v>
      </c>
      <c r="F2273" s="154">
        <v>0</v>
      </c>
      <c r="G2273" s="197">
        <f>Tabla111[[#This Row],[Importe]]-Tabla111[[#This Row],[Pagado]]</f>
        <v>0</v>
      </c>
      <c r="H2273" s="153" t="s">
        <v>189</v>
      </c>
    </row>
    <row r="2274" spans="1:8" x14ac:dyDescent="0.25">
      <c r="A2274" s="73">
        <v>44855</v>
      </c>
      <c r="B2274" s="74" t="s">
        <v>33892</v>
      </c>
      <c r="C2274" s="75" t="s">
        <v>10678</v>
      </c>
      <c r="D2274" s="81">
        <v>3153.1</v>
      </c>
      <c r="E2274" s="230">
        <v>44855</v>
      </c>
      <c r="F2274" s="81">
        <v>3153.1</v>
      </c>
      <c r="G2274" s="197">
        <f>Tabla111[[#This Row],[Importe]]-Tabla111[[#This Row],[Pagado]]</f>
        <v>0</v>
      </c>
      <c r="H2274" s="75" t="s">
        <v>10</v>
      </c>
    </row>
    <row r="2275" spans="1:8" x14ac:dyDescent="0.25">
      <c r="A2275" s="148">
        <v>44855</v>
      </c>
      <c r="B2275" s="149" t="s">
        <v>33893</v>
      </c>
      <c r="C2275" s="153" t="s">
        <v>296</v>
      </c>
      <c r="D2275" s="154">
        <v>3104.7</v>
      </c>
      <c r="E2275" s="231">
        <v>44855</v>
      </c>
      <c r="F2275" s="154">
        <v>3104.7</v>
      </c>
      <c r="G2275" s="197">
        <f>Tabla111[[#This Row],[Importe]]-Tabla111[[#This Row],[Pagado]]</f>
        <v>0</v>
      </c>
      <c r="H2275" s="153" t="s">
        <v>10</v>
      </c>
    </row>
    <row r="2276" spans="1:8" x14ac:dyDescent="0.25">
      <c r="A2276" s="73">
        <v>44855</v>
      </c>
      <c r="B2276" s="74" t="s">
        <v>33894</v>
      </c>
      <c r="C2276" s="75" t="s">
        <v>296</v>
      </c>
      <c r="D2276" s="81">
        <v>10</v>
      </c>
      <c r="E2276" s="230">
        <v>44855</v>
      </c>
      <c r="F2276" s="81">
        <v>10</v>
      </c>
      <c r="G2276" s="197">
        <f>Tabla111[[#This Row],[Importe]]-Tabla111[[#This Row],[Pagado]]</f>
        <v>0</v>
      </c>
      <c r="H2276" s="75" t="s">
        <v>10</v>
      </c>
    </row>
    <row r="2277" spans="1:8" x14ac:dyDescent="0.25">
      <c r="A2277" s="148">
        <v>44855</v>
      </c>
      <c r="B2277" s="149" t="s">
        <v>33895</v>
      </c>
      <c r="C2277" s="153" t="s">
        <v>31323</v>
      </c>
      <c r="D2277" s="154">
        <v>7192</v>
      </c>
      <c r="E2277" s="231">
        <v>44855</v>
      </c>
      <c r="F2277" s="154">
        <v>7192</v>
      </c>
      <c r="G2277" s="197">
        <f>Tabla111[[#This Row],[Importe]]-Tabla111[[#This Row],[Pagado]]</f>
        <v>0</v>
      </c>
      <c r="H2277" s="153" t="s">
        <v>10</v>
      </c>
    </row>
    <row r="2278" spans="1:8" x14ac:dyDescent="0.25">
      <c r="A2278" s="73">
        <v>44855</v>
      </c>
      <c r="B2278" s="74" t="s">
        <v>33896</v>
      </c>
      <c r="C2278" s="75" t="s">
        <v>31</v>
      </c>
      <c r="D2278" s="81">
        <v>3995</v>
      </c>
      <c r="E2278" s="230">
        <v>44855</v>
      </c>
      <c r="F2278" s="81">
        <v>3995</v>
      </c>
      <c r="G2278" s="197">
        <f>Tabla111[[#This Row],[Importe]]-Tabla111[[#This Row],[Pagado]]</f>
        <v>0</v>
      </c>
      <c r="H2278" s="75" t="s">
        <v>10</v>
      </c>
    </row>
    <row r="2279" spans="1:8" x14ac:dyDescent="0.25">
      <c r="A2279" s="148">
        <v>44855</v>
      </c>
      <c r="B2279" s="149" t="s">
        <v>33897</v>
      </c>
      <c r="C2279" s="153" t="s">
        <v>857</v>
      </c>
      <c r="D2279" s="154">
        <v>625.79999999999995</v>
      </c>
      <c r="E2279" s="231">
        <v>44855</v>
      </c>
      <c r="F2279" s="154">
        <v>625.79999999999995</v>
      </c>
      <c r="G2279" s="197">
        <f>Tabla111[[#This Row],[Importe]]-Tabla111[[#This Row],[Pagado]]</f>
        <v>0</v>
      </c>
      <c r="H2279" s="153" t="s">
        <v>10</v>
      </c>
    </row>
    <row r="2280" spans="1:8" x14ac:dyDescent="0.25">
      <c r="A2280" s="73">
        <v>44855</v>
      </c>
      <c r="B2280" s="74" t="s">
        <v>33898</v>
      </c>
      <c r="C2280" s="75" t="s">
        <v>2377</v>
      </c>
      <c r="D2280" s="81">
        <v>24700.14</v>
      </c>
      <c r="E2280" s="230">
        <v>44855</v>
      </c>
      <c r="F2280" s="81">
        <v>24700.14</v>
      </c>
      <c r="G2280" s="197">
        <f>Tabla111[[#This Row],[Importe]]-Tabla111[[#This Row],[Pagado]]</f>
        <v>0</v>
      </c>
      <c r="H2280" s="75" t="s">
        <v>10</v>
      </c>
    </row>
    <row r="2281" spans="1:8" x14ac:dyDescent="0.25">
      <c r="A2281" s="148">
        <v>44855</v>
      </c>
      <c r="B2281" s="149" t="s">
        <v>33899</v>
      </c>
      <c r="C2281" s="153" t="s">
        <v>421</v>
      </c>
      <c r="D2281" s="154">
        <v>1951.6</v>
      </c>
      <c r="E2281" s="231">
        <v>44855</v>
      </c>
      <c r="F2281" s="154">
        <v>1951.6</v>
      </c>
      <c r="G2281" s="197">
        <f>Tabla111[[#This Row],[Importe]]-Tabla111[[#This Row],[Pagado]]</f>
        <v>0</v>
      </c>
      <c r="H2281" s="153" t="s">
        <v>10</v>
      </c>
    </row>
    <row r="2282" spans="1:8" x14ac:dyDescent="0.25">
      <c r="A2282" s="73">
        <v>44855</v>
      </c>
      <c r="B2282" s="74" t="s">
        <v>33900</v>
      </c>
      <c r="C2282" s="75" t="s">
        <v>5345</v>
      </c>
      <c r="D2282" s="81">
        <v>2964</v>
      </c>
      <c r="E2282" s="230">
        <v>44856</v>
      </c>
      <c r="F2282" s="81">
        <v>2964</v>
      </c>
      <c r="G2282" s="197">
        <f>Tabla111[[#This Row],[Importe]]-Tabla111[[#This Row],[Pagado]]</f>
        <v>0</v>
      </c>
      <c r="H2282" s="75" t="s">
        <v>10</v>
      </c>
    </row>
    <row r="2283" spans="1:8" x14ac:dyDescent="0.25">
      <c r="A2283" s="148">
        <v>44855</v>
      </c>
      <c r="B2283" s="149" t="s">
        <v>33901</v>
      </c>
      <c r="C2283" s="153" t="s">
        <v>284</v>
      </c>
      <c r="D2283" s="154">
        <v>9516</v>
      </c>
      <c r="E2283" s="231">
        <v>44856</v>
      </c>
      <c r="F2283" s="154">
        <v>9516</v>
      </c>
      <c r="G2283" s="197">
        <f>Tabla111[[#This Row],[Importe]]-Tabla111[[#This Row],[Pagado]]</f>
        <v>0</v>
      </c>
      <c r="H2283" s="153" t="s">
        <v>10</v>
      </c>
    </row>
    <row r="2284" spans="1:8" x14ac:dyDescent="0.25">
      <c r="A2284" s="73">
        <v>44855</v>
      </c>
      <c r="B2284" s="74" t="s">
        <v>33902</v>
      </c>
      <c r="C2284" s="75" t="s">
        <v>10819</v>
      </c>
      <c r="D2284" s="81">
        <v>1341.6</v>
      </c>
      <c r="E2284" s="230">
        <v>44856</v>
      </c>
      <c r="F2284" s="81">
        <v>1341.6</v>
      </c>
      <c r="G2284" s="197">
        <f>Tabla111[[#This Row],[Importe]]-Tabla111[[#This Row],[Pagado]]</f>
        <v>0</v>
      </c>
      <c r="H2284" s="75" t="s">
        <v>10</v>
      </c>
    </row>
    <row r="2285" spans="1:8" x14ac:dyDescent="0.25">
      <c r="A2285" s="148">
        <v>44855</v>
      </c>
      <c r="B2285" s="149" t="s">
        <v>33903</v>
      </c>
      <c r="C2285" s="153" t="s">
        <v>280</v>
      </c>
      <c r="D2285" s="154">
        <v>1349.4</v>
      </c>
      <c r="E2285" s="231">
        <v>44856</v>
      </c>
      <c r="F2285" s="154">
        <v>1349.4</v>
      </c>
      <c r="G2285" s="197">
        <f>Tabla111[[#This Row],[Importe]]-Tabla111[[#This Row],[Pagado]]</f>
        <v>0</v>
      </c>
      <c r="H2285" s="153" t="s">
        <v>10</v>
      </c>
    </row>
    <row r="2286" spans="1:8" x14ac:dyDescent="0.25">
      <c r="A2286" s="73">
        <v>44855</v>
      </c>
      <c r="B2286" s="74" t="s">
        <v>33904</v>
      </c>
      <c r="C2286" s="75" t="s">
        <v>282</v>
      </c>
      <c r="D2286" s="81">
        <v>2269.8000000000002</v>
      </c>
      <c r="E2286" s="230">
        <v>44856</v>
      </c>
      <c r="F2286" s="81">
        <v>2269.8000000000002</v>
      </c>
      <c r="G2286" s="197">
        <f>Tabla111[[#This Row],[Importe]]-Tabla111[[#This Row],[Pagado]]</f>
        <v>0</v>
      </c>
      <c r="H2286" s="75" t="s">
        <v>10</v>
      </c>
    </row>
    <row r="2287" spans="1:8" x14ac:dyDescent="0.25">
      <c r="A2287" s="148">
        <v>44855</v>
      </c>
      <c r="B2287" s="149" t="s">
        <v>33905</v>
      </c>
      <c r="C2287" s="153" t="s">
        <v>33906</v>
      </c>
      <c r="D2287" s="154">
        <v>2510</v>
      </c>
      <c r="E2287" s="231" t="s">
        <v>4813</v>
      </c>
      <c r="F2287" s="154">
        <v>0</v>
      </c>
      <c r="G2287" s="197">
        <f>Tabla111[[#This Row],[Importe]]-Tabla111[[#This Row],[Pagado]]</f>
        <v>2510</v>
      </c>
      <c r="H2287" s="153" t="s">
        <v>4814</v>
      </c>
    </row>
    <row r="2288" spans="1:8" x14ac:dyDescent="0.25">
      <c r="A2288" s="73">
        <v>44855</v>
      </c>
      <c r="B2288" s="74" t="s">
        <v>33907</v>
      </c>
      <c r="C2288" s="75" t="s">
        <v>31</v>
      </c>
      <c r="D2288" s="81">
        <v>4528.5</v>
      </c>
      <c r="E2288" s="230">
        <v>44855</v>
      </c>
      <c r="F2288" s="81">
        <v>4528.5</v>
      </c>
      <c r="G2288" s="197">
        <f>Tabla111[[#This Row],[Importe]]-Tabla111[[#This Row],[Pagado]]</f>
        <v>0</v>
      </c>
      <c r="H2288" s="75" t="s">
        <v>10</v>
      </c>
    </row>
    <row r="2289" spans="1:8" x14ac:dyDescent="0.25">
      <c r="A2289" s="148">
        <v>44855</v>
      </c>
      <c r="B2289" s="149" t="s">
        <v>33908</v>
      </c>
      <c r="C2289" s="153" t="s">
        <v>5694</v>
      </c>
      <c r="D2289" s="154">
        <v>2796.5</v>
      </c>
      <c r="E2289" s="231">
        <v>44855</v>
      </c>
      <c r="F2289" s="154">
        <v>2796.5</v>
      </c>
      <c r="G2289" s="197">
        <f>Tabla111[[#This Row],[Importe]]-Tabla111[[#This Row],[Pagado]]</f>
        <v>0</v>
      </c>
      <c r="H2289" s="153" t="s">
        <v>10</v>
      </c>
    </row>
    <row r="2290" spans="1:8" x14ac:dyDescent="0.25">
      <c r="A2290" s="73">
        <v>44855</v>
      </c>
      <c r="B2290" s="74" t="s">
        <v>33909</v>
      </c>
      <c r="C2290" s="75" t="s">
        <v>224</v>
      </c>
      <c r="D2290" s="81">
        <v>2093.8000000000002</v>
      </c>
      <c r="E2290" s="230">
        <v>44855</v>
      </c>
      <c r="F2290" s="81">
        <v>2093.8000000000002</v>
      </c>
      <c r="G2290" s="197">
        <f>Tabla111[[#This Row],[Importe]]-Tabla111[[#This Row],[Pagado]]</f>
        <v>0</v>
      </c>
      <c r="H2290" s="75" t="s">
        <v>10</v>
      </c>
    </row>
    <row r="2291" spans="1:8" x14ac:dyDescent="0.25">
      <c r="A2291" s="148">
        <v>44856</v>
      </c>
      <c r="B2291" s="149" t="s">
        <v>33910</v>
      </c>
      <c r="C2291" s="153" t="s">
        <v>887</v>
      </c>
      <c r="D2291" s="154">
        <v>28186.9</v>
      </c>
      <c r="E2291" s="231">
        <v>44856</v>
      </c>
      <c r="F2291" s="154">
        <v>28186.9</v>
      </c>
      <c r="G2291" s="197">
        <f>Tabla111[[#This Row],[Importe]]-Tabla111[[#This Row],[Pagado]]</f>
        <v>0</v>
      </c>
      <c r="H2291" s="153" t="s">
        <v>10</v>
      </c>
    </row>
    <row r="2292" spans="1:8" x14ac:dyDescent="0.25">
      <c r="A2292" s="73">
        <v>44856</v>
      </c>
      <c r="B2292" s="74" t="s">
        <v>33911</v>
      </c>
      <c r="C2292" s="75" t="s">
        <v>12</v>
      </c>
      <c r="D2292" s="81">
        <v>35672.699999999997</v>
      </c>
      <c r="E2292" s="230">
        <v>44856</v>
      </c>
      <c r="F2292" s="81">
        <v>35672.699999999997</v>
      </c>
      <c r="G2292" s="197">
        <f>Tabla111[[#This Row],[Importe]]-Tabla111[[#This Row],[Pagado]]</f>
        <v>0</v>
      </c>
      <c r="H2292" s="75" t="s">
        <v>10</v>
      </c>
    </row>
    <row r="2293" spans="1:8" x14ac:dyDescent="0.25">
      <c r="A2293" s="148">
        <v>44856</v>
      </c>
      <c r="B2293" s="149" t="s">
        <v>33912</v>
      </c>
      <c r="C2293" s="153" t="s">
        <v>475</v>
      </c>
      <c r="D2293" s="154">
        <v>110771.1</v>
      </c>
      <c r="E2293" s="231" t="s">
        <v>33913</v>
      </c>
      <c r="F2293" s="154">
        <f>92000+7000+11771.1</f>
        <v>110771.1</v>
      </c>
      <c r="G2293" s="197">
        <f>Tabla111[[#This Row],[Importe]]-Tabla111[[#This Row],[Pagado]]</f>
        <v>0</v>
      </c>
      <c r="H2293" s="153" t="s">
        <v>10</v>
      </c>
    </row>
    <row r="2294" spans="1:8" x14ac:dyDescent="0.25">
      <c r="A2294" s="73">
        <v>44856</v>
      </c>
      <c r="B2294" s="74" t="s">
        <v>33914</v>
      </c>
      <c r="C2294" s="75" t="s">
        <v>24768</v>
      </c>
      <c r="D2294" s="81">
        <v>4630.8</v>
      </c>
      <c r="E2294" s="230">
        <v>44856</v>
      </c>
      <c r="F2294" s="81">
        <v>4630.8</v>
      </c>
      <c r="G2294" s="197">
        <f>Tabla111[[#This Row],[Importe]]-Tabla111[[#This Row],[Pagado]]</f>
        <v>0</v>
      </c>
      <c r="H2294" s="75" t="s">
        <v>10</v>
      </c>
    </row>
    <row r="2295" spans="1:8" x14ac:dyDescent="0.25">
      <c r="A2295" s="148">
        <v>44856</v>
      </c>
      <c r="B2295" s="149" t="s">
        <v>33915</v>
      </c>
      <c r="C2295" s="153" t="s">
        <v>5043</v>
      </c>
      <c r="D2295" s="154">
        <v>11202.4</v>
      </c>
      <c r="E2295" s="231">
        <v>44858</v>
      </c>
      <c r="F2295" s="154">
        <v>11202.4</v>
      </c>
      <c r="G2295" s="197">
        <f>Tabla111[[#This Row],[Importe]]-Tabla111[[#This Row],[Pagado]]</f>
        <v>0</v>
      </c>
      <c r="H2295" s="153" t="s">
        <v>10</v>
      </c>
    </row>
    <row r="2296" spans="1:8" x14ac:dyDescent="0.25">
      <c r="A2296" s="73">
        <v>44856</v>
      </c>
      <c r="B2296" s="74" t="s">
        <v>33916</v>
      </c>
      <c r="C2296" s="75" t="s">
        <v>2151</v>
      </c>
      <c r="D2296" s="81">
        <v>47738.7</v>
      </c>
      <c r="E2296" s="230">
        <v>44856</v>
      </c>
      <c r="F2296" s="81">
        <v>47738.7</v>
      </c>
      <c r="G2296" s="197">
        <f>Tabla111[[#This Row],[Importe]]-Tabla111[[#This Row],[Pagado]]</f>
        <v>0</v>
      </c>
      <c r="H2296" s="75" t="s">
        <v>10</v>
      </c>
    </row>
    <row r="2297" spans="1:8" x14ac:dyDescent="0.25">
      <c r="A2297" s="148">
        <v>44856</v>
      </c>
      <c r="B2297" s="149" t="s">
        <v>33917</v>
      </c>
      <c r="C2297" s="153" t="s">
        <v>518</v>
      </c>
      <c r="D2297" s="154">
        <v>1295.5999999999999</v>
      </c>
      <c r="E2297" s="231">
        <v>44856</v>
      </c>
      <c r="F2297" s="154">
        <v>1295.5999999999999</v>
      </c>
      <c r="G2297" s="197">
        <f>Tabla111[[#This Row],[Importe]]-Tabla111[[#This Row],[Pagado]]</f>
        <v>0</v>
      </c>
      <c r="H2297" s="153" t="s">
        <v>10</v>
      </c>
    </row>
    <row r="2298" spans="1:8" x14ac:dyDescent="0.25">
      <c r="A2298" s="73">
        <v>44856</v>
      </c>
      <c r="B2298" s="74" t="s">
        <v>33918</v>
      </c>
      <c r="C2298" s="75" t="s">
        <v>345</v>
      </c>
      <c r="D2298" s="81">
        <v>2963.3</v>
      </c>
      <c r="E2298" s="230">
        <v>44856</v>
      </c>
      <c r="F2298" s="81">
        <v>2963.3</v>
      </c>
      <c r="G2298" s="197">
        <f>Tabla111[[#This Row],[Importe]]-Tabla111[[#This Row],[Pagado]]</f>
        <v>0</v>
      </c>
      <c r="H2298" s="75" t="s">
        <v>10</v>
      </c>
    </row>
    <row r="2299" spans="1:8" x14ac:dyDescent="0.25">
      <c r="A2299" s="148">
        <v>44856</v>
      </c>
      <c r="B2299" s="149" t="s">
        <v>33919</v>
      </c>
      <c r="C2299" s="153" t="s">
        <v>10586</v>
      </c>
      <c r="D2299" s="154">
        <v>5850</v>
      </c>
      <c r="E2299" s="231" t="s">
        <v>33920</v>
      </c>
      <c r="F2299" s="154">
        <f>3000+2850</f>
        <v>5850</v>
      </c>
      <c r="G2299" s="197">
        <f>Tabla111[[#This Row],[Importe]]-Tabla111[[#This Row],[Pagado]]</f>
        <v>0</v>
      </c>
      <c r="H2299" s="153" t="s">
        <v>10</v>
      </c>
    </row>
    <row r="2300" spans="1:8" x14ac:dyDescent="0.25">
      <c r="A2300" s="73">
        <v>44856</v>
      </c>
      <c r="B2300" s="74" t="s">
        <v>33921</v>
      </c>
      <c r="C2300" s="75" t="s">
        <v>60</v>
      </c>
      <c r="D2300" s="81">
        <v>5414.5</v>
      </c>
      <c r="E2300" s="230">
        <v>44858</v>
      </c>
      <c r="F2300" s="81">
        <v>5414.5</v>
      </c>
      <c r="G2300" s="197">
        <f>Tabla111[[#This Row],[Importe]]-Tabla111[[#This Row],[Pagado]]</f>
        <v>0</v>
      </c>
      <c r="H2300" s="75" t="s">
        <v>10</v>
      </c>
    </row>
    <row r="2301" spans="1:8" x14ac:dyDescent="0.25">
      <c r="A2301" s="148">
        <v>44856</v>
      </c>
      <c r="B2301" s="149" t="s">
        <v>33922</v>
      </c>
      <c r="C2301" s="153" t="s">
        <v>18</v>
      </c>
      <c r="D2301" s="154">
        <v>2355.6</v>
      </c>
      <c r="E2301" s="231">
        <v>44856</v>
      </c>
      <c r="F2301" s="154">
        <v>2355.6</v>
      </c>
      <c r="G2301" s="197">
        <f>Tabla111[[#This Row],[Importe]]-Tabla111[[#This Row],[Pagado]]</f>
        <v>0</v>
      </c>
      <c r="H2301" s="153" t="s">
        <v>10</v>
      </c>
    </row>
    <row r="2302" spans="1:8" x14ac:dyDescent="0.25">
      <c r="A2302" s="73">
        <v>44856</v>
      </c>
      <c r="B2302" s="74" t="s">
        <v>33923</v>
      </c>
      <c r="C2302" s="75" t="s">
        <v>75</v>
      </c>
      <c r="D2302" s="81">
        <v>14079</v>
      </c>
      <c r="E2302" s="230">
        <v>44856</v>
      </c>
      <c r="F2302" s="81">
        <v>14079</v>
      </c>
      <c r="G2302" s="197">
        <f>Tabla111[[#This Row],[Importe]]-Tabla111[[#This Row],[Pagado]]</f>
        <v>0</v>
      </c>
      <c r="H2302" s="75" t="s">
        <v>10</v>
      </c>
    </row>
    <row r="2303" spans="1:8" x14ac:dyDescent="0.25">
      <c r="A2303" s="148">
        <v>44856</v>
      </c>
      <c r="B2303" s="149" t="s">
        <v>33924</v>
      </c>
      <c r="C2303" s="153" t="s">
        <v>481</v>
      </c>
      <c r="D2303" s="154">
        <v>1473.5</v>
      </c>
      <c r="E2303" s="231">
        <v>44856</v>
      </c>
      <c r="F2303" s="154">
        <v>1473.5</v>
      </c>
      <c r="G2303" s="197">
        <f>Tabla111[[#This Row],[Importe]]-Tabla111[[#This Row],[Pagado]]</f>
        <v>0</v>
      </c>
      <c r="H2303" s="153" t="s">
        <v>10</v>
      </c>
    </row>
    <row r="2304" spans="1:8" x14ac:dyDescent="0.25">
      <c r="A2304" s="73">
        <v>44856</v>
      </c>
      <c r="B2304" s="74" t="s">
        <v>33925</v>
      </c>
      <c r="C2304" s="75" t="s">
        <v>16</v>
      </c>
      <c r="D2304" s="81">
        <v>7353.4</v>
      </c>
      <c r="E2304" s="230">
        <v>44856</v>
      </c>
      <c r="F2304" s="81">
        <v>7353.4</v>
      </c>
      <c r="G2304" s="197">
        <f>Tabla111[[#This Row],[Importe]]-Tabla111[[#This Row],[Pagado]]</f>
        <v>0</v>
      </c>
      <c r="H2304" s="75" t="s">
        <v>10</v>
      </c>
    </row>
    <row r="2305" spans="1:8" x14ac:dyDescent="0.25">
      <c r="A2305" s="148">
        <v>44856</v>
      </c>
      <c r="B2305" s="149" t="s">
        <v>33926</v>
      </c>
      <c r="C2305" s="153" t="s">
        <v>9</v>
      </c>
      <c r="D2305" s="154">
        <v>7282.8</v>
      </c>
      <c r="E2305" s="231">
        <v>44856</v>
      </c>
      <c r="F2305" s="154">
        <v>7282.8</v>
      </c>
      <c r="G2305" s="197">
        <f>Tabla111[[#This Row],[Importe]]-Tabla111[[#This Row],[Pagado]]</f>
        <v>0</v>
      </c>
      <c r="H2305" s="153" t="s">
        <v>10</v>
      </c>
    </row>
    <row r="2306" spans="1:8" x14ac:dyDescent="0.25">
      <c r="A2306" s="73">
        <v>44856</v>
      </c>
      <c r="B2306" s="74" t="s">
        <v>33927</v>
      </c>
      <c r="C2306" s="75" t="s">
        <v>33928</v>
      </c>
      <c r="D2306" s="81">
        <v>0</v>
      </c>
      <c r="E2306" s="232" t="s">
        <v>189</v>
      </c>
      <c r="F2306" s="81">
        <v>0</v>
      </c>
      <c r="G2306" s="197">
        <f>Tabla111[[#This Row],[Importe]]-Tabla111[[#This Row],[Pagado]]</f>
        <v>0</v>
      </c>
      <c r="H2306" s="75" t="s">
        <v>189</v>
      </c>
    </row>
    <row r="2307" spans="1:8" x14ac:dyDescent="0.25">
      <c r="A2307" s="148">
        <v>44856</v>
      </c>
      <c r="B2307" s="149" t="s">
        <v>33929</v>
      </c>
      <c r="C2307" s="153" t="s">
        <v>473</v>
      </c>
      <c r="D2307" s="154">
        <v>2551.5</v>
      </c>
      <c r="E2307" s="231">
        <v>44856</v>
      </c>
      <c r="F2307" s="154">
        <v>2551.5</v>
      </c>
      <c r="G2307" s="197">
        <f>Tabla111[[#This Row],[Importe]]-Tabla111[[#This Row],[Pagado]]</f>
        <v>0</v>
      </c>
      <c r="H2307" s="153" t="s">
        <v>10</v>
      </c>
    </row>
    <row r="2308" spans="1:8" x14ac:dyDescent="0.25">
      <c r="A2308" s="73">
        <v>44856</v>
      </c>
      <c r="B2308" s="74" t="s">
        <v>33930</v>
      </c>
      <c r="C2308" s="75" t="s">
        <v>348</v>
      </c>
      <c r="D2308" s="81">
        <v>6740.8</v>
      </c>
      <c r="E2308" s="230">
        <v>44856</v>
      </c>
      <c r="F2308" s="81">
        <v>6740.8</v>
      </c>
      <c r="G2308" s="197">
        <f>Tabla111[[#This Row],[Importe]]-Tabla111[[#This Row],[Pagado]]</f>
        <v>0</v>
      </c>
      <c r="H2308" s="75" t="s">
        <v>10</v>
      </c>
    </row>
    <row r="2309" spans="1:8" x14ac:dyDescent="0.25">
      <c r="A2309" s="148">
        <v>44856</v>
      </c>
      <c r="B2309" s="149" t="s">
        <v>33931</v>
      </c>
      <c r="C2309" s="153" t="s">
        <v>2563</v>
      </c>
      <c r="D2309" s="154">
        <v>5648.1</v>
      </c>
      <c r="E2309" s="231">
        <v>44858</v>
      </c>
      <c r="F2309" s="154">
        <v>5648.1</v>
      </c>
      <c r="G2309" s="197">
        <f>Tabla111[[#This Row],[Importe]]-Tabla111[[#This Row],[Pagado]]</f>
        <v>0</v>
      </c>
      <c r="H2309" s="153" t="s">
        <v>10</v>
      </c>
    </row>
    <row r="2310" spans="1:8" x14ac:dyDescent="0.25">
      <c r="A2310" s="73">
        <v>44856</v>
      </c>
      <c r="B2310" s="74" t="s">
        <v>33932</v>
      </c>
      <c r="C2310" s="75" t="s">
        <v>105</v>
      </c>
      <c r="D2310" s="81">
        <v>20739.400000000001</v>
      </c>
      <c r="E2310" s="230" t="s">
        <v>33920</v>
      </c>
      <c r="F2310" s="81">
        <f>12000+8739.4</f>
        <v>20739.400000000001</v>
      </c>
      <c r="G2310" s="197">
        <f>Tabla111[[#This Row],[Importe]]-Tabla111[[#This Row],[Pagado]]</f>
        <v>0</v>
      </c>
      <c r="H2310" s="75" t="s">
        <v>10</v>
      </c>
    </row>
    <row r="2311" spans="1:8" x14ac:dyDescent="0.25">
      <c r="A2311" s="148">
        <v>44856</v>
      </c>
      <c r="B2311" s="149" t="s">
        <v>33933</v>
      </c>
      <c r="C2311" s="153" t="s">
        <v>109</v>
      </c>
      <c r="D2311" s="154">
        <v>10809.5</v>
      </c>
      <c r="E2311" s="231">
        <v>44858</v>
      </c>
      <c r="F2311" s="154">
        <v>10809.5</v>
      </c>
      <c r="G2311" s="197">
        <f>Tabla111[[#This Row],[Importe]]-Tabla111[[#This Row],[Pagado]]</f>
        <v>0</v>
      </c>
      <c r="H2311" s="153" t="s">
        <v>10</v>
      </c>
    </row>
    <row r="2312" spans="1:8" x14ac:dyDescent="0.25">
      <c r="A2312" s="73">
        <v>44856</v>
      </c>
      <c r="B2312" s="74" t="s">
        <v>33934</v>
      </c>
      <c r="C2312" s="75" t="s">
        <v>520</v>
      </c>
      <c r="D2312" s="81">
        <v>14928</v>
      </c>
      <c r="E2312" s="230">
        <v>44856</v>
      </c>
      <c r="F2312" s="81">
        <v>14928</v>
      </c>
      <c r="G2312" s="197">
        <f>Tabla111[[#This Row],[Importe]]-Tabla111[[#This Row],[Pagado]]</f>
        <v>0</v>
      </c>
      <c r="H2312" s="75" t="s">
        <v>10</v>
      </c>
    </row>
    <row r="2313" spans="1:8" x14ac:dyDescent="0.25">
      <c r="A2313" s="148">
        <v>44856</v>
      </c>
      <c r="B2313" s="149" t="s">
        <v>33935</v>
      </c>
      <c r="C2313" s="153" t="s">
        <v>120</v>
      </c>
      <c r="D2313" s="154">
        <v>886.6</v>
      </c>
      <c r="E2313" s="231">
        <v>44856</v>
      </c>
      <c r="F2313" s="154">
        <v>886.6</v>
      </c>
      <c r="G2313" s="197">
        <f>Tabla111[[#This Row],[Importe]]-Tabla111[[#This Row],[Pagado]]</f>
        <v>0</v>
      </c>
      <c r="H2313" s="153" t="s">
        <v>10</v>
      </c>
    </row>
    <row r="2314" spans="1:8" x14ac:dyDescent="0.25">
      <c r="A2314" s="73">
        <v>44856</v>
      </c>
      <c r="B2314" s="74" t="s">
        <v>33936</v>
      </c>
      <c r="C2314" s="75" t="s">
        <v>93</v>
      </c>
      <c r="D2314" s="81">
        <v>27809.4</v>
      </c>
      <c r="E2314" s="230" t="s">
        <v>33920</v>
      </c>
      <c r="F2314" s="81">
        <f>24000+3809.4</f>
        <v>27809.4</v>
      </c>
      <c r="G2314" s="197">
        <f>Tabla111[[#This Row],[Importe]]-Tabla111[[#This Row],[Pagado]]</f>
        <v>0</v>
      </c>
      <c r="H2314" s="75" t="s">
        <v>10</v>
      </c>
    </row>
    <row r="2315" spans="1:8" x14ac:dyDescent="0.25">
      <c r="A2315" s="148">
        <v>44856</v>
      </c>
      <c r="B2315" s="149" t="s">
        <v>33937</v>
      </c>
      <c r="C2315" s="153" t="s">
        <v>326</v>
      </c>
      <c r="D2315" s="154">
        <v>14416.9</v>
      </c>
      <c r="E2315" s="231">
        <v>44858</v>
      </c>
      <c r="F2315" s="154">
        <v>14416.9</v>
      </c>
      <c r="G2315" s="197">
        <f>Tabla111[[#This Row],[Importe]]-Tabla111[[#This Row],[Pagado]]</f>
        <v>0</v>
      </c>
      <c r="H2315" s="153" t="s">
        <v>10</v>
      </c>
    </row>
    <row r="2316" spans="1:8" x14ac:dyDescent="0.25">
      <c r="A2316" s="73">
        <v>44856</v>
      </c>
      <c r="B2316" s="74" t="s">
        <v>33938</v>
      </c>
      <c r="C2316" s="75" t="s">
        <v>97</v>
      </c>
      <c r="D2316" s="81">
        <v>15911</v>
      </c>
      <c r="E2316" s="230">
        <v>44858</v>
      </c>
      <c r="F2316" s="81">
        <v>15911</v>
      </c>
      <c r="G2316" s="197">
        <f>Tabla111[[#This Row],[Importe]]-Tabla111[[#This Row],[Pagado]]</f>
        <v>0</v>
      </c>
      <c r="H2316" s="75" t="s">
        <v>10</v>
      </c>
    </row>
    <row r="2317" spans="1:8" x14ac:dyDescent="0.25">
      <c r="A2317" s="148">
        <v>44856</v>
      </c>
      <c r="B2317" s="149" t="s">
        <v>33939</v>
      </c>
      <c r="C2317" s="153" t="s">
        <v>111</v>
      </c>
      <c r="D2317" s="154">
        <v>17556.5</v>
      </c>
      <c r="E2317" s="231">
        <v>44858</v>
      </c>
      <c r="F2317" s="154">
        <v>17556.5</v>
      </c>
      <c r="G2317" s="197">
        <f>Tabla111[[#This Row],[Importe]]-Tabla111[[#This Row],[Pagado]]</f>
        <v>0</v>
      </c>
      <c r="H2317" s="153" t="s">
        <v>10</v>
      </c>
    </row>
    <row r="2318" spans="1:8" x14ac:dyDescent="0.25">
      <c r="A2318" s="73">
        <v>44856</v>
      </c>
      <c r="B2318" s="74" t="s">
        <v>33940</v>
      </c>
      <c r="C2318" s="75" t="s">
        <v>64</v>
      </c>
      <c r="D2318" s="81">
        <v>6415.5</v>
      </c>
      <c r="E2318" s="230">
        <v>44858</v>
      </c>
      <c r="F2318" s="81">
        <v>6415.5</v>
      </c>
      <c r="G2318" s="197">
        <f>Tabla111[[#This Row],[Importe]]-Tabla111[[#This Row],[Pagado]]</f>
        <v>0</v>
      </c>
      <c r="H2318" s="75" t="s">
        <v>10</v>
      </c>
    </row>
    <row r="2319" spans="1:8" x14ac:dyDescent="0.25">
      <c r="A2319" s="148">
        <v>44856</v>
      </c>
      <c r="B2319" s="149" t="s">
        <v>33941</v>
      </c>
      <c r="C2319" s="153" t="s">
        <v>33942</v>
      </c>
      <c r="D2319" s="154">
        <v>0</v>
      </c>
      <c r="E2319" s="233" t="s">
        <v>189</v>
      </c>
      <c r="F2319" s="154">
        <v>0</v>
      </c>
      <c r="G2319" s="197">
        <f>Tabla111[[#This Row],[Importe]]-Tabla111[[#This Row],[Pagado]]</f>
        <v>0</v>
      </c>
      <c r="H2319" s="153" t="s">
        <v>189</v>
      </c>
    </row>
    <row r="2320" spans="1:8" x14ac:dyDescent="0.25">
      <c r="A2320" s="73">
        <v>44856</v>
      </c>
      <c r="B2320" s="74" t="s">
        <v>33943</v>
      </c>
      <c r="C2320" s="75" t="s">
        <v>151</v>
      </c>
      <c r="D2320" s="81">
        <v>25865.4</v>
      </c>
      <c r="E2320" s="230">
        <v>44856</v>
      </c>
      <c r="F2320" s="81">
        <v>25865.4</v>
      </c>
      <c r="G2320" s="197">
        <f>Tabla111[[#This Row],[Importe]]-Tabla111[[#This Row],[Pagado]]</f>
        <v>0</v>
      </c>
      <c r="H2320" s="75" t="s">
        <v>10</v>
      </c>
    </row>
    <row r="2321" spans="1:8" x14ac:dyDescent="0.25">
      <c r="A2321" s="148">
        <v>44856</v>
      </c>
      <c r="B2321" s="149" t="s">
        <v>33944</v>
      </c>
      <c r="C2321" s="153" t="s">
        <v>114</v>
      </c>
      <c r="D2321" s="154">
        <v>17925.400000000001</v>
      </c>
      <c r="E2321" s="231">
        <v>44858</v>
      </c>
      <c r="F2321" s="154">
        <v>17925.400000000001</v>
      </c>
      <c r="G2321" s="197">
        <f>Tabla111[[#This Row],[Importe]]-Tabla111[[#This Row],[Pagado]]</f>
        <v>0</v>
      </c>
      <c r="H2321" s="153" t="s">
        <v>10</v>
      </c>
    </row>
    <row r="2322" spans="1:8" x14ac:dyDescent="0.25">
      <c r="A2322" s="73">
        <v>44856</v>
      </c>
      <c r="B2322" s="74" t="s">
        <v>33945</v>
      </c>
      <c r="C2322" s="75" t="s">
        <v>918</v>
      </c>
      <c r="D2322" s="81">
        <v>1118</v>
      </c>
      <c r="E2322" s="230">
        <v>44856</v>
      </c>
      <c r="F2322" s="81">
        <v>1118</v>
      </c>
      <c r="G2322" s="197">
        <f>Tabla111[[#This Row],[Importe]]-Tabla111[[#This Row],[Pagado]]</f>
        <v>0</v>
      </c>
      <c r="H2322" s="75" t="s">
        <v>10</v>
      </c>
    </row>
    <row r="2323" spans="1:8" x14ac:dyDescent="0.25">
      <c r="A2323" s="148">
        <v>44856</v>
      </c>
      <c r="B2323" s="149" t="s">
        <v>33946</v>
      </c>
      <c r="C2323" s="153" t="s">
        <v>31</v>
      </c>
      <c r="D2323" s="154">
        <v>856.8</v>
      </c>
      <c r="E2323" s="231">
        <v>44856</v>
      </c>
      <c r="F2323" s="154">
        <v>856.8</v>
      </c>
      <c r="G2323" s="197">
        <f>Tabla111[[#This Row],[Importe]]-Tabla111[[#This Row],[Pagado]]</f>
        <v>0</v>
      </c>
      <c r="H2323" s="153" t="s">
        <v>10</v>
      </c>
    </row>
    <row r="2324" spans="1:8" x14ac:dyDescent="0.25">
      <c r="A2324" s="73">
        <v>44856</v>
      </c>
      <c r="B2324" s="74" t="s">
        <v>33947</v>
      </c>
      <c r="C2324" s="75" t="s">
        <v>9512</v>
      </c>
      <c r="D2324" s="81">
        <v>0</v>
      </c>
      <c r="E2324" s="232" t="s">
        <v>189</v>
      </c>
      <c r="F2324" s="81">
        <v>0</v>
      </c>
      <c r="G2324" s="197">
        <f>Tabla111[[#This Row],[Importe]]-Tabla111[[#This Row],[Pagado]]</f>
        <v>0</v>
      </c>
      <c r="H2324" s="75" t="s">
        <v>189</v>
      </c>
    </row>
    <row r="2325" spans="1:8" x14ac:dyDescent="0.25">
      <c r="A2325" s="148">
        <v>44856</v>
      </c>
      <c r="B2325" s="149" t="s">
        <v>33948</v>
      </c>
      <c r="C2325" s="153" t="s">
        <v>1187</v>
      </c>
      <c r="D2325" s="154">
        <v>2433.6</v>
      </c>
      <c r="E2325" s="231">
        <v>45221</v>
      </c>
      <c r="F2325" s="154">
        <v>2433.6</v>
      </c>
      <c r="G2325" s="197">
        <f>Tabla111[[#This Row],[Importe]]-Tabla111[[#This Row],[Pagado]]</f>
        <v>0</v>
      </c>
      <c r="H2325" s="153" t="s">
        <v>10</v>
      </c>
    </row>
    <row r="2326" spans="1:8" x14ac:dyDescent="0.25">
      <c r="A2326" s="73">
        <v>44856</v>
      </c>
      <c r="B2326" s="74" t="s">
        <v>33949</v>
      </c>
      <c r="C2326" s="75" t="s">
        <v>22</v>
      </c>
      <c r="D2326" s="81">
        <v>68681.2</v>
      </c>
      <c r="E2326" s="230" t="s">
        <v>33950</v>
      </c>
      <c r="F2326" s="81">
        <f>65000+3681.2</f>
        <v>68681.2</v>
      </c>
      <c r="G2326" s="197">
        <f>Tabla111[[#This Row],[Importe]]-Tabla111[[#This Row],[Pagado]]</f>
        <v>0</v>
      </c>
      <c r="H2326" s="75" t="s">
        <v>10</v>
      </c>
    </row>
    <row r="2327" spans="1:8" x14ac:dyDescent="0.25">
      <c r="A2327" s="148">
        <v>44856</v>
      </c>
      <c r="B2327" s="149" t="s">
        <v>33951</v>
      </c>
      <c r="C2327" s="153" t="s">
        <v>157</v>
      </c>
      <c r="D2327" s="154">
        <v>8890.7000000000007</v>
      </c>
      <c r="E2327" s="231">
        <v>44856</v>
      </c>
      <c r="F2327" s="154">
        <v>8890.7000000000007</v>
      </c>
      <c r="G2327" s="197">
        <f>Tabla111[[#This Row],[Importe]]-Tabla111[[#This Row],[Pagado]]</f>
        <v>0</v>
      </c>
      <c r="H2327" s="153" t="s">
        <v>10</v>
      </c>
    </row>
    <row r="2328" spans="1:8" x14ac:dyDescent="0.25">
      <c r="A2328" s="73">
        <v>44856</v>
      </c>
      <c r="B2328" s="74" t="s">
        <v>33952</v>
      </c>
      <c r="C2328" s="75" t="s">
        <v>966</v>
      </c>
      <c r="D2328" s="81">
        <v>1625</v>
      </c>
      <c r="E2328" s="230">
        <v>44856</v>
      </c>
      <c r="F2328" s="81">
        <v>1625</v>
      </c>
      <c r="G2328" s="197">
        <f>Tabla111[[#This Row],[Importe]]-Tabla111[[#This Row],[Pagado]]</f>
        <v>0</v>
      </c>
      <c r="H2328" s="75" t="s">
        <v>10</v>
      </c>
    </row>
    <row r="2329" spans="1:8" x14ac:dyDescent="0.25">
      <c r="A2329" s="148">
        <v>44856</v>
      </c>
      <c r="B2329" s="149" t="s">
        <v>33953</v>
      </c>
      <c r="C2329" s="153" t="s">
        <v>89</v>
      </c>
      <c r="D2329" s="154">
        <v>18941</v>
      </c>
      <c r="E2329" s="231">
        <v>44858</v>
      </c>
      <c r="F2329" s="154">
        <v>18941</v>
      </c>
      <c r="G2329" s="197">
        <f>Tabla111[[#This Row],[Importe]]-Tabla111[[#This Row],[Pagado]]</f>
        <v>0</v>
      </c>
      <c r="H2329" s="153" t="s">
        <v>10</v>
      </c>
    </row>
    <row r="2330" spans="1:8" x14ac:dyDescent="0.25">
      <c r="A2330" s="73">
        <v>44856</v>
      </c>
      <c r="B2330" s="74" t="s">
        <v>33954</v>
      </c>
      <c r="C2330" s="75" t="s">
        <v>27</v>
      </c>
      <c r="D2330" s="81">
        <v>1344</v>
      </c>
      <c r="E2330" s="230">
        <v>44856</v>
      </c>
      <c r="F2330" s="81">
        <v>1344</v>
      </c>
      <c r="G2330" s="197">
        <f>Tabla111[[#This Row],[Importe]]-Tabla111[[#This Row],[Pagado]]</f>
        <v>0</v>
      </c>
      <c r="H2330" s="75" t="s">
        <v>10</v>
      </c>
    </row>
    <row r="2331" spans="1:8" x14ac:dyDescent="0.25">
      <c r="A2331" s="148">
        <v>44856</v>
      </c>
      <c r="B2331" s="149" t="s">
        <v>33955</v>
      </c>
      <c r="C2331" s="153" t="s">
        <v>33956</v>
      </c>
      <c r="D2331" s="154">
        <v>0</v>
      </c>
      <c r="E2331" s="233" t="s">
        <v>189</v>
      </c>
      <c r="F2331" s="154">
        <v>0</v>
      </c>
      <c r="G2331" s="197">
        <f>Tabla111[[#This Row],[Importe]]-Tabla111[[#This Row],[Pagado]]</f>
        <v>0</v>
      </c>
      <c r="H2331" s="153" t="s">
        <v>189</v>
      </c>
    </row>
    <row r="2332" spans="1:8" x14ac:dyDescent="0.25">
      <c r="A2332" s="73">
        <v>44856</v>
      </c>
      <c r="B2332" s="74" t="s">
        <v>33957</v>
      </c>
      <c r="C2332" s="75" t="s">
        <v>319</v>
      </c>
      <c r="D2332" s="81">
        <v>9281.5</v>
      </c>
      <c r="E2332" s="230">
        <v>44856</v>
      </c>
      <c r="F2332" s="81">
        <v>9281.5</v>
      </c>
      <c r="G2332" s="197">
        <f>Tabla111[[#This Row],[Importe]]-Tabla111[[#This Row],[Pagado]]</f>
        <v>0</v>
      </c>
      <c r="H2332" s="75" t="s">
        <v>10</v>
      </c>
    </row>
    <row r="2333" spans="1:8" x14ac:dyDescent="0.25">
      <c r="A2333" s="148">
        <v>44856</v>
      </c>
      <c r="B2333" s="149" t="s">
        <v>33958</v>
      </c>
      <c r="C2333" s="153" t="s">
        <v>56</v>
      </c>
      <c r="D2333" s="154">
        <v>11207.4</v>
      </c>
      <c r="E2333" s="231">
        <v>44856</v>
      </c>
      <c r="F2333" s="154">
        <v>11207.4</v>
      </c>
      <c r="G2333" s="197">
        <f>Tabla111[[#This Row],[Importe]]-Tabla111[[#This Row],[Pagado]]</f>
        <v>0</v>
      </c>
      <c r="H2333" s="153" t="s">
        <v>10</v>
      </c>
    </row>
    <row r="2334" spans="1:8" x14ac:dyDescent="0.25">
      <c r="A2334" s="73">
        <v>44856</v>
      </c>
      <c r="B2334" s="74" t="s">
        <v>33959</v>
      </c>
      <c r="C2334" s="75" t="s">
        <v>966</v>
      </c>
      <c r="D2334" s="81">
        <v>4197.3999999999996</v>
      </c>
      <c r="E2334" s="230">
        <v>44856</v>
      </c>
      <c r="F2334" s="81">
        <v>4197.3999999999996</v>
      </c>
      <c r="G2334" s="197">
        <f>Tabla111[[#This Row],[Importe]]-Tabla111[[#This Row],[Pagado]]</f>
        <v>0</v>
      </c>
      <c r="H2334" s="75" t="s">
        <v>10</v>
      </c>
    </row>
    <row r="2335" spans="1:8" x14ac:dyDescent="0.25">
      <c r="A2335" s="148">
        <v>44856</v>
      </c>
      <c r="B2335" s="149" t="s">
        <v>33960</v>
      </c>
      <c r="C2335" s="153" t="s">
        <v>14944</v>
      </c>
      <c r="D2335" s="154">
        <v>4129.2</v>
      </c>
      <c r="E2335" s="231">
        <v>44856</v>
      </c>
      <c r="F2335" s="154">
        <v>4129.2</v>
      </c>
      <c r="G2335" s="197">
        <f>Tabla111[[#This Row],[Importe]]-Tabla111[[#This Row],[Pagado]]</f>
        <v>0</v>
      </c>
      <c r="H2335" s="153" t="s">
        <v>10</v>
      </c>
    </row>
    <row r="2336" spans="1:8" x14ac:dyDescent="0.25">
      <c r="A2336" s="73">
        <v>44856</v>
      </c>
      <c r="B2336" s="74" t="s">
        <v>33961</v>
      </c>
      <c r="C2336" s="75" t="s">
        <v>348</v>
      </c>
      <c r="D2336" s="81">
        <v>5390.4</v>
      </c>
      <c r="E2336" s="230">
        <v>44856</v>
      </c>
      <c r="F2336" s="81">
        <v>5390.4</v>
      </c>
      <c r="G2336" s="197">
        <f>Tabla111[[#This Row],[Importe]]-Tabla111[[#This Row],[Pagado]]</f>
        <v>0</v>
      </c>
      <c r="H2336" s="75" t="s">
        <v>10</v>
      </c>
    </row>
    <row r="2337" spans="1:8" x14ac:dyDescent="0.25">
      <c r="A2337" s="148">
        <v>44856</v>
      </c>
      <c r="B2337" s="149" t="s">
        <v>33962</v>
      </c>
      <c r="C2337" s="153" t="s">
        <v>79</v>
      </c>
      <c r="D2337" s="154">
        <v>22924.2</v>
      </c>
      <c r="E2337" s="231">
        <v>44856</v>
      </c>
      <c r="F2337" s="154">
        <v>22924.2</v>
      </c>
      <c r="G2337" s="197">
        <f>Tabla111[[#This Row],[Importe]]-Tabla111[[#This Row],[Pagado]]</f>
        <v>0</v>
      </c>
      <c r="H2337" s="153" t="s">
        <v>10</v>
      </c>
    </row>
    <row r="2338" spans="1:8" x14ac:dyDescent="0.25">
      <c r="A2338" s="73">
        <v>44856</v>
      </c>
      <c r="B2338" s="74" t="s">
        <v>33963</v>
      </c>
      <c r="C2338" s="75" t="s">
        <v>196</v>
      </c>
      <c r="D2338" s="81">
        <v>159753.01999999999</v>
      </c>
      <c r="E2338" s="230">
        <v>44862</v>
      </c>
      <c r="F2338" s="81">
        <v>159753.01999999999</v>
      </c>
      <c r="G2338" s="197">
        <f>Tabla111[[#This Row],[Importe]]-Tabla111[[#This Row],[Pagado]]</f>
        <v>0</v>
      </c>
      <c r="H2338" s="75" t="s">
        <v>10</v>
      </c>
    </row>
    <row r="2339" spans="1:8" x14ac:dyDescent="0.25">
      <c r="A2339" s="148">
        <v>44856</v>
      </c>
      <c r="B2339" s="149" t="s">
        <v>33964</v>
      </c>
      <c r="C2339" s="153" t="s">
        <v>45</v>
      </c>
      <c r="D2339" s="154">
        <v>11882</v>
      </c>
      <c r="E2339" s="231">
        <v>44856</v>
      </c>
      <c r="F2339" s="154">
        <v>11882</v>
      </c>
      <c r="G2339" s="197">
        <f>Tabla111[[#This Row],[Importe]]-Tabla111[[#This Row],[Pagado]]</f>
        <v>0</v>
      </c>
      <c r="H2339" s="153" t="s">
        <v>10</v>
      </c>
    </row>
    <row r="2340" spans="1:8" x14ac:dyDescent="0.25">
      <c r="A2340" s="73">
        <v>44856</v>
      </c>
      <c r="B2340" s="74" t="s">
        <v>33965</v>
      </c>
      <c r="C2340" s="75" t="s">
        <v>17556</v>
      </c>
      <c r="D2340" s="81">
        <v>4774.6000000000004</v>
      </c>
      <c r="E2340" s="230">
        <v>44856</v>
      </c>
      <c r="F2340" s="81">
        <v>4774.6000000000004</v>
      </c>
      <c r="G2340" s="197">
        <f>Tabla111[[#This Row],[Importe]]-Tabla111[[#This Row],[Pagado]]</f>
        <v>0</v>
      </c>
      <c r="H2340" s="75" t="s">
        <v>10</v>
      </c>
    </row>
    <row r="2341" spans="1:8" x14ac:dyDescent="0.25">
      <c r="A2341" s="148">
        <v>44856</v>
      </c>
      <c r="B2341" s="149" t="s">
        <v>33966</v>
      </c>
      <c r="C2341" s="153" t="s">
        <v>804</v>
      </c>
      <c r="D2341" s="154">
        <v>22088.400000000001</v>
      </c>
      <c r="E2341" s="231">
        <v>44856</v>
      </c>
      <c r="F2341" s="154">
        <v>22088.400000000001</v>
      </c>
      <c r="G2341" s="197">
        <f>Tabla111[[#This Row],[Importe]]-Tabla111[[#This Row],[Pagado]]</f>
        <v>0</v>
      </c>
      <c r="H2341" s="153" t="s">
        <v>10</v>
      </c>
    </row>
    <row r="2342" spans="1:8" x14ac:dyDescent="0.25">
      <c r="A2342" s="73">
        <v>44856</v>
      </c>
      <c r="B2342" s="74" t="s">
        <v>33967</v>
      </c>
      <c r="C2342" s="75" t="s">
        <v>348</v>
      </c>
      <c r="D2342" s="81">
        <v>7425.6</v>
      </c>
      <c r="E2342" s="230">
        <v>44856</v>
      </c>
      <c r="F2342" s="81">
        <v>7425.6</v>
      </c>
      <c r="G2342" s="197">
        <f>Tabla111[[#This Row],[Importe]]-Tabla111[[#This Row],[Pagado]]</f>
        <v>0</v>
      </c>
      <c r="H2342" s="75" t="s">
        <v>10</v>
      </c>
    </row>
    <row r="2343" spans="1:8" x14ac:dyDescent="0.25">
      <c r="A2343" s="148">
        <v>44856</v>
      </c>
      <c r="B2343" s="149" t="s">
        <v>33968</v>
      </c>
      <c r="C2343" s="153" t="s">
        <v>142</v>
      </c>
      <c r="D2343" s="154">
        <v>63880.7</v>
      </c>
      <c r="E2343" s="231" t="s">
        <v>4813</v>
      </c>
      <c r="F2343" s="154">
        <v>0</v>
      </c>
      <c r="G2343" s="197">
        <f>Tabla111[[#This Row],[Importe]]-Tabla111[[#This Row],[Pagado]]</f>
        <v>63880.7</v>
      </c>
      <c r="H2343" s="153" t="s">
        <v>4814</v>
      </c>
    </row>
    <row r="2344" spans="1:8" x14ac:dyDescent="0.25">
      <c r="A2344" s="73">
        <v>44856</v>
      </c>
      <c r="B2344" s="74" t="s">
        <v>33969</v>
      </c>
      <c r="C2344" s="75" t="s">
        <v>28087</v>
      </c>
      <c r="D2344" s="81">
        <v>52943.81</v>
      </c>
      <c r="E2344" s="230">
        <v>44858</v>
      </c>
      <c r="F2344" s="81">
        <v>52943.81</v>
      </c>
      <c r="G2344" s="197">
        <f>Tabla111[[#This Row],[Importe]]-Tabla111[[#This Row],[Pagado]]</f>
        <v>0</v>
      </c>
      <c r="H2344" s="75" t="s">
        <v>10</v>
      </c>
    </row>
    <row r="2345" spans="1:8" x14ac:dyDescent="0.25">
      <c r="A2345" s="148">
        <v>44856</v>
      </c>
      <c r="B2345" s="149" t="s">
        <v>33970</v>
      </c>
      <c r="C2345" s="153" t="s">
        <v>357</v>
      </c>
      <c r="D2345" s="154">
        <v>640</v>
      </c>
      <c r="E2345" s="231">
        <v>44856</v>
      </c>
      <c r="F2345" s="154">
        <v>640</v>
      </c>
      <c r="G2345" s="197">
        <f>Tabla111[[#This Row],[Importe]]-Tabla111[[#This Row],[Pagado]]</f>
        <v>0</v>
      </c>
      <c r="H2345" s="153" t="s">
        <v>10</v>
      </c>
    </row>
    <row r="2346" spans="1:8" x14ac:dyDescent="0.25">
      <c r="A2346" s="73">
        <v>44856</v>
      </c>
      <c r="B2346" s="74" t="s">
        <v>33971</v>
      </c>
      <c r="C2346" s="75" t="s">
        <v>31</v>
      </c>
      <c r="D2346" s="81">
        <v>5919.7</v>
      </c>
      <c r="E2346" s="230">
        <v>44856</v>
      </c>
      <c r="F2346" s="81">
        <v>5919.7</v>
      </c>
      <c r="G2346" s="197">
        <f>Tabla111[[#This Row],[Importe]]-Tabla111[[#This Row],[Pagado]]</f>
        <v>0</v>
      </c>
      <c r="H2346" s="75" t="s">
        <v>10</v>
      </c>
    </row>
    <row r="2347" spans="1:8" x14ac:dyDescent="0.25">
      <c r="A2347" s="148">
        <v>44856</v>
      </c>
      <c r="B2347" s="149" t="s">
        <v>33972</v>
      </c>
      <c r="C2347" s="153" t="s">
        <v>31</v>
      </c>
      <c r="D2347" s="154">
        <v>5002.8</v>
      </c>
      <c r="E2347" s="231">
        <v>44856</v>
      </c>
      <c r="F2347" s="154">
        <v>5002.8</v>
      </c>
      <c r="G2347" s="197">
        <f>Tabla111[[#This Row],[Importe]]-Tabla111[[#This Row],[Pagado]]</f>
        <v>0</v>
      </c>
      <c r="H2347" s="153" t="s">
        <v>10</v>
      </c>
    </row>
    <row r="2348" spans="1:8" x14ac:dyDescent="0.25">
      <c r="A2348" s="73">
        <v>44856</v>
      </c>
      <c r="B2348" s="74" t="s">
        <v>33973</v>
      </c>
      <c r="C2348" s="75" t="s">
        <v>127</v>
      </c>
      <c r="D2348" s="81">
        <v>6065.6</v>
      </c>
      <c r="E2348" s="230">
        <v>44856</v>
      </c>
      <c r="F2348" s="81">
        <v>6065.6</v>
      </c>
      <c r="G2348" s="197">
        <f>Tabla111[[#This Row],[Importe]]-Tabla111[[#This Row],[Pagado]]</f>
        <v>0</v>
      </c>
      <c r="H2348" s="75" t="s">
        <v>10</v>
      </c>
    </row>
    <row r="2349" spans="1:8" x14ac:dyDescent="0.25">
      <c r="A2349" s="148">
        <v>44856</v>
      </c>
      <c r="B2349" s="149" t="s">
        <v>33974</v>
      </c>
      <c r="C2349" s="153" t="s">
        <v>129</v>
      </c>
      <c r="D2349" s="154">
        <v>2528</v>
      </c>
      <c r="E2349" s="231">
        <v>44856</v>
      </c>
      <c r="F2349" s="154">
        <v>2528</v>
      </c>
      <c r="G2349" s="197">
        <f>Tabla111[[#This Row],[Importe]]-Tabla111[[#This Row],[Pagado]]</f>
        <v>0</v>
      </c>
      <c r="H2349" s="153" t="s">
        <v>10</v>
      </c>
    </row>
    <row r="2350" spans="1:8" x14ac:dyDescent="0.25">
      <c r="A2350" s="73">
        <v>44856</v>
      </c>
      <c r="B2350" s="74" t="s">
        <v>33975</v>
      </c>
      <c r="C2350" s="75" t="s">
        <v>140</v>
      </c>
      <c r="D2350" s="81">
        <v>1754</v>
      </c>
      <c r="E2350" s="230">
        <v>44856</v>
      </c>
      <c r="F2350" s="81">
        <v>1754</v>
      </c>
      <c r="G2350" s="197">
        <f>Tabla111[[#This Row],[Importe]]-Tabla111[[#This Row],[Pagado]]</f>
        <v>0</v>
      </c>
      <c r="H2350" s="75" t="s">
        <v>10</v>
      </c>
    </row>
    <row r="2351" spans="1:8" x14ac:dyDescent="0.25">
      <c r="A2351" s="148">
        <v>44856</v>
      </c>
      <c r="B2351" s="149" t="s">
        <v>33976</v>
      </c>
      <c r="C2351" s="153" t="s">
        <v>31</v>
      </c>
      <c r="D2351" s="154">
        <v>5992</v>
      </c>
      <c r="E2351" s="231">
        <v>44856</v>
      </c>
      <c r="F2351" s="154">
        <v>5992</v>
      </c>
      <c r="G2351" s="197">
        <f>Tabla111[[#This Row],[Importe]]-Tabla111[[#This Row],[Pagado]]</f>
        <v>0</v>
      </c>
      <c r="H2351" s="153" t="s">
        <v>10</v>
      </c>
    </row>
    <row r="2352" spans="1:8" x14ac:dyDescent="0.25">
      <c r="A2352" s="73">
        <v>44856</v>
      </c>
      <c r="B2352" s="74" t="s">
        <v>33977</v>
      </c>
      <c r="C2352" s="75" t="s">
        <v>339</v>
      </c>
      <c r="D2352" s="81">
        <v>664</v>
      </c>
      <c r="E2352" s="230">
        <v>44856</v>
      </c>
      <c r="F2352" s="81">
        <v>664</v>
      </c>
      <c r="G2352" s="197">
        <f>Tabla111[[#This Row],[Importe]]-Tabla111[[#This Row],[Pagado]]</f>
        <v>0</v>
      </c>
      <c r="H2352" s="75" t="s">
        <v>10</v>
      </c>
    </row>
    <row r="2353" spans="1:8" x14ac:dyDescent="0.25">
      <c r="A2353" s="148">
        <v>44856</v>
      </c>
      <c r="B2353" s="149" t="s">
        <v>33978</v>
      </c>
      <c r="C2353" s="153" t="s">
        <v>333</v>
      </c>
      <c r="D2353" s="154">
        <v>688</v>
      </c>
      <c r="E2353" s="231">
        <v>44856</v>
      </c>
      <c r="F2353" s="154">
        <v>688</v>
      </c>
      <c r="G2353" s="197">
        <f>Tabla111[[#This Row],[Importe]]-Tabla111[[#This Row],[Pagado]]</f>
        <v>0</v>
      </c>
      <c r="H2353" s="153" t="s">
        <v>10</v>
      </c>
    </row>
    <row r="2354" spans="1:8" x14ac:dyDescent="0.25">
      <c r="A2354" s="73">
        <v>44856</v>
      </c>
      <c r="B2354" s="74" t="s">
        <v>33979</v>
      </c>
      <c r="C2354" s="75" t="s">
        <v>815</v>
      </c>
      <c r="D2354" s="81">
        <v>995.3</v>
      </c>
      <c r="E2354" s="230">
        <v>44856</v>
      </c>
      <c r="F2354" s="81">
        <v>995.3</v>
      </c>
      <c r="G2354" s="197">
        <f>Tabla111[[#This Row],[Importe]]-Tabla111[[#This Row],[Pagado]]</f>
        <v>0</v>
      </c>
      <c r="H2354" s="75" t="s">
        <v>10</v>
      </c>
    </row>
    <row r="2355" spans="1:8" x14ac:dyDescent="0.25">
      <c r="A2355" s="148">
        <v>44856</v>
      </c>
      <c r="B2355" s="149" t="s">
        <v>33980</v>
      </c>
      <c r="C2355" s="153" t="s">
        <v>230</v>
      </c>
      <c r="D2355" s="154">
        <v>7585.9</v>
      </c>
      <c r="E2355" s="231">
        <v>44856</v>
      </c>
      <c r="F2355" s="154">
        <v>7585.9</v>
      </c>
      <c r="G2355" s="197">
        <f>Tabla111[[#This Row],[Importe]]-Tabla111[[#This Row],[Pagado]]</f>
        <v>0</v>
      </c>
      <c r="H2355" s="153" t="s">
        <v>10</v>
      </c>
    </row>
    <row r="2356" spans="1:8" x14ac:dyDescent="0.25">
      <c r="A2356" s="73">
        <v>44856</v>
      </c>
      <c r="B2356" s="74" t="s">
        <v>33981</v>
      </c>
      <c r="C2356" s="75" t="s">
        <v>142</v>
      </c>
      <c r="D2356" s="81">
        <v>33646.400000000001</v>
      </c>
      <c r="E2356" s="230" t="s">
        <v>4813</v>
      </c>
      <c r="F2356" s="81">
        <v>0</v>
      </c>
      <c r="G2356" s="197">
        <f>Tabla111[[#This Row],[Importe]]-Tabla111[[#This Row],[Pagado]]</f>
        <v>33646.400000000001</v>
      </c>
      <c r="H2356" s="75" t="s">
        <v>4814</v>
      </c>
    </row>
    <row r="2357" spans="1:8" x14ac:dyDescent="0.25">
      <c r="A2357" s="148">
        <v>44856</v>
      </c>
      <c r="B2357" s="149" t="s">
        <v>33982</v>
      </c>
      <c r="C2357" s="153" t="s">
        <v>31</v>
      </c>
      <c r="D2357" s="154">
        <v>1263.5999999999999</v>
      </c>
      <c r="E2357" s="231">
        <v>44856</v>
      </c>
      <c r="F2357" s="154">
        <v>1263.5999999999999</v>
      </c>
      <c r="G2357" s="197">
        <f>Tabla111[[#This Row],[Importe]]-Tabla111[[#This Row],[Pagado]]</f>
        <v>0</v>
      </c>
      <c r="H2357" s="153" t="s">
        <v>10</v>
      </c>
    </row>
    <row r="2358" spans="1:8" x14ac:dyDescent="0.25">
      <c r="A2358" s="73">
        <v>44856</v>
      </c>
      <c r="B2358" s="74" t="s">
        <v>33983</v>
      </c>
      <c r="C2358" s="75" t="s">
        <v>31323</v>
      </c>
      <c r="D2358" s="81">
        <v>7320</v>
      </c>
      <c r="E2358" s="230">
        <v>44856</v>
      </c>
      <c r="F2358" s="81">
        <v>7320</v>
      </c>
      <c r="G2358" s="197">
        <f>Tabla111[[#This Row],[Importe]]-Tabla111[[#This Row],[Pagado]]</f>
        <v>0</v>
      </c>
      <c r="H2358" s="75" t="s">
        <v>10</v>
      </c>
    </row>
    <row r="2359" spans="1:8" x14ac:dyDescent="0.25">
      <c r="A2359" s="148">
        <v>44856</v>
      </c>
      <c r="B2359" s="149" t="s">
        <v>33984</v>
      </c>
      <c r="C2359" s="153" t="s">
        <v>296</v>
      </c>
      <c r="D2359" s="154">
        <v>3944</v>
      </c>
      <c r="E2359" s="231">
        <v>44856</v>
      </c>
      <c r="F2359" s="154">
        <v>3944</v>
      </c>
      <c r="G2359" s="197">
        <f>Tabla111[[#This Row],[Importe]]-Tabla111[[#This Row],[Pagado]]</f>
        <v>0</v>
      </c>
      <c r="H2359" s="153" t="s">
        <v>10</v>
      </c>
    </row>
    <row r="2360" spans="1:8" x14ac:dyDescent="0.25">
      <c r="A2360" s="73">
        <v>44856</v>
      </c>
      <c r="B2360" s="74" t="s">
        <v>33985</v>
      </c>
      <c r="C2360" s="75" t="s">
        <v>214</v>
      </c>
      <c r="D2360" s="81">
        <v>2051.4</v>
      </c>
      <c r="E2360" s="230">
        <v>44856</v>
      </c>
      <c r="F2360" s="81">
        <v>2051.4</v>
      </c>
      <c r="G2360" s="197">
        <f>Tabla111[[#This Row],[Importe]]-Tabla111[[#This Row],[Pagado]]</f>
        <v>0</v>
      </c>
      <c r="H2360" s="75" t="s">
        <v>10</v>
      </c>
    </row>
    <row r="2361" spans="1:8" x14ac:dyDescent="0.25">
      <c r="A2361" s="148">
        <v>44856</v>
      </c>
      <c r="B2361" s="149" t="s">
        <v>33986</v>
      </c>
      <c r="C2361" s="153" t="s">
        <v>1003</v>
      </c>
      <c r="D2361" s="154">
        <v>2608.62</v>
      </c>
      <c r="E2361" s="231">
        <v>44856</v>
      </c>
      <c r="F2361" s="154">
        <v>2608.62</v>
      </c>
      <c r="G2361" s="197">
        <f>Tabla111[[#This Row],[Importe]]-Tabla111[[#This Row],[Pagado]]</f>
        <v>0</v>
      </c>
      <c r="H2361" s="153" t="s">
        <v>10</v>
      </c>
    </row>
    <row r="2362" spans="1:8" x14ac:dyDescent="0.25">
      <c r="A2362" s="73">
        <v>44856</v>
      </c>
      <c r="B2362" s="74" t="s">
        <v>33987</v>
      </c>
      <c r="C2362" s="75" t="s">
        <v>226</v>
      </c>
      <c r="D2362" s="81">
        <v>4947.6000000000004</v>
      </c>
      <c r="E2362" s="230">
        <v>44856</v>
      </c>
      <c r="F2362" s="81">
        <v>4947.6000000000004</v>
      </c>
      <c r="G2362" s="197">
        <f>Tabla111[[#This Row],[Importe]]-Tabla111[[#This Row],[Pagado]]</f>
        <v>0</v>
      </c>
      <c r="H2362" s="75" t="s">
        <v>10</v>
      </c>
    </row>
    <row r="2363" spans="1:8" x14ac:dyDescent="0.25">
      <c r="A2363" s="148">
        <v>44856</v>
      </c>
      <c r="B2363" s="149" t="s">
        <v>33988</v>
      </c>
      <c r="C2363" s="153" t="s">
        <v>3823</v>
      </c>
      <c r="D2363" s="154">
        <v>0</v>
      </c>
      <c r="E2363" s="233" t="s">
        <v>189</v>
      </c>
      <c r="F2363" s="154">
        <v>0</v>
      </c>
      <c r="G2363" s="197">
        <f>Tabla111[[#This Row],[Importe]]-Tabla111[[#This Row],[Pagado]]</f>
        <v>0</v>
      </c>
      <c r="H2363" s="153" t="s">
        <v>189</v>
      </c>
    </row>
    <row r="2364" spans="1:8" x14ac:dyDescent="0.25">
      <c r="A2364" s="73">
        <v>44856</v>
      </c>
      <c r="B2364" s="74" t="s">
        <v>33989</v>
      </c>
      <c r="C2364" s="75" t="s">
        <v>224</v>
      </c>
      <c r="D2364" s="81">
        <v>3493.8</v>
      </c>
      <c r="E2364" s="230">
        <v>44856</v>
      </c>
      <c r="F2364" s="81">
        <v>3493.8</v>
      </c>
      <c r="G2364" s="197">
        <f>Tabla111[[#This Row],[Importe]]-Tabla111[[#This Row],[Pagado]]</f>
        <v>0</v>
      </c>
      <c r="H2364" s="75" t="s">
        <v>10</v>
      </c>
    </row>
    <row r="2365" spans="1:8" x14ac:dyDescent="0.25">
      <c r="A2365" s="148">
        <v>44856</v>
      </c>
      <c r="B2365" s="149" t="s">
        <v>33990</v>
      </c>
      <c r="C2365" s="153" t="s">
        <v>698</v>
      </c>
      <c r="D2365" s="154">
        <v>3791.1</v>
      </c>
      <c r="E2365" s="231">
        <v>44856</v>
      </c>
      <c r="F2365" s="154">
        <v>3791.1</v>
      </c>
      <c r="G2365" s="197">
        <f>Tabla111[[#This Row],[Importe]]-Tabla111[[#This Row],[Pagado]]</f>
        <v>0</v>
      </c>
      <c r="H2365" s="153" t="s">
        <v>10</v>
      </c>
    </row>
    <row r="2366" spans="1:8" x14ac:dyDescent="0.25">
      <c r="A2366" s="73">
        <v>44856</v>
      </c>
      <c r="B2366" s="74" t="s">
        <v>33991</v>
      </c>
      <c r="C2366" s="75" t="s">
        <v>31</v>
      </c>
      <c r="D2366" s="81">
        <v>564</v>
      </c>
      <c r="E2366" s="230">
        <v>44856</v>
      </c>
      <c r="F2366" s="81">
        <v>564</v>
      </c>
      <c r="G2366" s="197">
        <f>Tabla111[[#This Row],[Importe]]-Tabla111[[#This Row],[Pagado]]</f>
        <v>0</v>
      </c>
      <c r="H2366" s="75" t="s">
        <v>10</v>
      </c>
    </row>
    <row r="2367" spans="1:8" x14ac:dyDescent="0.25">
      <c r="A2367" s="148">
        <v>44856</v>
      </c>
      <c r="B2367" s="149" t="s">
        <v>33992</v>
      </c>
      <c r="C2367" s="153" t="s">
        <v>4136</v>
      </c>
      <c r="D2367" s="154">
        <v>2526.4</v>
      </c>
      <c r="E2367" s="231">
        <v>44856</v>
      </c>
      <c r="F2367" s="154">
        <v>2526.4</v>
      </c>
      <c r="G2367" s="197">
        <f>Tabla111[[#This Row],[Importe]]-Tabla111[[#This Row],[Pagado]]</f>
        <v>0</v>
      </c>
      <c r="H2367" s="153" t="s">
        <v>10</v>
      </c>
    </row>
    <row r="2368" spans="1:8" x14ac:dyDescent="0.25">
      <c r="A2368" s="73">
        <v>44856</v>
      </c>
      <c r="B2368" s="74" t="s">
        <v>33993</v>
      </c>
      <c r="C2368" s="75" t="s">
        <v>216</v>
      </c>
      <c r="D2368" s="81">
        <v>1583.4</v>
      </c>
      <c r="E2368" s="230">
        <v>44856</v>
      </c>
      <c r="F2368" s="81">
        <v>1583.4</v>
      </c>
      <c r="G2368" s="197">
        <f>Tabla111[[#This Row],[Importe]]-Tabla111[[#This Row],[Pagado]]</f>
        <v>0</v>
      </c>
      <c r="H2368" s="75" t="s">
        <v>10</v>
      </c>
    </row>
    <row r="2369" spans="1:8" x14ac:dyDescent="0.25">
      <c r="A2369" s="148">
        <v>44856</v>
      </c>
      <c r="B2369" s="149" t="s">
        <v>33994</v>
      </c>
      <c r="C2369" s="153" t="s">
        <v>392</v>
      </c>
      <c r="D2369" s="154">
        <v>224</v>
      </c>
      <c r="E2369" s="231">
        <v>44856</v>
      </c>
      <c r="F2369" s="154">
        <v>224</v>
      </c>
      <c r="G2369" s="197">
        <f>Tabla111[[#This Row],[Importe]]-Tabla111[[#This Row],[Pagado]]</f>
        <v>0</v>
      </c>
      <c r="H2369" s="153" t="s">
        <v>10</v>
      </c>
    </row>
    <row r="2370" spans="1:8" x14ac:dyDescent="0.25">
      <c r="A2370" s="73">
        <v>44856</v>
      </c>
      <c r="B2370" s="74" t="s">
        <v>33995</v>
      </c>
      <c r="C2370" s="75" t="s">
        <v>244</v>
      </c>
      <c r="D2370" s="81">
        <v>3059.1</v>
      </c>
      <c r="E2370" s="230">
        <v>44856</v>
      </c>
      <c r="F2370" s="81">
        <v>3059.1</v>
      </c>
      <c r="G2370" s="197">
        <f>Tabla111[[#This Row],[Importe]]-Tabla111[[#This Row],[Pagado]]</f>
        <v>0</v>
      </c>
      <c r="H2370" s="75" t="s">
        <v>10</v>
      </c>
    </row>
    <row r="2371" spans="1:8" x14ac:dyDescent="0.25">
      <c r="A2371" s="148">
        <v>44856</v>
      </c>
      <c r="B2371" s="149" t="s">
        <v>33996</v>
      </c>
      <c r="C2371" s="153" t="s">
        <v>24284</v>
      </c>
      <c r="D2371" s="154">
        <v>1560</v>
      </c>
      <c r="E2371" s="231">
        <v>44856</v>
      </c>
      <c r="F2371" s="154">
        <v>1560</v>
      </c>
      <c r="G2371" s="197">
        <f>Tabla111[[#This Row],[Importe]]-Tabla111[[#This Row],[Pagado]]</f>
        <v>0</v>
      </c>
      <c r="H2371" s="153" t="s">
        <v>10</v>
      </c>
    </row>
    <row r="2372" spans="1:8" x14ac:dyDescent="0.25">
      <c r="A2372" s="73">
        <v>44856</v>
      </c>
      <c r="B2372" s="74" t="s">
        <v>33997</v>
      </c>
      <c r="C2372" s="75" t="s">
        <v>135</v>
      </c>
      <c r="D2372" s="81">
        <v>1344</v>
      </c>
      <c r="E2372" s="230">
        <v>44856</v>
      </c>
      <c r="F2372" s="81">
        <v>1344</v>
      </c>
      <c r="G2372" s="197">
        <f>Tabla111[[#This Row],[Importe]]-Tabla111[[#This Row],[Pagado]]</f>
        <v>0</v>
      </c>
      <c r="H2372" s="75" t="s">
        <v>10</v>
      </c>
    </row>
    <row r="2373" spans="1:8" x14ac:dyDescent="0.25">
      <c r="A2373" s="148">
        <v>44856</v>
      </c>
      <c r="B2373" s="149" t="s">
        <v>33998</v>
      </c>
      <c r="C2373" s="153" t="s">
        <v>62</v>
      </c>
      <c r="D2373" s="154">
        <v>4681.6000000000004</v>
      </c>
      <c r="E2373" s="231">
        <v>44856</v>
      </c>
      <c r="F2373" s="154">
        <v>4681.6000000000004</v>
      </c>
      <c r="G2373" s="197">
        <f>Tabla111[[#This Row],[Importe]]-Tabla111[[#This Row],[Pagado]]</f>
        <v>0</v>
      </c>
      <c r="H2373" s="153" t="s">
        <v>10</v>
      </c>
    </row>
    <row r="2374" spans="1:8" x14ac:dyDescent="0.25">
      <c r="A2374" s="73">
        <v>44856</v>
      </c>
      <c r="B2374" s="74" t="s">
        <v>33999</v>
      </c>
      <c r="C2374" s="75" t="s">
        <v>670</v>
      </c>
      <c r="D2374" s="81">
        <v>5407.5</v>
      </c>
      <c r="E2374" s="230">
        <v>44856</v>
      </c>
      <c r="F2374" s="81">
        <v>5407.5</v>
      </c>
      <c r="G2374" s="197">
        <f>Tabla111[[#This Row],[Importe]]-Tabla111[[#This Row],[Pagado]]</f>
        <v>0</v>
      </c>
      <c r="H2374" s="75" t="s">
        <v>10</v>
      </c>
    </row>
    <row r="2375" spans="1:8" x14ac:dyDescent="0.25">
      <c r="A2375" s="148">
        <v>44856</v>
      </c>
      <c r="B2375" s="149" t="s">
        <v>34000</v>
      </c>
      <c r="C2375" s="153" t="s">
        <v>24</v>
      </c>
      <c r="D2375" s="154">
        <v>4900</v>
      </c>
      <c r="E2375" s="231">
        <v>44856</v>
      </c>
      <c r="F2375" s="154">
        <v>4900</v>
      </c>
      <c r="G2375" s="197">
        <f>Tabla111[[#This Row],[Importe]]-Tabla111[[#This Row],[Pagado]]</f>
        <v>0</v>
      </c>
      <c r="H2375" s="153" t="s">
        <v>10</v>
      </c>
    </row>
    <row r="2376" spans="1:8" x14ac:dyDescent="0.25">
      <c r="A2376" s="73">
        <v>44856</v>
      </c>
      <c r="B2376" s="74" t="s">
        <v>34001</v>
      </c>
      <c r="C2376" s="75" t="s">
        <v>414</v>
      </c>
      <c r="D2376" s="81">
        <v>26130</v>
      </c>
      <c r="E2376" s="230">
        <v>44860</v>
      </c>
      <c r="F2376" s="81">
        <v>26130</v>
      </c>
      <c r="G2376" s="197">
        <f>Tabla111[[#This Row],[Importe]]-Tabla111[[#This Row],[Pagado]]</f>
        <v>0</v>
      </c>
      <c r="H2376" s="75" t="s">
        <v>10</v>
      </c>
    </row>
    <row r="2377" spans="1:8" x14ac:dyDescent="0.25">
      <c r="A2377" s="148">
        <v>44856</v>
      </c>
      <c r="B2377" s="149" t="s">
        <v>34002</v>
      </c>
      <c r="C2377" s="153" t="s">
        <v>314</v>
      </c>
      <c r="D2377" s="154">
        <v>4609.8</v>
      </c>
      <c r="E2377" s="231">
        <v>44856</v>
      </c>
      <c r="F2377" s="154">
        <v>4609.8</v>
      </c>
      <c r="G2377" s="197">
        <f>Tabla111[[#This Row],[Importe]]-Tabla111[[#This Row],[Pagado]]</f>
        <v>0</v>
      </c>
      <c r="H2377" s="153" t="s">
        <v>10</v>
      </c>
    </row>
    <row r="2378" spans="1:8" x14ac:dyDescent="0.25">
      <c r="A2378" s="73">
        <v>44856</v>
      </c>
      <c r="B2378" s="74" t="s">
        <v>34003</v>
      </c>
      <c r="C2378" s="75" t="s">
        <v>87</v>
      </c>
      <c r="D2378" s="81">
        <v>10157.6</v>
      </c>
      <c r="E2378" s="230">
        <v>44856</v>
      </c>
      <c r="F2378" s="81">
        <v>10157.6</v>
      </c>
      <c r="G2378" s="197">
        <f>Tabla111[[#This Row],[Importe]]-Tabla111[[#This Row],[Pagado]]</f>
        <v>0</v>
      </c>
      <c r="H2378" s="75" t="s">
        <v>10</v>
      </c>
    </row>
    <row r="2379" spans="1:8" x14ac:dyDescent="0.25">
      <c r="A2379" s="148">
        <v>44856</v>
      </c>
      <c r="B2379" s="149" t="s">
        <v>34004</v>
      </c>
      <c r="C2379" s="153" t="s">
        <v>107</v>
      </c>
      <c r="D2379" s="154">
        <v>37296.699999999997</v>
      </c>
      <c r="E2379" s="231">
        <v>44856</v>
      </c>
      <c r="F2379" s="154">
        <v>37296.699999999997</v>
      </c>
      <c r="G2379" s="197">
        <f>Tabla111[[#This Row],[Importe]]-Tabla111[[#This Row],[Pagado]]</f>
        <v>0</v>
      </c>
      <c r="H2379" s="153" t="s">
        <v>10</v>
      </c>
    </row>
    <row r="2380" spans="1:8" x14ac:dyDescent="0.25">
      <c r="A2380" s="73">
        <v>44856</v>
      </c>
      <c r="B2380" s="74" t="s">
        <v>34005</v>
      </c>
      <c r="C2380" s="75" t="s">
        <v>146</v>
      </c>
      <c r="D2380" s="81">
        <v>6625.6</v>
      </c>
      <c r="E2380" s="230">
        <v>44856</v>
      </c>
      <c r="F2380" s="81">
        <v>6625.6</v>
      </c>
      <c r="G2380" s="197">
        <f>Tabla111[[#This Row],[Importe]]-Tabla111[[#This Row],[Pagado]]</f>
        <v>0</v>
      </c>
      <c r="H2380" s="75" t="s">
        <v>10</v>
      </c>
    </row>
    <row r="2381" spans="1:8" x14ac:dyDescent="0.25">
      <c r="A2381" s="148">
        <v>44856</v>
      </c>
      <c r="B2381" s="149" t="s">
        <v>34006</v>
      </c>
      <c r="C2381" s="153" t="s">
        <v>31</v>
      </c>
      <c r="D2381" s="154">
        <v>1163.2</v>
      </c>
      <c r="E2381" s="231">
        <v>44856</v>
      </c>
      <c r="F2381" s="154">
        <v>1163.2</v>
      </c>
      <c r="G2381" s="197">
        <f>Tabla111[[#This Row],[Importe]]-Tabla111[[#This Row],[Pagado]]</f>
        <v>0</v>
      </c>
      <c r="H2381" s="153" t="s">
        <v>10</v>
      </c>
    </row>
    <row r="2382" spans="1:8" x14ac:dyDescent="0.25">
      <c r="A2382" s="73">
        <v>44856</v>
      </c>
      <c r="B2382" s="74" t="s">
        <v>34007</v>
      </c>
      <c r="C2382" s="75" t="s">
        <v>664</v>
      </c>
      <c r="D2382" s="81">
        <v>11887.2</v>
      </c>
      <c r="E2382" s="230">
        <v>44856</v>
      </c>
      <c r="F2382" s="81">
        <v>11887.2</v>
      </c>
      <c r="G2382" s="197">
        <f>Tabla111[[#This Row],[Importe]]-Tabla111[[#This Row],[Pagado]]</f>
        <v>0</v>
      </c>
      <c r="H2382" s="75" t="s">
        <v>10</v>
      </c>
    </row>
    <row r="2383" spans="1:8" x14ac:dyDescent="0.25">
      <c r="A2383" s="148">
        <v>44856</v>
      </c>
      <c r="B2383" s="149" t="s">
        <v>34008</v>
      </c>
      <c r="C2383" s="153" t="s">
        <v>314</v>
      </c>
      <c r="D2383" s="154">
        <v>282</v>
      </c>
      <c r="E2383" s="231">
        <v>44856</v>
      </c>
      <c r="F2383" s="154">
        <v>282</v>
      </c>
      <c r="G2383" s="197">
        <f>Tabla111[[#This Row],[Importe]]-Tabla111[[#This Row],[Pagado]]</f>
        <v>0</v>
      </c>
      <c r="H2383" s="153" t="s">
        <v>10</v>
      </c>
    </row>
    <row r="2384" spans="1:8" x14ac:dyDescent="0.25">
      <c r="A2384" s="73">
        <v>44856</v>
      </c>
      <c r="B2384" s="74" t="s">
        <v>34009</v>
      </c>
      <c r="C2384" s="75" t="s">
        <v>1362</v>
      </c>
      <c r="D2384" s="81">
        <v>5616</v>
      </c>
      <c r="E2384" s="230">
        <v>44856</v>
      </c>
      <c r="F2384" s="81">
        <v>5616</v>
      </c>
      <c r="G2384" s="197">
        <f>Tabla111[[#This Row],[Importe]]-Tabla111[[#This Row],[Pagado]]</f>
        <v>0</v>
      </c>
      <c r="H2384" s="75" t="s">
        <v>10</v>
      </c>
    </row>
    <row r="2385" spans="1:8" x14ac:dyDescent="0.25">
      <c r="A2385" s="148">
        <v>44856</v>
      </c>
      <c r="B2385" s="149" t="s">
        <v>34010</v>
      </c>
      <c r="C2385" s="153" t="s">
        <v>31</v>
      </c>
      <c r="D2385" s="154">
        <v>5730.4</v>
      </c>
      <c r="E2385" s="231">
        <v>44856</v>
      </c>
      <c r="F2385" s="154">
        <v>5730.4</v>
      </c>
      <c r="G2385" s="197">
        <f>Tabla111[[#This Row],[Importe]]-Tabla111[[#This Row],[Pagado]]</f>
        <v>0</v>
      </c>
      <c r="H2385" s="153" t="s">
        <v>10</v>
      </c>
    </row>
    <row r="2386" spans="1:8" x14ac:dyDescent="0.25">
      <c r="A2386" s="73">
        <v>44856</v>
      </c>
      <c r="B2386" s="74" t="s">
        <v>34011</v>
      </c>
      <c r="C2386" s="75" t="s">
        <v>9827</v>
      </c>
      <c r="D2386" s="81">
        <v>9383.4</v>
      </c>
      <c r="E2386" s="230">
        <v>44856</v>
      </c>
      <c r="F2386" s="81">
        <v>9383.4</v>
      </c>
      <c r="G2386" s="197">
        <f>Tabla111[[#This Row],[Importe]]-Tabla111[[#This Row],[Pagado]]</f>
        <v>0</v>
      </c>
      <c r="H2386" s="75" t="s">
        <v>10</v>
      </c>
    </row>
    <row r="2387" spans="1:8" x14ac:dyDescent="0.25">
      <c r="A2387" s="148">
        <v>44856</v>
      </c>
      <c r="B2387" s="149" t="s">
        <v>34012</v>
      </c>
      <c r="C2387" s="153" t="s">
        <v>280</v>
      </c>
      <c r="D2387" s="154">
        <v>781.2</v>
      </c>
      <c r="E2387" s="231">
        <v>44856</v>
      </c>
      <c r="F2387" s="154">
        <v>781.2</v>
      </c>
      <c r="G2387" s="197">
        <f>Tabla111[[#This Row],[Importe]]-Tabla111[[#This Row],[Pagado]]</f>
        <v>0</v>
      </c>
      <c r="H2387" s="153" t="s">
        <v>10</v>
      </c>
    </row>
    <row r="2388" spans="1:8" x14ac:dyDescent="0.25">
      <c r="A2388" s="73">
        <v>44856</v>
      </c>
      <c r="B2388" s="74" t="s">
        <v>34013</v>
      </c>
      <c r="C2388" s="75" t="s">
        <v>9415</v>
      </c>
      <c r="D2388" s="81">
        <v>12652.1</v>
      </c>
      <c r="E2388" s="230">
        <v>44862</v>
      </c>
      <c r="F2388" s="81">
        <v>12652.1</v>
      </c>
      <c r="G2388" s="197">
        <f>Tabla111[[#This Row],[Importe]]-Tabla111[[#This Row],[Pagado]]</f>
        <v>0</v>
      </c>
      <c r="H2388" s="75" t="s">
        <v>10</v>
      </c>
    </row>
    <row r="2389" spans="1:8" x14ac:dyDescent="0.25">
      <c r="A2389" s="148">
        <v>44856</v>
      </c>
      <c r="B2389" s="149" t="s">
        <v>34014</v>
      </c>
      <c r="C2389" s="153" t="s">
        <v>31</v>
      </c>
      <c r="D2389" s="154">
        <v>4882.5</v>
      </c>
      <c r="E2389" s="231">
        <v>44856</v>
      </c>
      <c r="F2389" s="154">
        <v>4882.5</v>
      </c>
      <c r="G2389" s="197">
        <f>Tabla111[[#This Row],[Importe]]-Tabla111[[#This Row],[Pagado]]</f>
        <v>0</v>
      </c>
      <c r="H2389" s="153" t="s">
        <v>10</v>
      </c>
    </row>
    <row r="2390" spans="1:8" x14ac:dyDescent="0.25">
      <c r="A2390" s="73">
        <v>44856</v>
      </c>
      <c r="B2390" s="74" t="s">
        <v>34015</v>
      </c>
      <c r="C2390" s="75" t="s">
        <v>284</v>
      </c>
      <c r="D2390" s="81">
        <v>15685.8</v>
      </c>
      <c r="E2390" s="230">
        <v>44857</v>
      </c>
      <c r="F2390" s="81">
        <v>15685.8</v>
      </c>
      <c r="G2390" s="197">
        <f>Tabla111[[#This Row],[Importe]]-Tabla111[[#This Row],[Pagado]]</f>
        <v>0</v>
      </c>
      <c r="H2390" s="75" t="s">
        <v>10</v>
      </c>
    </row>
    <row r="2391" spans="1:8" x14ac:dyDescent="0.25">
      <c r="A2391" s="148">
        <v>44856</v>
      </c>
      <c r="B2391" s="149" t="s">
        <v>34016</v>
      </c>
      <c r="C2391" s="153" t="s">
        <v>5345</v>
      </c>
      <c r="D2391" s="154">
        <v>7878</v>
      </c>
      <c r="E2391" s="231">
        <v>44857</v>
      </c>
      <c r="F2391" s="154">
        <v>7878</v>
      </c>
      <c r="G2391" s="197">
        <f>Tabla111[[#This Row],[Importe]]-Tabla111[[#This Row],[Pagado]]</f>
        <v>0</v>
      </c>
      <c r="H2391" s="153" t="s">
        <v>10</v>
      </c>
    </row>
    <row r="2392" spans="1:8" x14ac:dyDescent="0.25">
      <c r="A2392" s="73">
        <v>44856</v>
      </c>
      <c r="B2392" s="74" t="s">
        <v>34017</v>
      </c>
      <c r="C2392" s="75" t="s">
        <v>34018</v>
      </c>
      <c r="D2392" s="81">
        <v>0</v>
      </c>
      <c r="E2392" s="232" t="s">
        <v>189</v>
      </c>
      <c r="F2392" s="81">
        <v>0</v>
      </c>
      <c r="G2392" s="197">
        <f>Tabla111[[#This Row],[Importe]]-Tabla111[[#This Row],[Pagado]]</f>
        <v>0</v>
      </c>
      <c r="H2392" s="75" t="s">
        <v>189</v>
      </c>
    </row>
    <row r="2393" spans="1:8" x14ac:dyDescent="0.25">
      <c r="A2393" s="148">
        <v>44856</v>
      </c>
      <c r="B2393" s="149" t="s">
        <v>34019</v>
      </c>
      <c r="C2393" s="153" t="s">
        <v>58</v>
      </c>
      <c r="D2393" s="154">
        <v>4657.8</v>
      </c>
      <c r="E2393" s="231">
        <v>44856</v>
      </c>
      <c r="F2393" s="154">
        <v>4657.8</v>
      </c>
      <c r="G2393" s="197">
        <f>Tabla111[[#This Row],[Importe]]-Tabla111[[#This Row],[Pagado]]</f>
        <v>0</v>
      </c>
      <c r="H2393" s="153" t="s">
        <v>10</v>
      </c>
    </row>
    <row r="2394" spans="1:8" x14ac:dyDescent="0.25">
      <c r="A2394" s="73">
        <v>44856</v>
      </c>
      <c r="B2394" s="74" t="s">
        <v>34020</v>
      </c>
      <c r="C2394" s="75" t="s">
        <v>2139</v>
      </c>
      <c r="D2394" s="81">
        <v>3802.7</v>
      </c>
      <c r="E2394" s="230">
        <v>44856</v>
      </c>
      <c r="F2394" s="81">
        <v>3802.7</v>
      </c>
      <c r="G2394" s="197">
        <f>Tabla111[[#This Row],[Importe]]-Tabla111[[#This Row],[Pagado]]</f>
        <v>0</v>
      </c>
      <c r="H2394" s="75" t="s">
        <v>10</v>
      </c>
    </row>
    <row r="2395" spans="1:8" x14ac:dyDescent="0.25">
      <c r="A2395" s="148">
        <v>44856</v>
      </c>
      <c r="B2395" s="149" t="s">
        <v>34021</v>
      </c>
      <c r="C2395" s="153" t="s">
        <v>56</v>
      </c>
      <c r="D2395" s="154">
        <v>8702</v>
      </c>
      <c r="E2395" s="231">
        <v>44856</v>
      </c>
      <c r="F2395" s="154">
        <v>8702</v>
      </c>
      <c r="G2395" s="197">
        <f>Tabla111[[#This Row],[Importe]]-Tabla111[[#This Row],[Pagado]]</f>
        <v>0</v>
      </c>
      <c r="H2395" s="153" t="s">
        <v>10</v>
      </c>
    </row>
    <row r="2396" spans="1:8" x14ac:dyDescent="0.25">
      <c r="A2396" s="73">
        <v>44856</v>
      </c>
      <c r="B2396" s="74" t="s">
        <v>34022</v>
      </c>
      <c r="C2396" s="75" t="s">
        <v>280</v>
      </c>
      <c r="D2396" s="81">
        <v>1427.4</v>
      </c>
      <c r="E2396" s="230">
        <v>44857</v>
      </c>
      <c r="F2396" s="81">
        <v>1427.4</v>
      </c>
      <c r="G2396" s="197">
        <f>Tabla111[[#This Row],[Importe]]-Tabla111[[#This Row],[Pagado]]</f>
        <v>0</v>
      </c>
      <c r="H2396" s="75" t="s">
        <v>10</v>
      </c>
    </row>
    <row r="2397" spans="1:8" x14ac:dyDescent="0.25">
      <c r="A2397" s="148">
        <v>44856</v>
      </c>
      <c r="B2397" s="149" t="s">
        <v>34023</v>
      </c>
      <c r="C2397" s="153" t="s">
        <v>10819</v>
      </c>
      <c r="D2397" s="154">
        <v>1989</v>
      </c>
      <c r="E2397" s="231">
        <v>44857</v>
      </c>
      <c r="F2397" s="154">
        <v>1989</v>
      </c>
      <c r="G2397" s="197">
        <f>Tabla111[[#This Row],[Importe]]-Tabla111[[#This Row],[Pagado]]</f>
        <v>0</v>
      </c>
      <c r="H2397" s="153" t="s">
        <v>10</v>
      </c>
    </row>
    <row r="2398" spans="1:8" x14ac:dyDescent="0.25">
      <c r="A2398" s="73">
        <v>44856</v>
      </c>
      <c r="B2398" s="74" t="s">
        <v>34024</v>
      </c>
      <c r="C2398" s="75" t="s">
        <v>16</v>
      </c>
      <c r="D2398" s="81">
        <v>1669.5</v>
      </c>
      <c r="E2398" s="230">
        <v>44856</v>
      </c>
      <c r="F2398" s="81">
        <v>1669.5</v>
      </c>
      <c r="G2398" s="197">
        <f>Tabla111[[#This Row],[Importe]]-Tabla111[[#This Row],[Pagado]]</f>
        <v>0</v>
      </c>
      <c r="H2398" s="75" t="s">
        <v>10</v>
      </c>
    </row>
    <row r="2399" spans="1:8" x14ac:dyDescent="0.25">
      <c r="A2399" s="148">
        <v>44856</v>
      </c>
      <c r="B2399" s="149" t="s">
        <v>34025</v>
      </c>
      <c r="C2399" s="153" t="s">
        <v>53</v>
      </c>
      <c r="D2399" s="154">
        <v>3248</v>
      </c>
      <c r="E2399" s="231">
        <v>44856</v>
      </c>
      <c r="F2399" s="154">
        <v>3248</v>
      </c>
      <c r="G2399" s="197">
        <f>Tabla111[[#This Row],[Importe]]-Tabla111[[#This Row],[Pagado]]</f>
        <v>0</v>
      </c>
      <c r="H2399" s="153" t="s">
        <v>10</v>
      </c>
    </row>
    <row r="2400" spans="1:8" x14ac:dyDescent="0.25">
      <c r="A2400" s="73">
        <v>44856</v>
      </c>
      <c r="B2400" s="74" t="s">
        <v>34026</v>
      </c>
      <c r="C2400" s="75" t="s">
        <v>67</v>
      </c>
      <c r="D2400" s="81">
        <v>2004.6</v>
      </c>
      <c r="E2400" s="230">
        <v>44856</v>
      </c>
      <c r="F2400" s="81">
        <v>2004.6</v>
      </c>
      <c r="G2400" s="197">
        <f>Tabla111[[#This Row],[Importe]]-Tabla111[[#This Row],[Pagado]]</f>
        <v>0</v>
      </c>
      <c r="H2400" s="75" t="s">
        <v>10</v>
      </c>
    </row>
    <row r="2401" spans="1:8" x14ac:dyDescent="0.25">
      <c r="A2401" s="148">
        <v>44856</v>
      </c>
      <c r="B2401" s="149" t="s">
        <v>34027</v>
      </c>
      <c r="C2401" s="153" t="s">
        <v>484</v>
      </c>
      <c r="D2401" s="154">
        <v>4884</v>
      </c>
      <c r="E2401" s="231">
        <v>44856</v>
      </c>
      <c r="F2401" s="154">
        <v>4884</v>
      </c>
      <c r="G2401" s="197">
        <f>Tabla111[[#This Row],[Importe]]-Tabla111[[#This Row],[Pagado]]</f>
        <v>0</v>
      </c>
      <c r="H2401" s="153" t="s">
        <v>10</v>
      </c>
    </row>
    <row r="2402" spans="1:8" x14ac:dyDescent="0.25">
      <c r="A2402" s="73">
        <v>44856</v>
      </c>
      <c r="B2402" s="74" t="s">
        <v>34028</v>
      </c>
      <c r="C2402" s="75" t="s">
        <v>421</v>
      </c>
      <c r="D2402" s="81">
        <v>16817.7</v>
      </c>
      <c r="E2402" s="230">
        <v>44868</v>
      </c>
      <c r="F2402" s="81">
        <v>16817.7</v>
      </c>
      <c r="G2402" s="197">
        <f>Tabla111[[#This Row],[Importe]]-Tabla111[[#This Row],[Pagado]]</f>
        <v>0</v>
      </c>
      <c r="H2402" s="75" t="s">
        <v>10</v>
      </c>
    </row>
    <row r="2403" spans="1:8" x14ac:dyDescent="0.25">
      <c r="A2403" s="148">
        <v>44856</v>
      </c>
      <c r="B2403" s="149" t="s">
        <v>34029</v>
      </c>
      <c r="C2403" s="153" t="s">
        <v>19637</v>
      </c>
      <c r="D2403" s="154">
        <v>5313.9</v>
      </c>
      <c r="E2403" s="231">
        <v>44860</v>
      </c>
      <c r="F2403" s="154">
        <v>5313.9</v>
      </c>
      <c r="G2403" s="197">
        <f>Tabla111[[#This Row],[Importe]]-Tabla111[[#This Row],[Pagado]]</f>
        <v>0</v>
      </c>
      <c r="H2403" s="153" t="s">
        <v>10</v>
      </c>
    </row>
    <row r="2404" spans="1:8" x14ac:dyDescent="0.25">
      <c r="A2404" s="73">
        <v>44856</v>
      </c>
      <c r="B2404" s="74" t="s">
        <v>34030</v>
      </c>
      <c r="C2404" s="75" t="s">
        <v>1421</v>
      </c>
      <c r="D2404" s="81">
        <v>51000</v>
      </c>
      <c r="E2404" s="230">
        <v>44856</v>
      </c>
      <c r="F2404" s="81">
        <v>51000</v>
      </c>
      <c r="G2404" s="197">
        <f>Tabla111[[#This Row],[Importe]]-Tabla111[[#This Row],[Pagado]]</f>
        <v>0</v>
      </c>
      <c r="H2404" s="75" t="s">
        <v>10</v>
      </c>
    </row>
    <row r="2405" spans="1:8" x14ac:dyDescent="0.25">
      <c r="A2405" s="148">
        <v>44856</v>
      </c>
      <c r="B2405" s="149" t="s">
        <v>34031</v>
      </c>
      <c r="C2405" s="153" t="s">
        <v>51</v>
      </c>
      <c r="D2405" s="154">
        <v>5413.8</v>
      </c>
      <c r="E2405" s="231">
        <v>44856</v>
      </c>
      <c r="F2405" s="154">
        <v>5413.8</v>
      </c>
      <c r="G2405" s="197">
        <f>Tabla111[[#This Row],[Importe]]-Tabla111[[#This Row],[Pagado]]</f>
        <v>0</v>
      </c>
      <c r="H2405" s="153" t="s">
        <v>10</v>
      </c>
    </row>
    <row r="2406" spans="1:8" x14ac:dyDescent="0.25">
      <c r="A2406" s="73">
        <v>44856</v>
      </c>
      <c r="B2406" s="74" t="s">
        <v>34032</v>
      </c>
      <c r="C2406" s="75" t="s">
        <v>71</v>
      </c>
      <c r="D2406" s="81">
        <v>1694.7</v>
      </c>
      <c r="E2406" s="230">
        <v>44856</v>
      </c>
      <c r="F2406" s="81">
        <v>1694.7</v>
      </c>
      <c r="G2406" s="197">
        <f>Tabla111[[#This Row],[Importe]]-Tabla111[[#This Row],[Pagado]]</f>
        <v>0</v>
      </c>
      <c r="H2406" s="75" t="s">
        <v>10</v>
      </c>
    </row>
    <row r="2407" spans="1:8" x14ac:dyDescent="0.25">
      <c r="A2407" s="148">
        <v>44856</v>
      </c>
      <c r="B2407" s="149" t="s">
        <v>34033</v>
      </c>
      <c r="C2407" s="153" t="s">
        <v>31</v>
      </c>
      <c r="D2407" s="154">
        <v>6543.6</v>
      </c>
      <c r="E2407" s="231">
        <v>44856</v>
      </c>
      <c r="F2407" s="154">
        <v>6543.6</v>
      </c>
      <c r="G2407" s="197">
        <f>Tabla111[[#This Row],[Importe]]-Tabla111[[#This Row],[Pagado]]</f>
        <v>0</v>
      </c>
      <c r="H2407" s="153" t="s">
        <v>10</v>
      </c>
    </row>
    <row r="2408" spans="1:8" x14ac:dyDescent="0.25">
      <c r="A2408" s="73">
        <v>44856</v>
      </c>
      <c r="B2408" s="74" t="s">
        <v>34034</v>
      </c>
      <c r="C2408" s="75" t="s">
        <v>296</v>
      </c>
      <c r="D2408" s="81">
        <v>4989.6000000000004</v>
      </c>
      <c r="E2408" s="230">
        <v>44856</v>
      </c>
      <c r="F2408" s="81">
        <v>4989.6000000000004</v>
      </c>
      <c r="G2408" s="197">
        <f>Tabla111[[#This Row],[Importe]]-Tabla111[[#This Row],[Pagado]]</f>
        <v>0</v>
      </c>
      <c r="H2408" s="75" t="s">
        <v>10</v>
      </c>
    </row>
    <row r="2409" spans="1:8" x14ac:dyDescent="0.25">
      <c r="A2409" s="148">
        <v>44856</v>
      </c>
      <c r="B2409" s="149" t="s">
        <v>34035</v>
      </c>
      <c r="C2409" s="153" t="s">
        <v>461</v>
      </c>
      <c r="D2409" s="154">
        <v>394</v>
      </c>
      <c r="E2409" s="231">
        <v>44856</v>
      </c>
      <c r="F2409" s="154">
        <v>394</v>
      </c>
      <c r="G2409" s="197">
        <f>Tabla111[[#This Row],[Importe]]-Tabla111[[#This Row],[Pagado]]</f>
        <v>0</v>
      </c>
      <c r="H2409" s="153" t="s">
        <v>10</v>
      </c>
    </row>
    <row r="2410" spans="1:8" x14ac:dyDescent="0.25">
      <c r="A2410" s="73">
        <v>44856</v>
      </c>
      <c r="B2410" s="74" t="s">
        <v>34036</v>
      </c>
      <c r="C2410" s="75" t="s">
        <v>463</v>
      </c>
      <c r="D2410" s="81">
        <v>550</v>
      </c>
      <c r="E2410" s="230">
        <v>44858</v>
      </c>
      <c r="F2410" s="81">
        <v>550</v>
      </c>
      <c r="G2410" s="197">
        <f>Tabla111[[#This Row],[Importe]]-Tabla111[[#This Row],[Pagado]]</f>
        <v>0</v>
      </c>
      <c r="H2410" s="75" t="s">
        <v>10</v>
      </c>
    </row>
    <row r="2411" spans="1:8" x14ac:dyDescent="0.25">
      <c r="A2411" s="148">
        <v>44856</v>
      </c>
      <c r="B2411" s="149" t="s">
        <v>34037</v>
      </c>
      <c r="C2411" s="153" t="s">
        <v>457</v>
      </c>
      <c r="D2411" s="154">
        <v>248</v>
      </c>
      <c r="E2411" s="231">
        <v>44856</v>
      </c>
      <c r="F2411" s="154">
        <v>248</v>
      </c>
      <c r="G2411" s="197">
        <f>Tabla111[[#This Row],[Importe]]-Tabla111[[#This Row],[Pagado]]</f>
        <v>0</v>
      </c>
      <c r="H2411" s="153" t="s">
        <v>10</v>
      </c>
    </row>
    <row r="2412" spans="1:8" x14ac:dyDescent="0.25">
      <c r="A2412" s="73">
        <v>44856</v>
      </c>
      <c r="B2412" s="74" t="s">
        <v>34038</v>
      </c>
      <c r="C2412" s="75" t="s">
        <v>459</v>
      </c>
      <c r="D2412" s="81">
        <v>213</v>
      </c>
      <c r="E2412" s="230">
        <v>44856</v>
      </c>
      <c r="F2412" s="81">
        <v>213</v>
      </c>
      <c r="G2412" s="197">
        <f>Tabla111[[#This Row],[Importe]]-Tabla111[[#This Row],[Pagado]]</f>
        <v>0</v>
      </c>
      <c r="H2412" s="75" t="s">
        <v>10</v>
      </c>
    </row>
    <row r="2413" spans="1:8" x14ac:dyDescent="0.25">
      <c r="A2413" s="148">
        <v>44856</v>
      </c>
      <c r="B2413" s="149" t="s">
        <v>34039</v>
      </c>
      <c r="C2413" s="153" t="s">
        <v>31</v>
      </c>
      <c r="D2413" s="154">
        <v>960</v>
      </c>
      <c r="E2413" s="231">
        <v>44856</v>
      </c>
      <c r="F2413" s="154">
        <v>960</v>
      </c>
      <c r="G2413" s="197">
        <f>Tabla111[[#This Row],[Importe]]-Tabla111[[#This Row],[Pagado]]</f>
        <v>0</v>
      </c>
      <c r="H2413" s="153" t="s">
        <v>10</v>
      </c>
    </row>
    <row r="2414" spans="1:8" x14ac:dyDescent="0.25">
      <c r="A2414" s="73">
        <v>44856</v>
      </c>
      <c r="B2414" s="74" t="s">
        <v>34040</v>
      </c>
      <c r="C2414" s="75" t="s">
        <v>31</v>
      </c>
      <c r="D2414" s="81">
        <v>843.6</v>
      </c>
      <c r="E2414" s="230">
        <v>44856</v>
      </c>
      <c r="F2414" s="81">
        <v>843.6</v>
      </c>
      <c r="G2414" s="197">
        <f>Tabla111[[#This Row],[Importe]]-Tabla111[[#This Row],[Pagado]]</f>
        <v>0</v>
      </c>
      <c r="H2414" s="75" t="s">
        <v>10</v>
      </c>
    </row>
    <row r="2415" spans="1:8" x14ac:dyDescent="0.25">
      <c r="A2415" s="148">
        <v>44856</v>
      </c>
      <c r="B2415" s="149" t="s">
        <v>34041</v>
      </c>
      <c r="C2415" s="153" t="s">
        <v>612</v>
      </c>
      <c r="D2415" s="154">
        <v>420</v>
      </c>
      <c r="E2415" s="231">
        <v>44856</v>
      </c>
      <c r="F2415" s="154">
        <v>420</v>
      </c>
      <c r="G2415" s="197">
        <f>Tabla111[[#This Row],[Importe]]-Tabla111[[#This Row],[Pagado]]</f>
        <v>0</v>
      </c>
      <c r="H2415" s="153" t="s">
        <v>10</v>
      </c>
    </row>
    <row r="2416" spans="1:8" x14ac:dyDescent="0.25">
      <c r="A2416" s="73">
        <v>44856</v>
      </c>
      <c r="B2416" s="74" t="s">
        <v>34042</v>
      </c>
      <c r="C2416" s="75" t="s">
        <v>31</v>
      </c>
      <c r="D2416" s="81">
        <v>7004.4</v>
      </c>
      <c r="E2416" s="230">
        <v>44856</v>
      </c>
      <c r="F2416" s="81">
        <v>7004.4</v>
      </c>
      <c r="G2416" s="197">
        <f>Tabla111[[#This Row],[Importe]]-Tabla111[[#This Row],[Pagado]]</f>
        <v>0</v>
      </c>
      <c r="H2416" s="75" t="s">
        <v>10</v>
      </c>
    </row>
    <row r="2417" spans="1:8" x14ac:dyDescent="0.25">
      <c r="A2417" s="148">
        <v>44856</v>
      </c>
      <c r="B2417" s="149" t="s">
        <v>34043</v>
      </c>
      <c r="C2417" s="153" t="s">
        <v>31</v>
      </c>
      <c r="D2417" s="154">
        <v>16416</v>
      </c>
      <c r="E2417" s="231">
        <v>44856</v>
      </c>
      <c r="F2417" s="154">
        <v>16416</v>
      </c>
      <c r="G2417" s="197">
        <f>Tabla111[[#This Row],[Importe]]-Tabla111[[#This Row],[Pagado]]</f>
        <v>0</v>
      </c>
      <c r="H2417" s="153" t="s">
        <v>10</v>
      </c>
    </row>
    <row r="2418" spans="1:8" x14ac:dyDescent="0.25">
      <c r="A2418" s="73">
        <v>44856</v>
      </c>
      <c r="B2418" s="74" t="s">
        <v>34044</v>
      </c>
      <c r="C2418" s="75" t="s">
        <v>31</v>
      </c>
      <c r="D2418" s="81">
        <v>96</v>
      </c>
      <c r="E2418" s="230">
        <v>44856</v>
      </c>
      <c r="F2418" s="81">
        <v>96</v>
      </c>
      <c r="G2418" s="197">
        <f>Tabla111[[#This Row],[Importe]]-Tabla111[[#This Row],[Pagado]]</f>
        <v>0</v>
      </c>
      <c r="H2418" s="75" t="s">
        <v>10</v>
      </c>
    </row>
    <row r="2419" spans="1:8" x14ac:dyDescent="0.25">
      <c r="A2419" s="148">
        <v>44856</v>
      </c>
      <c r="B2419" s="149" t="s">
        <v>34045</v>
      </c>
      <c r="C2419" s="153" t="s">
        <v>1008</v>
      </c>
      <c r="D2419" s="154">
        <v>2071</v>
      </c>
      <c r="E2419" s="231">
        <v>44856</v>
      </c>
      <c r="F2419" s="154">
        <v>2071</v>
      </c>
      <c r="G2419" s="197">
        <f>Tabla111[[#This Row],[Importe]]-Tabla111[[#This Row],[Pagado]]</f>
        <v>0</v>
      </c>
      <c r="H2419" s="153" t="s">
        <v>10</v>
      </c>
    </row>
    <row r="2420" spans="1:8" x14ac:dyDescent="0.25">
      <c r="A2420" s="73">
        <v>44856</v>
      </c>
      <c r="B2420" s="74" t="s">
        <v>34046</v>
      </c>
      <c r="C2420" s="75" t="s">
        <v>612</v>
      </c>
      <c r="D2420" s="81">
        <v>327.2</v>
      </c>
      <c r="E2420" s="230">
        <v>44856</v>
      </c>
      <c r="F2420" s="81">
        <v>327.2</v>
      </c>
      <c r="G2420" s="197">
        <f>Tabla111[[#This Row],[Importe]]-Tabla111[[#This Row],[Pagado]]</f>
        <v>0</v>
      </c>
      <c r="H2420" s="75" t="s">
        <v>10</v>
      </c>
    </row>
    <row r="2421" spans="1:8" x14ac:dyDescent="0.25">
      <c r="A2421" s="148">
        <v>44856</v>
      </c>
      <c r="B2421" s="149" t="s">
        <v>34047</v>
      </c>
      <c r="C2421" s="153" t="s">
        <v>857</v>
      </c>
      <c r="D2421" s="154">
        <v>3555.3</v>
      </c>
      <c r="E2421" s="231">
        <v>44856</v>
      </c>
      <c r="F2421" s="154">
        <v>3555.3</v>
      </c>
      <c r="G2421" s="197">
        <f>Tabla111[[#This Row],[Importe]]-Tabla111[[#This Row],[Pagado]]</f>
        <v>0</v>
      </c>
      <c r="H2421" s="153" t="s">
        <v>10</v>
      </c>
    </row>
    <row r="2422" spans="1:8" x14ac:dyDescent="0.25">
      <c r="A2422" s="73">
        <v>44856</v>
      </c>
      <c r="B2422" s="74" t="s">
        <v>34048</v>
      </c>
      <c r="C2422" s="75" t="s">
        <v>69</v>
      </c>
      <c r="D2422" s="81">
        <v>2098.1999999999998</v>
      </c>
      <c r="E2422" s="230">
        <v>44857</v>
      </c>
      <c r="F2422" s="81">
        <v>2098.1999999999998</v>
      </c>
      <c r="G2422" s="197">
        <f>Tabla111[[#This Row],[Importe]]-Tabla111[[#This Row],[Pagado]]</f>
        <v>0</v>
      </c>
      <c r="H2422" s="75" t="s">
        <v>10</v>
      </c>
    </row>
    <row r="2423" spans="1:8" x14ac:dyDescent="0.25">
      <c r="A2423" s="148">
        <v>44856</v>
      </c>
      <c r="B2423" s="149" t="s">
        <v>34049</v>
      </c>
      <c r="C2423" s="153" t="s">
        <v>10190</v>
      </c>
      <c r="D2423" s="154">
        <v>30397.8</v>
      </c>
      <c r="E2423" s="231">
        <v>44858</v>
      </c>
      <c r="F2423" s="154">
        <v>30397.8</v>
      </c>
      <c r="G2423" s="197">
        <f>Tabla111[[#This Row],[Importe]]-Tabla111[[#This Row],[Pagado]]</f>
        <v>0</v>
      </c>
      <c r="H2423" s="153" t="s">
        <v>10</v>
      </c>
    </row>
    <row r="2424" spans="1:8" x14ac:dyDescent="0.25">
      <c r="A2424" s="73">
        <v>44856</v>
      </c>
      <c r="B2424" s="74" t="s">
        <v>34050</v>
      </c>
      <c r="C2424" s="75" t="s">
        <v>31</v>
      </c>
      <c r="D2424" s="81">
        <v>774</v>
      </c>
      <c r="E2424" s="230">
        <v>44856</v>
      </c>
      <c r="F2424" s="81">
        <v>774</v>
      </c>
      <c r="G2424" s="197">
        <f>Tabla111[[#This Row],[Importe]]-Tabla111[[#This Row],[Pagado]]</f>
        <v>0</v>
      </c>
      <c r="H2424" s="75" t="s">
        <v>10</v>
      </c>
    </row>
    <row r="2425" spans="1:8" x14ac:dyDescent="0.25">
      <c r="A2425" s="148">
        <v>44856</v>
      </c>
      <c r="B2425" s="149" t="s">
        <v>34051</v>
      </c>
      <c r="C2425" s="153" t="s">
        <v>224</v>
      </c>
      <c r="D2425" s="154">
        <v>2147.6</v>
      </c>
      <c r="E2425" s="231">
        <v>44856</v>
      </c>
      <c r="F2425" s="154">
        <v>2147.6</v>
      </c>
      <c r="G2425" s="197">
        <f>Tabla111[[#This Row],[Importe]]-Tabla111[[#This Row],[Pagado]]</f>
        <v>0</v>
      </c>
      <c r="H2425" s="153" t="s">
        <v>10</v>
      </c>
    </row>
    <row r="2426" spans="1:8" x14ac:dyDescent="0.25">
      <c r="A2426" s="73">
        <v>44856</v>
      </c>
      <c r="B2426" s="74" t="s">
        <v>34052</v>
      </c>
      <c r="C2426" s="75" t="s">
        <v>654</v>
      </c>
      <c r="D2426" s="81">
        <v>10817.8</v>
      </c>
      <c r="E2426" s="230" t="s">
        <v>34053</v>
      </c>
      <c r="F2426" s="81">
        <f>7000+3817.8</f>
        <v>10817.8</v>
      </c>
      <c r="G2426" s="197">
        <f>Tabla111[[#This Row],[Importe]]-Tabla111[[#This Row],[Pagado]]</f>
        <v>0</v>
      </c>
      <c r="H2426" s="75" t="s">
        <v>10</v>
      </c>
    </row>
    <row r="2427" spans="1:8" x14ac:dyDescent="0.25">
      <c r="A2427" s="148">
        <v>44856</v>
      </c>
      <c r="B2427" s="149" t="s">
        <v>34054</v>
      </c>
      <c r="C2427" s="153" t="s">
        <v>296</v>
      </c>
      <c r="D2427" s="154">
        <v>1769</v>
      </c>
      <c r="E2427" s="231">
        <v>44856</v>
      </c>
      <c r="F2427" s="154">
        <v>1769</v>
      </c>
      <c r="G2427" s="197">
        <f>Tabla111[[#This Row],[Importe]]-Tabla111[[#This Row],[Pagado]]</f>
        <v>0</v>
      </c>
      <c r="H2427" s="153" t="s">
        <v>10</v>
      </c>
    </row>
    <row r="2428" spans="1:8" x14ac:dyDescent="0.25">
      <c r="A2428" s="73">
        <v>44856</v>
      </c>
      <c r="B2428" s="74" t="s">
        <v>34055</v>
      </c>
      <c r="C2428" s="75" t="s">
        <v>16</v>
      </c>
      <c r="D2428" s="81">
        <v>1694.7</v>
      </c>
      <c r="E2428" s="230">
        <v>44856</v>
      </c>
      <c r="F2428" s="81">
        <v>1694.7</v>
      </c>
      <c r="G2428" s="197">
        <f>Tabla111[[#This Row],[Importe]]-Tabla111[[#This Row],[Pagado]]</f>
        <v>0</v>
      </c>
      <c r="H2428" s="75" t="s">
        <v>10</v>
      </c>
    </row>
    <row r="2429" spans="1:8" x14ac:dyDescent="0.25">
      <c r="A2429" s="148">
        <v>44856</v>
      </c>
      <c r="B2429" s="149" t="s">
        <v>34056</v>
      </c>
      <c r="C2429" s="153" t="s">
        <v>3823</v>
      </c>
      <c r="D2429" s="154">
        <v>0</v>
      </c>
      <c r="E2429" s="233" t="s">
        <v>189</v>
      </c>
      <c r="F2429" s="154">
        <v>0</v>
      </c>
      <c r="G2429" s="197">
        <f>Tabla111[[#This Row],[Importe]]-Tabla111[[#This Row],[Pagado]]</f>
        <v>0</v>
      </c>
      <c r="H2429" s="153" t="s">
        <v>189</v>
      </c>
    </row>
    <row r="2430" spans="1:8" x14ac:dyDescent="0.25">
      <c r="A2430" s="73">
        <v>44856</v>
      </c>
      <c r="B2430" s="74" t="s">
        <v>34057</v>
      </c>
      <c r="C2430" s="75" t="s">
        <v>31</v>
      </c>
      <c r="D2430" s="81">
        <v>1053</v>
      </c>
      <c r="E2430" s="230">
        <v>44856</v>
      </c>
      <c r="F2430" s="81">
        <v>1053</v>
      </c>
      <c r="G2430" s="197">
        <f>Tabla111[[#This Row],[Importe]]-Tabla111[[#This Row],[Pagado]]</f>
        <v>0</v>
      </c>
      <c r="H2430" s="75" t="s">
        <v>10</v>
      </c>
    </row>
    <row r="2431" spans="1:8" x14ac:dyDescent="0.25">
      <c r="A2431" s="148">
        <v>44856</v>
      </c>
      <c r="B2431" s="149" t="s">
        <v>34058</v>
      </c>
      <c r="C2431" s="153" t="s">
        <v>35</v>
      </c>
      <c r="D2431" s="154">
        <v>4422.6000000000004</v>
      </c>
      <c r="E2431" s="231">
        <v>44856</v>
      </c>
      <c r="F2431" s="154">
        <v>4422.6000000000004</v>
      </c>
      <c r="G2431" s="197">
        <f>Tabla111[[#This Row],[Importe]]-Tabla111[[#This Row],[Pagado]]</f>
        <v>0</v>
      </c>
      <c r="H2431" s="153" t="s">
        <v>10</v>
      </c>
    </row>
    <row r="2432" spans="1:8" x14ac:dyDescent="0.25">
      <c r="A2432" s="73">
        <v>44856</v>
      </c>
      <c r="B2432" s="74" t="s">
        <v>34059</v>
      </c>
      <c r="C2432" s="75" t="s">
        <v>34060</v>
      </c>
      <c r="D2432" s="81">
        <v>0</v>
      </c>
      <c r="E2432" s="232" t="s">
        <v>189</v>
      </c>
      <c r="F2432" s="81">
        <v>0</v>
      </c>
      <c r="G2432" s="197">
        <f>Tabla111[[#This Row],[Importe]]-Tabla111[[#This Row],[Pagado]]</f>
        <v>0</v>
      </c>
      <c r="H2432" s="75" t="s">
        <v>189</v>
      </c>
    </row>
    <row r="2433" spans="1:8" x14ac:dyDescent="0.25">
      <c r="A2433" s="148">
        <v>44856</v>
      </c>
      <c r="B2433" s="149" t="s">
        <v>34061</v>
      </c>
      <c r="C2433" s="153" t="s">
        <v>8190</v>
      </c>
      <c r="D2433" s="154">
        <v>3192</v>
      </c>
      <c r="E2433" s="231">
        <v>44856</v>
      </c>
      <c r="F2433" s="154">
        <v>3192</v>
      </c>
      <c r="G2433" s="197">
        <f>Tabla111[[#This Row],[Importe]]-Tabla111[[#This Row],[Pagado]]</f>
        <v>0</v>
      </c>
      <c r="H2433" s="153" t="s">
        <v>10</v>
      </c>
    </row>
    <row r="2434" spans="1:8" x14ac:dyDescent="0.25">
      <c r="A2434" s="73">
        <v>44856</v>
      </c>
      <c r="B2434" s="74" t="s">
        <v>34062</v>
      </c>
      <c r="C2434" s="75" t="s">
        <v>31</v>
      </c>
      <c r="D2434" s="81">
        <v>826</v>
      </c>
      <c r="E2434" s="230">
        <v>44857</v>
      </c>
      <c r="F2434" s="81">
        <v>826</v>
      </c>
      <c r="G2434" s="197">
        <f>Tabla111[[#This Row],[Importe]]-Tabla111[[#This Row],[Pagado]]</f>
        <v>0</v>
      </c>
      <c r="H2434" s="75" t="s">
        <v>10</v>
      </c>
    </row>
    <row r="2435" spans="1:8" x14ac:dyDescent="0.25">
      <c r="A2435" s="148">
        <v>44857</v>
      </c>
      <c r="B2435" s="149" t="s">
        <v>34063</v>
      </c>
      <c r="C2435" s="153" t="s">
        <v>9</v>
      </c>
      <c r="D2435" s="154">
        <v>9079.1</v>
      </c>
      <c r="E2435" s="231">
        <v>44857</v>
      </c>
      <c r="F2435" s="154">
        <v>9079.1</v>
      </c>
      <c r="G2435" s="197">
        <f>Tabla111[[#This Row],[Importe]]-Tabla111[[#This Row],[Pagado]]</f>
        <v>0</v>
      </c>
      <c r="H2435" s="153" t="s">
        <v>10</v>
      </c>
    </row>
    <row r="2436" spans="1:8" x14ac:dyDescent="0.25">
      <c r="A2436" s="73">
        <v>44857</v>
      </c>
      <c r="B2436" s="74" t="s">
        <v>34064</v>
      </c>
      <c r="C2436" s="75" t="s">
        <v>20</v>
      </c>
      <c r="D2436" s="81">
        <v>12527.8</v>
      </c>
      <c r="E2436" s="230">
        <v>44857</v>
      </c>
      <c r="F2436" s="81">
        <v>12527.8</v>
      </c>
      <c r="G2436" s="197">
        <f>Tabla111[[#This Row],[Importe]]-Tabla111[[#This Row],[Pagado]]</f>
        <v>0</v>
      </c>
      <c r="H2436" s="75" t="s">
        <v>10</v>
      </c>
    </row>
    <row r="2437" spans="1:8" x14ac:dyDescent="0.25">
      <c r="A2437" s="148">
        <v>44857</v>
      </c>
      <c r="B2437" s="149" t="s">
        <v>34065</v>
      </c>
      <c r="C2437" s="153" t="s">
        <v>12</v>
      </c>
      <c r="D2437" s="154">
        <v>32014.6</v>
      </c>
      <c r="E2437" s="231">
        <v>44857</v>
      </c>
      <c r="F2437" s="154">
        <v>32014.6</v>
      </c>
      <c r="G2437" s="197">
        <f>Tabla111[[#This Row],[Importe]]-Tabla111[[#This Row],[Pagado]]</f>
        <v>0</v>
      </c>
      <c r="H2437" s="153" t="s">
        <v>10</v>
      </c>
    </row>
    <row r="2438" spans="1:8" x14ac:dyDescent="0.25">
      <c r="A2438" s="73">
        <v>44857</v>
      </c>
      <c r="B2438" s="74" t="s">
        <v>34066</v>
      </c>
      <c r="C2438" s="75" t="s">
        <v>31</v>
      </c>
      <c r="D2438" s="81">
        <v>1092.3</v>
      </c>
      <c r="E2438" s="230">
        <v>44857</v>
      </c>
      <c r="F2438" s="81">
        <v>1092.3</v>
      </c>
      <c r="G2438" s="197">
        <f>Tabla111[[#This Row],[Importe]]-Tabla111[[#This Row],[Pagado]]</f>
        <v>0</v>
      </c>
      <c r="H2438" s="75" t="s">
        <v>10</v>
      </c>
    </row>
    <row r="2439" spans="1:8" x14ac:dyDescent="0.25">
      <c r="A2439" s="148">
        <v>44857</v>
      </c>
      <c r="B2439" s="149" t="s">
        <v>34067</v>
      </c>
      <c r="C2439" s="153" t="s">
        <v>17556</v>
      </c>
      <c r="D2439" s="154">
        <v>4158</v>
      </c>
      <c r="E2439" s="231">
        <v>44857</v>
      </c>
      <c r="F2439" s="154">
        <v>4158</v>
      </c>
      <c r="G2439" s="197">
        <f>Tabla111[[#This Row],[Importe]]-Tabla111[[#This Row],[Pagado]]</f>
        <v>0</v>
      </c>
      <c r="H2439" s="153" t="s">
        <v>10</v>
      </c>
    </row>
    <row r="2440" spans="1:8" x14ac:dyDescent="0.25">
      <c r="A2440" s="73">
        <v>44857</v>
      </c>
      <c r="B2440" s="74" t="s">
        <v>34068</v>
      </c>
      <c r="C2440" s="75" t="s">
        <v>33</v>
      </c>
      <c r="D2440" s="81">
        <v>18732.8</v>
      </c>
      <c r="E2440" s="230">
        <v>44857</v>
      </c>
      <c r="F2440" s="81">
        <v>18732.8</v>
      </c>
      <c r="G2440" s="197">
        <f>Tabla111[[#This Row],[Importe]]-Tabla111[[#This Row],[Pagado]]</f>
        <v>0</v>
      </c>
      <c r="H2440" s="75" t="s">
        <v>10</v>
      </c>
    </row>
    <row r="2441" spans="1:8" x14ac:dyDescent="0.25">
      <c r="A2441" s="148">
        <v>44857</v>
      </c>
      <c r="B2441" s="149" t="s">
        <v>34069</v>
      </c>
      <c r="C2441" s="153" t="s">
        <v>501</v>
      </c>
      <c r="D2441" s="154">
        <v>8407.2000000000007</v>
      </c>
      <c r="E2441" s="231">
        <v>44857</v>
      </c>
      <c r="F2441" s="154">
        <v>8407.2000000000007</v>
      </c>
      <c r="G2441" s="197">
        <f>Tabla111[[#This Row],[Importe]]-Tabla111[[#This Row],[Pagado]]</f>
        <v>0</v>
      </c>
      <c r="H2441" s="153" t="s">
        <v>10</v>
      </c>
    </row>
    <row r="2442" spans="1:8" x14ac:dyDescent="0.25">
      <c r="A2442" s="73">
        <v>44857</v>
      </c>
      <c r="B2442" s="74" t="s">
        <v>34070</v>
      </c>
      <c r="C2442" s="75" t="s">
        <v>29</v>
      </c>
      <c r="D2442" s="81">
        <v>12480</v>
      </c>
      <c r="E2442" s="230">
        <v>44857</v>
      </c>
      <c r="F2442" s="81">
        <v>12480</v>
      </c>
      <c r="G2442" s="197">
        <f>Tabla111[[#This Row],[Importe]]-Tabla111[[#This Row],[Pagado]]</f>
        <v>0</v>
      </c>
      <c r="H2442" s="75" t="s">
        <v>10</v>
      </c>
    </row>
    <row r="2443" spans="1:8" x14ac:dyDescent="0.25">
      <c r="A2443" s="148">
        <v>44857</v>
      </c>
      <c r="B2443" s="149" t="s">
        <v>34071</v>
      </c>
      <c r="C2443" s="153" t="s">
        <v>22</v>
      </c>
      <c r="D2443" s="154">
        <v>36111.9</v>
      </c>
      <c r="E2443" s="231">
        <v>44858</v>
      </c>
      <c r="F2443" s="154">
        <v>36111.9</v>
      </c>
      <c r="G2443" s="197">
        <f>Tabla111[[#This Row],[Importe]]-Tabla111[[#This Row],[Pagado]]</f>
        <v>0</v>
      </c>
      <c r="H2443" s="153" t="s">
        <v>10</v>
      </c>
    </row>
    <row r="2444" spans="1:8" x14ac:dyDescent="0.25">
      <c r="A2444" s="73">
        <v>44857</v>
      </c>
      <c r="B2444" s="74" t="s">
        <v>34072</v>
      </c>
      <c r="C2444" s="75" t="s">
        <v>2780</v>
      </c>
      <c r="D2444" s="81">
        <v>17008.099999999999</v>
      </c>
      <c r="E2444" s="230">
        <v>44857</v>
      </c>
      <c r="F2444" s="81">
        <v>17008.099999999999</v>
      </c>
      <c r="G2444" s="197">
        <f>Tabla111[[#This Row],[Importe]]-Tabla111[[#This Row],[Pagado]]</f>
        <v>0</v>
      </c>
      <c r="H2444" s="75" t="s">
        <v>10</v>
      </c>
    </row>
    <row r="2445" spans="1:8" x14ac:dyDescent="0.25">
      <c r="A2445" s="148">
        <v>44857</v>
      </c>
      <c r="B2445" s="149" t="s">
        <v>34073</v>
      </c>
      <c r="C2445" s="153" t="s">
        <v>37</v>
      </c>
      <c r="D2445" s="154">
        <v>3785.6</v>
      </c>
      <c r="E2445" s="231">
        <v>44857</v>
      </c>
      <c r="F2445" s="154">
        <v>3785.6</v>
      </c>
      <c r="G2445" s="197">
        <f>Tabla111[[#This Row],[Importe]]-Tabla111[[#This Row],[Pagado]]</f>
        <v>0</v>
      </c>
      <c r="H2445" s="153" t="s">
        <v>10</v>
      </c>
    </row>
    <row r="2446" spans="1:8" x14ac:dyDescent="0.25">
      <c r="A2446" s="73">
        <v>44857</v>
      </c>
      <c r="B2446" s="74" t="s">
        <v>34074</v>
      </c>
      <c r="C2446" s="75" t="s">
        <v>16</v>
      </c>
      <c r="D2446" s="81">
        <v>11046</v>
      </c>
      <c r="E2446" s="230">
        <v>44857</v>
      </c>
      <c r="F2446" s="81">
        <v>11046</v>
      </c>
      <c r="G2446" s="197">
        <f>Tabla111[[#This Row],[Importe]]-Tabla111[[#This Row],[Pagado]]</f>
        <v>0</v>
      </c>
      <c r="H2446" s="75" t="s">
        <v>10</v>
      </c>
    </row>
    <row r="2447" spans="1:8" x14ac:dyDescent="0.25">
      <c r="A2447" s="148">
        <v>44857</v>
      </c>
      <c r="B2447" s="149" t="s">
        <v>34075</v>
      </c>
      <c r="C2447" s="153" t="s">
        <v>56</v>
      </c>
      <c r="D2447" s="154">
        <v>7474</v>
      </c>
      <c r="E2447" s="231">
        <v>44857</v>
      </c>
      <c r="F2447" s="154">
        <v>7474</v>
      </c>
      <c r="G2447" s="197">
        <f>Tabla111[[#This Row],[Importe]]-Tabla111[[#This Row],[Pagado]]</f>
        <v>0</v>
      </c>
      <c r="H2447" s="153" t="s">
        <v>10</v>
      </c>
    </row>
    <row r="2448" spans="1:8" x14ac:dyDescent="0.25">
      <c r="A2448" s="73">
        <v>44857</v>
      </c>
      <c r="B2448" s="74" t="s">
        <v>34076</v>
      </c>
      <c r="C2448" s="75" t="s">
        <v>58</v>
      </c>
      <c r="D2448" s="81">
        <v>2473.8000000000002</v>
      </c>
      <c r="E2448" s="230">
        <v>44857</v>
      </c>
      <c r="F2448" s="81">
        <v>2473.8000000000002</v>
      </c>
      <c r="G2448" s="197">
        <f>Tabla111[[#This Row],[Importe]]-Tabla111[[#This Row],[Pagado]]</f>
        <v>0</v>
      </c>
      <c r="H2448" s="75" t="s">
        <v>10</v>
      </c>
    </row>
    <row r="2449" spans="1:8" x14ac:dyDescent="0.25">
      <c r="A2449" s="148">
        <v>44857</v>
      </c>
      <c r="B2449" s="149" t="s">
        <v>34077</v>
      </c>
      <c r="C2449" s="153" t="s">
        <v>1676</v>
      </c>
      <c r="D2449" s="154">
        <v>3697.2</v>
      </c>
      <c r="E2449" s="231">
        <v>44857</v>
      </c>
      <c r="F2449" s="154">
        <v>3697.2</v>
      </c>
      <c r="G2449" s="197">
        <f>Tabla111[[#This Row],[Importe]]-Tabla111[[#This Row],[Pagado]]</f>
        <v>0</v>
      </c>
      <c r="H2449" s="153" t="s">
        <v>10</v>
      </c>
    </row>
    <row r="2450" spans="1:8" x14ac:dyDescent="0.25">
      <c r="A2450" s="73">
        <v>44857</v>
      </c>
      <c r="B2450" s="74" t="s">
        <v>34078</v>
      </c>
      <c r="C2450" s="75" t="s">
        <v>49</v>
      </c>
      <c r="D2450" s="81">
        <v>6336</v>
      </c>
      <c r="E2450" s="230">
        <v>44857</v>
      </c>
      <c r="F2450" s="81">
        <v>6336</v>
      </c>
      <c r="G2450" s="197">
        <f>Tabla111[[#This Row],[Importe]]-Tabla111[[#This Row],[Pagado]]</f>
        <v>0</v>
      </c>
      <c r="H2450" s="75" t="s">
        <v>10</v>
      </c>
    </row>
    <row r="2451" spans="1:8" x14ac:dyDescent="0.25">
      <c r="A2451" s="148">
        <v>44857</v>
      </c>
      <c r="B2451" s="149" t="s">
        <v>34079</v>
      </c>
      <c r="C2451" s="153" t="s">
        <v>815</v>
      </c>
      <c r="D2451" s="154">
        <v>2448</v>
      </c>
      <c r="E2451" s="231">
        <v>44857</v>
      </c>
      <c r="F2451" s="154">
        <v>2448</v>
      </c>
      <c r="G2451" s="197">
        <f>Tabla111[[#This Row],[Importe]]-Tabla111[[#This Row],[Pagado]]</f>
        <v>0</v>
      </c>
      <c r="H2451" s="153" t="s">
        <v>10</v>
      </c>
    </row>
    <row r="2452" spans="1:8" x14ac:dyDescent="0.25">
      <c r="A2452" s="73">
        <v>44857</v>
      </c>
      <c r="B2452" s="74" t="s">
        <v>34080</v>
      </c>
      <c r="C2452" s="75" t="s">
        <v>191</v>
      </c>
      <c r="D2452" s="81">
        <v>2745.6</v>
      </c>
      <c r="E2452" s="230">
        <v>44857</v>
      </c>
      <c r="F2452" s="81">
        <v>2745.6</v>
      </c>
      <c r="G2452" s="197">
        <f>Tabla111[[#This Row],[Importe]]-Tabla111[[#This Row],[Pagado]]</f>
        <v>0</v>
      </c>
      <c r="H2452" s="75" t="s">
        <v>10</v>
      </c>
    </row>
    <row r="2453" spans="1:8" x14ac:dyDescent="0.25">
      <c r="A2453" s="148">
        <v>44857</v>
      </c>
      <c r="B2453" s="149" t="s">
        <v>34081</v>
      </c>
      <c r="C2453" s="153" t="s">
        <v>51</v>
      </c>
      <c r="D2453" s="154">
        <v>1728</v>
      </c>
      <c r="E2453" s="231">
        <v>44857</v>
      </c>
      <c r="F2453" s="154">
        <v>1728</v>
      </c>
      <c r="G2453" s="197">
        <f>Tabla111[[#This Row],[Importe]]-Tabla111[[#This Row],[Pagado]]</f>
        <v>0</v>
      </c>
      <c r="H2453" s="153" t="s">
        <v>10</v>
      </c>
    </row>
    <row r="2454" spans="1:8" x14ac:dyDescent="0.25">
      <c r="A2454" s="73">
        <v>44857</v>
      </c>
      <c r="B2454" s="74" t="s">
        <v>34082</v>
      </c>
      <c r="C2454" s="75" t="s">
        <v>97</v>
      </c>
      <c r="D2454" s="81">
        <v>9026.9</v>
      </c>
      <c r="E2454" s="230">
        <v>44857</v>
      </c>
      <c r="F2454" s="81">
        <v>9026.9</v>
      </c>
      <c r="G2454" s="197">
        <f>Tabla111[[#This Row],[Importe]]-Tabla111[[#This Row],[Pagado]]</f>
        <v>0</v>
      </c>
      <c r="H2454" s="75" t="s">
        <v>10</v>
      </c>
    </row>
    <row r="2455" spans="1:8" x14ac:dyDescent="0.25">
      <c r="A2455" s="148">
        <v>44857</v>
      </c>
      <c r="B2455" s="149" t="s">
        <v>34083</v>
      </c>
      <c r="C2455" s="153" t="s">
        <v>45</v>
      </c>
      <c r="D2455" s="154">
        <v>7810.6</v>
      </c>
      <c r="E2455" s="231">
        <v>44857</v>
      </c>
      <c r="F2455" s="154">
        <v>7810.6</v>
      </c>
      <c r="G2455" s="197">
        <f>Tabla111[[#This Row],[Importe]]-Tabla111[[#This Row],[Pagado]]</f>
        <v>0</v>
      </c>
      <c r="H2455" s="153" t="s">
        <v>10</v>
      </c>
    </row>
    <row r="2456" spans="1:8" x14ac:dyDescent="0.25">
      <c r="A2456" s="73">
        <v>44857</v>
      </c>
      <c r="B2456" s="74" t="s">
        <v>34084</v>
      </c>
      <c r="C2456" s="75" t="s">
        <v>34085</v>
      </c>
      <c r="D2456" s="81">
        <v>0</v>
      </c>
      <c r="E2456" s="232" t="s">
        <v>189</v>
      </c>
      <c r="F2456" s="81">
        <v>0</v>
      </c>
      <c r="G2456" s="197">
        <f>Tabla111[[#This Row],[Importe]]-Tabla111[[#This Row],[Pagado]]</f>
        <v>0</v>
      </c>
      <c r="H2456" s="161" t="s">
        <v>34086</v>
      </c>
    </row>
    <row r="2457" spans="1:8" x14ac:dyDescent="0.25">
      <c r="A2457" s="148">
        <v>44857</v>
      </c>
      <c r="B2457" s="149" t="s">
        <v>34087</v>
      </c>
      <c r="C2457" s="153" t="s">
        <v>224</v>
      </c>
      <c r="D2457" s="154">
        <v>3490.2</v>
      </c>
      <c r="E2457" s="231">
        <v>44857</v>
      </c>
      <c r="F2457" s="154">
        <v>3490.2</v>
      </c>
      <c r="G2457" s="197">
        <f>Tabla111[[#This Row],[Importe]]-Tabla111[[#This Row],[Pagado]]</f>
        <v>0</v>
      </c>
      <c r="H2457" s="153" t="s">
        <v>10</v>
      </c>
    </row>
    <row r="2458" spans="1:8" x14ac:dyDescent="0.25">
      <c r="A2458" s="73">
        <v>44857</v>
      </c>
      <c r="B2458" s="74" t="s">
        <v>34088</v>
      </c>
      <c r="C2458" s="75" t="s">
        <v>382</v>
      </c>
      <c r="D2458" s="81">
        <v>8247.6</v>
      </c>
      <c r="E2458" s="230">
        <v>44857</v>
      </c>
      <c r="F2458" s="81">
        <v>8247.6</v>
      </c>
      <c r="G2458" s="197">
        <f>Tabla111[[#This Row],[Importe]]-Tabla111[[#This Row],[Pagado]]</f>
        <v>0</v>
      </c>
      <c r="H2458" s="75" t="s">
        <v>10</v>
      </c>
    </row>
    <row r="2459" spans="1:8" x14ac:dyDescent="0.25">
      <c r="A2459" s="148">
        <v>44857</v>
      </c>
      <c r="B2459" s="149" t="s">
        <v>34089</v>
      </c>
      <c r="C2459" s="153" t="s">
        <v>1003</v>
      </c>
      <c r="D2459" s="154">
        <v>14078</v>
      </c>
      <c r="E2459" s="231">
        <v>44859</v>
      </c>
      <c r="F2459" s="154">
        <v>14078</v>
      </c>
      <c r="G2459" s="197">
        <f>Tabla111[[#This Row],[Importe]]-Tabla111[[#This Row],[Pagado]]</f>
        <v>0</v>
      </c>
      <c r="H2459" s="153" t="s">
        <v>10</v>
      </c>
    </row>
    <row r="2460" spans="1:8" x14ac:dyDescent="0.25">
      <c r="A2460" s="73">
        <v>44857</v>
      </c>
      <c r="B2460" s="74" t="s">
        <v>34090</v>
      </c>
      <c r="C2460" s="75" t="s">
        <v>216</v>
      </c>
      <c r="D2460" s="81">
        <v>3338.4</v>
      </c>
      <c r="E2460" s="230">
        <v>44857</v>
      </c>
      <c r="F2460" s="81">
        <v>3338.4</v>
      </c>
      <c r="G2460" s="197">
        <f>Tabla111[[#This Row],[Importe]]-Tabla111[[#This Row],[Pagado]]</f>
        <v>0</v>
      </c>
      <c r="H2460" s="75" t="s">
        <v>10</v>
      </c>
    </row>
    <row r="2461" spans="1:8" x14ac:dyDescent="0.25">
      <c r="A2461" s="148">
        <v>44857</v>
      </c>
      <c r="B2461" s="149" t="s">
        <v>34091</v>
      </c>
      <c r="C2461" s="153" t="s">
        <v>289</v>
      </c>
      <c r="D2461" s="154">
        <v>19350.400000000001</v>
      </c>
      <c r="E2461" s="231">
        <v>44857</v>
      </c>
      <c r="F2461" s="154">
        <v>19350.400000000001</v>
      </c>
      <c r="G2461" s="197">
        <f>Tabla111[[#This Row],[Importe]]-Tabla111[[#This Row],[Pagado]]</f>
        <v>0</v>
      </c>
      <c r="H2461" s="153" t="s">
        <v>10</v>
      </c>
    </row>
    <row r="2462" spans="1:8" x14ac:dyDescent="0.25">
      <c r="A2462" s="73">
        <v>44857</v>
      </c>
      <c r="B2462" s="74" t="s">
        <v>34092</v>
      </c>
      <c r="C2462" s="75" t="s">
        <v>24</v>
      </c>
      <c r="D2462" s="81">
        <v>3054.6</v>
      </c>
      <c r="E2462" s="230">
        <v>44857</v>
      </c>
      <c r="F2462" s="81">
        <v>3054.6</v>
      </c>
      <c r="G2462" s="197">
        <f>Tabla111[[#This Row],[Importe]]-Tabla111[[#This Row],[Pagado]]</f>
        <v>0</v>
      </c>
      <c r="H2462" s="75" t="s">
        <v>10</v>
      </c>
    </row>
    <row r="2463" spans="1:8" x14ac:dyDescent="0.25">
      <c r="A2463" s="148">
        <v>44857</v>
      </c>
      <c r="B2463" s="149" t="s">
        <v>34093</v>
      </c>
      <c r="C2463" s="153" t="s">
        <v>289</v>
      </c>
      <c r="D2463" s="154">
        <v>1179.9000000000001</v>
      </c>
      <c r="E2463" s="231">
        <v>44857</v>
      </c>
      <c r="F2463" s="154">
        <v>1179.9000000000001</v>
      </c>
      <c r="G2463" s="197">
        <f>Tabla111[[#This Row],[Importe]]-Tabla111[[#This Row],[Pagado]]</f>
        <v>0</v>
      </c>
      <c r="H2463" s="153" t="s">
        <v>10</v>
      </c>
    </row>
    <row r="2464" spans="1:8" x14ac:dyDescent="0.25">
      <c r="A2464" s="73">
        <v>44857</v>
      </c>
      <c r="B2464" s="74" t="s">
        <v>34094</v>
      </c>
      <c r="C2464" s="75" t="s">
        <v>31</v>
      </c>
      <c r="D2464" s="81">
        <v>1593.6</v>
      </c>
      <c r="E2464" s="230">
        <v>44857</v>
      </c>
      <c r="F2464" s="81">
        <v>1593.6</v>
      </c>
      <c r="G2464" s="197">
        <f>Tabla111[[#This Row],[Importe]]-Tabla111[[#This Row],[Pagado]]</f>
        <v>0</v>
      </c>
      <c r="H2464" s="75" t="s">
        <v>10</v>
      </c>
    </row>
    <row r="2465" spans="1:8" x14ac:dyDescent="0.25">
      <c r="A2465" s="148">
        <v>44857</v>
      </c>
      <c r="B2465" s="149" t="s">
        <v>34095</v>
      </c>
      <c r="C2465" s="153" t="s">
        <v>296</v>
      </c>
      <c r="D2465" s="154">
        <v>3127</v>
      </c>
      <c r="E2465" s="231">
        <v>44857</v>
      </c>
      <c r="F2465" s="154">
        <v>3127</v>
      </c>
      <c r="G2465" s="197">
        <f>Tabla111[[#This Row],[Importe]]-Tabla111[[#This Row],[Pagado]]</f>
        <v>0</v>
      </c>
      <c r="H2465" s="153" t="s">
        <v>10</v>
      </c>
    </row>
    <row r="2466" spans="1:8" x14ac:dyDescent="0.25">
      <c r="A2466" s="73">
        <v>44857</v>
      </c>
      <c r="B2466" s="74" t="s">
        <v>34096</v>
      </c>
      <c r="C2466" s="75" t="s">
        <v>214</v>
      </c>
      <c r="D2466" s="81">
        <v>1965.6</v>
      </c>
      <c r="E2466" s="230">
        <v>44857</v>
      </c>
      <c r="F2466" s="81">
        <v>1965.6</v>
      </c>
      <c r="G2466" s="197">
        <f>Tabla111[[#This Row],[Importe]]-Tabla111[[#This Row],[Pagado]]</f>
        <v>0</v>
      </c>
      <c r="H2466" s="75" t="s">
        <v>10</v>
      </c>
    </row>
    <row r="2467" spans="1:8" x14ac:dyDescent="0.25">
      <c r="A2467" s="148">
        <v>44857</v>
      </c>
      <c r="B2467" s="149" t="s">
        <v>34097</v>
      </c>
      <c r="C2467" s="153" t="s">
        <v>31</v>
      </c>
      <c r="D2467" s="154">
        <v>1965.2</v>
      </c>
      <c r="E2467" s="231">
        <v>44857</v>
      </c>
      <c r="F2467" s="154">
        <v>1965.2</v>
      </c>
      <c r="G2467" s="197">
        <f>Tabla111[[#This Row],[Importe]]-Tabla111[[#This Row],[Pagado]]</f>
        <v>0</v>
      </c>
      <c r="H2467" s="153" t="s">
        <v>10</v>
      </c>
    </row>
    <row r="2468" spans="1:8" x14ac:dyDescent="0.25">
      <c r="A2468" s="73">
        <v>44857</v>
      </c>
      <c r="B2468" s="74" t="s">
        <v>34098</v>
      </c>
      <c r="C2468" s="75" t="s">
        <v>31</v>
      </c>
      <c r="D2468" s="81">
        <v>7074.6</v>
      </c>
      <c r="E2468" s="230">
        <v>44857</v>
      </c>
      <c r="F2468" s="81">
        <v>7074.6</v>
      </c>
      <c r="G2468" s="197">
        <f>Tabla111[[#This Row],[Importe]]-Tabla111[[#This Row],[Pagado]]</f>
        <v>0</v>
      </c>
      <c r="H2468" s="75" t="s">
        <v>10</v>
      </c>
    </row>
    <row r="2469" spans="1:8" x14ac:dyDescent="0.25">
      <c r="A2469" s="148">
        <v>44857</v>
      </c>
      <c r="B2469" s="149" t="s">
        <v>34099</v>
      </c>
      <c r="C2469" s="153" t="s">
        <v>31</v>
      </c>
      <c r="D2469" s="154">
        <v>1200</v>
      </c>
      <c r="E2469" s="231">
        <v>44857</v>
      </c>
      <c r="F2469" s="154">
        <v>1200</v>
      </c>
      <c r="G2469" s="197">
        <f>Tabla111[[#This Row],[Importe]]-Tabla111[[#This Row],[Pagado]]</f>
        <v>0</v>
      </c>
      <c r="H2469" s="153" t="s">
        <v>10</v>
      </c>
    </row>
    <row r="2470" spans="1:8" x14ac:dyDescent="0.25">
      <c r="A2470" s="73">
        <v>44857</v>
      </c>
      <c r="B2470" s="74" t="s">
        <v>34100</v>
      </c>
      <c r="C2470" s="75" t="s">
        <v>24284</v>
      </c>
      <c r="D2470" s="81">
        <v>1279.2</v>
      </c>
      <c r="E2470" s="230">
        <v>44857</v>
      </c>
      <c r="F2470" s="81">
        <v>1279.2</v>
      </c>
      <c r="G2470" s="197">
        <f>Tabla111[[#This Row],[Importe]]-Tabla111[[#This Row],[Pagado]]</f>
        <v>0</v>
      </c>
      <c r="H2470" s="75" t="s">
        <v>10</v>
      </c>
    </row>
    <row r="2471" spans="1:8" x14ac:dyDescent="0.25">
      <c r="A2471" s="148">
        <v>44857</v>
      </c>
      <c r="B2471" s="149" t="s">
        <v>34101</v>
      </c>
      <c r="C2471" s="153" t="s">
        <v>67</v>
      </c>
      <c r="D2471" s="154">
        <v>2689.2</v>
      </c>
      <c r="E2471" s="231">
        <v>44857</v>
      </c>
      <c r="F2471" s="154">
        <v>2689.2</v>
      </c>
      <c r="G2471" s="197">
        <f>Tabla111[[#This Row],[Importe]]-Tabla111[[#This Row],[Pagado]]</f>
        <v>0</v>
      </c>
      <c r="H2471" s="153" t="s">
        <v>10</v>
      </c>
    </row>
    <row r="2472" spans="1:8" x14ac:dyDescent="0.25">
      <c r="A2472" s="73">
        <v>44857</v>
      </c>
      <c r="B2472" s="74" t="s">
        <v>34102</v>
      </c>
      <c r="C2472" s="75" t="s">
        <v>53</v>
      </c>
      <c r="D2472" s="81">
        <v>688</v>
      </c>
      <c r="E2472" s="230">
        <v>44857</v>
      </c>
      <c r="F2472" s="81">
        <v>688</v>
      </c>
      <c r="G2472" s="197">
        <f>Tabla111[[#This Row],[Importe]]-Tabla111[[#This Row],[Pagado]]</f>
        <v>0</v>
      </c>
      <c r="H2472" s="75" t="s">
        <v>10</v>
      </c>
    </row>
    <row r="2473" spans="1:8" x14ac:dyDescent="0.25">
      <c r="A2473" s="148">
        <v>44857</v>
      </c>
      <c r="B2473" s="149" t="s">
        <v>34103</v>
      </c>
      <c r="C2473" s="153" t="s">
        <v>11383</v>
      </c>
      <c r="D2473" s="154">
        <v>30881.5</v>
      </c>
      <c r="E2473" s="231">
        <v>44857</v>
      </c>
      <c r="F2473" s="154">
        <v>30881.5</v>
      </c>
      <c r="G2473" s="197">
        <f>Tabla111[[#This Row],[Importe]]-Tabla111[[#This Row],[Pagado]]</f>
        <v>0</v>
      </c>
      <c r="H2473" s="153" t="s">
        <v>10</v>
      </c>
    </row>
    <row r="2474" spans="1:8" x14ac:dyDescent="0.25">
      <c r="A2474" s="73">
        <v>44857</v>
      </c>
      <c r="B2474" s="74" t="s">
        <v>34104</v>
      </c>
      <c r="C2474" s="75" t="s">
        <v>71</v>
      </c>
      <c r="D2474" s="81">
        <v>4504.5</v>
      </c>
      <c r="E2474" s="230">
        <v>44857</v>
      </c>
      <c r="F2474" s="81">
        <v>4504.5</v>
      </c>
      <c r="G2474" s="197">
        <f>Tabla111[[#This Row],[Importe]]-Tabla111[[#This Row],[Pagado]]</f>
        <v>0</v>
      </c>
      <c r="H2474" s="75" t="s">
        <v>10</v>
      </c>
    </row>
    <row r="2475" spans="1:8" x14ac:dyDescent="0.25">
      <c r="A2475" s="148">
        <v>44857</v>
      </c>
      <c r="B2475" s="149" t="s">
        <v>34105</v>
      </c>
      <c r="C2475" s="153" t="s">
        <v>16</v>
      </c>
      <c r="D2475" s="154">
        <v>5153.3999999999996</v>
      </c>
      <c r="E2475" s="231">
        <v>44857</v>
      </c>
      <c r="F2475" s="154">
        <v>5153.3999999999996</v>
      </c>
      <c r="G2475" s="197">
        <f>Tabla111[[#This Row],[Importe]]-Tabla111[[#This Row],[Pagado]]</f>
        <v>0</v>
      </c>
      <c r="H2475" s="153" t="s">
        <v>10</v>
      </c>
    </row>
    <row r="2476" spans="1:8" x14ac:dyDescent="0.25">
      <c r="A2476" s="73">
        <v>44857</v>
      </c>
      <c r="B2476" s="74" t="s">
        <v>34106</v>
      </c>
      <c r="C2476" s="75" t="s">
        <v>69</v>
      </c>
      <c r="D2476" s="81">
        <v>2605.8000000000002</v>
      </c>
      <c r="E2476" s="230">
        <v>44857</v>
      </c>
      <c r="F2476" s="81">
        <v>2605.8000000000002</v>
      </c>
      <c r="G2476" s="197">
        <f>Tabla111[[#This Row],[Importe]]-Tabla111[[#This Row],[Pagado]]</f>
        <v>0</v>
      </c>
      <c r="H2476" s="75" t="s">
        <v>10</v>
      </c>
    </row>
    <row r="2477" spans="1:8" x14ac:dyDescent="0.25">
      <c r="A2477" s="148">
        <v>44857</v>
      </c>
      <c r="B2477" s="149" t="s">
        <v>34107</v>
      </c>
      <c r="C2477" s="153" t="s">
        <v>296</v>
      </c>
      <c r="D2477" s="154">
        <v>5782.7</v>
      </c>
      <c r="E2477" s="231">
        <v>44857</v>
      </c>
      <c r="F2477" s="154">
        <v>5782.7</v>
      </c>
      <c r="G2477" s="197">
        <f>Tabla111[[#This Row],[Importe]]-Tabla111[[#This Row],[Pagado]]</f>
        <v>0</v>
      </c>
      <c r="H2477" s="153" t="s">
        <v>10</v>
      </c>
    </row>
    <row r="2478" spans="1:8" x14ac:dyDescent="0.25">
      <c r="A2478" s="73">
        <v>44857</v>
      </c>
      <c r="B2478" s="74" t="s">
        <v>34108</v>
      </c>
      <c r="C2478" s="75" t="s">
        <v>296</v>
      </c>
      <c r="D2478" s="81">
        <v>229.4</v>
      </c>
      <c r="E2478" s="230">
        <v>44857</v>
      </c>
      <c r="F2478" s="81">
        <v>229.4</v>
      </c>
      <c r="G2478" s="197">
        <f>Tabla111[[#This Row],[Importe]]-Tabla111[[#This Row],[Pagado]]</f>
        <v>0</v>
      </c>
      <c r="H2478" s="75" t="s">
        <v>10</v>
      </c>
    </row>
    <row r="2479" spans="1:8" x14ac:dyDescent="0.25">
      <c r="A2479" s="148">
        <v>44857</v>
      </c>
      <c r="B2479" s="149" t="s">
        <v>34109</v>
      </c>
      <c r="C2479" s="153" t="s">
        <v>75</v>
      </c>
      <c r="D2479" s="154">
        <v>14320.8</v>
      </c>
      <c r="E2479" s="231">
        <v>44857</v>
      </c>
      <c r="F2479" s="154">
        <v>14320.8</v>
      </c>
      <c r="G2479" s="197">
        <f>Tabla111[[#This Row],[Importe]]-Tabla111[[#This Row],[Pagado]]</f>
        <v>0</v>
      </c>
      <c r="H2479" s="153" t="s">
        <v>10</v>
      </c>
    </row>
    <row r="2480" spans="1:8" x14ac:dyDescent="0.25">
      <c r="A2480" s="73">
        <v>44857</v>
      </c>
      <c r="B2480" s="74" t="s">
        <v>34110</v>
      </c>
      <c r="C2480" s="75" t="s">
        <v>56</v>
      </c>
      <c r="D2480" s="81">
        <v>8583.6</v>
      </c>
      <c r="E2480" s="230">
        <v>44857</v>
      </c>
      <c r="F2480" s="81">
        <v>8583.6</v>
      </c>
      <c r="G2480" s="197">
        <f>Tabla111[[#This Row],[Importe]]-Tabla111[[#This Row],[Pagado]]</f>
        <v>0</v>
      </c>
      <c r="H2480" s="75" t="s">
        <v>10</v>
      </c>
    </row>
    <row r="2481" spans="1:8" x14ac:dyDescent="0.25">
      <c r="A2481" s="148">
        <v>44858</v>
      </c>
      <c r="B2481" s="149" t="s">
        <v>34111</v>
      </c>
      <c r="C2481" s="153" t="s">
        <v>887</v>
      </c>
      <c r="D2481" s="154">
        <v>10753.5</v>
      </c>
      <c r="E2481" s="231">
        <v>44858</v>
      </c>
      <c r="F2481" s="154">
        <v>10753.5</v>
      </c>
      <c r="G2481" s="197">
        <f>Tabla111[[#This Row],[Importe]]-Tabla111[[#This Row],[Pagado]]</f>
        <v>0</v>
      </c>
      <c r="H2481" s="153" t="s">
        <v>10</v>
      </c>
    </row>
    <row r="2482" spans="1:8" x14ac:dyDescent="0.25">
      <c r="A2482" s="73">
        <v>44858</v>
      </c>
      <c r="B2482" s="74" t="s">
        <v>34112</v>
      </c>
      <c r="C2482" s="75" t="s">
        <v>12</v>
      </c>
      <c r="D2482" s="81">
        <v>37380.800000000003</v>
      </c>
      <c r="E2482" s="230">
        <v>44858</v>
      </c>
      <c r="F2482" s="81">
        <v>37380.800000000003</v>
      </c>
      <c r="G2482" s="197">
        <f>Tabla111[[#This Row],[Importe]]-Tabla111[[#This Row],[Pagado]]</f>
        <v>0</v>
      </c>
      <c r="H2482" s="75" t="s">
        <v>10</v>
      </c>
    </row>
    <row r="2483" spans="1:8" x14ac:dyDescent="0.25">
      <c r="A2483" s="148">
        <v>44858</v>
      </c>
      <c r="B2483" s="149" t="s">
        <v>34113</v>
      </c>
      <c r="C2483" s="153" t="s">
        <v>475</v>
      </c>
      <c r="D2483" s="154">
        <v>123052.2</v>
      </c>
      <c r="E2483" s="231" t="s">
        <v>34114</v>
      </c>
      <c r="F2483" s="154">
        <f>115000+8052.2</f>
        <v>123052.2</v>
      </c>
      <c r="G2483" s="197">
        <f>Tabla111[[#This Row],[Importe]]-Tabla111[[#This Row],[Pagado]]</f>
        <v>0</v>
      </c>
      <c r="H2483" s="153" t="s">
        <v>10</v>
      </c>
    </row>
    <row r="2484" spans="1:8" x14ac:dyDescent="0.25">
      <c r="A2484" s="73">
        <v>44858</v>
      </c>
      <c r="B2484" s="74" t="s">
        <v>34115</v>
      </c>
      <c r="C2484" s="75" t="s">
        <v>18</v>
      </c>
      <c r="D2484" s="81">
        <v>2410.1999999999998</v>
      </c>
      <c r="E2484" s="230">
        <v>44858</v>
      </c>
      <c r="F2484" s="81">
        <v>2410.1999999999998</v>
      </c>
      <c r="G2484" s="197">
        <f>Tabla111[[#This Row],[Importe]]-Tabla111[[#This Row],[Pagado]]</f>
        <v>0</v>
      </c>
      <c r="H2484" s="75" t="s">
        <v>10</v>
      </c>
    </row>
    <row r="2485" spans="1:8" x14ac:dyDescent="0.25">
      <c r="A2485" s="148">
        <v>44858</v>
      </c>
      <c r="B2485" s="149" t="s">
        <v>34116</v>
      </c>
      <c r="C2485" s="153" t="s">
        <v>1187</v>
      </c>
      <c r="D2485" s="154">
        <v>2488.4</v>
      </c>
      <c r="E2485" s="231">
        <v>44858</v>
      </c>
      <c r="F2485" s="154">
        <v>2488.4</v>
      </c>
      <c r="G2485" s="197">
        <f>Tabla111[[#This Row],[Importe]]-Tabla111[[#This Row],[Pagado]]</f>
        <v>0</v>
      </c>
      <c r="H2485" s="153" t="s">
        <v>10</v>
      </c>
    </row>
    <row r="2486" spans="1:8" x14ac:dyDescent="0.25">
      <c r="A2486" s="73">
        <v>44858</v>
      </c>
      <c r="B2486" s="74" t="s">
        <v>34117</v>
      </c>
      <c r="C2486" s="75" t="s">
        <v>109</v>
      </c>
      <c r="D2486" s="81">
        <v>6038.5</v>
      </c>
      <c r="E2486" s="230">
        <v>44859</v>
      </c>
      <c r="F2486" s="81">
        <v>6038.5</v>
      </c>
      <c r="G2486" s="197">
        <f>Tabla111[[#This Row],[Importe]]-Tabla111[[#This Row],[Pagado]]</f>
        <v>0</v>
      </c>
      <c r="H2486" s="75" t="s">
        <v>10</v>
      </c>
    </row>
    <row r="2487" spans="1:8" x14ac:dyDescent="0.25">
      <c r="A2487" s="148">
        <v>44858</v>
      </c>
      <c r="B2487" s="149" t="s">
        <v>34118</v>
      </c>
      <c r="C2487" s="153" t="s">
        <v>111</v>
      </c>
      <c r="D2487" s="154">
        <v>5973.5</v>
      </c>
      <c r="E2487" s="231">
        <v>44859</v>
      </c>
      <c r="F2487" s="154">
        <v>5973.5</v>
      </c>
      <c r="G2487" s="197">
        <f>Tabla111[[#This Row],[Importe]]-Tabla111[[#This Row],[Pagado]]</f>
        <v>0</v>
      </c>
      <c r="H2487" s="153" t="s">
        <v>10</v>
      </c>
    </row>
    <row r="2488" spans="1:8" x14ac:dyDescent="0.25">
      <c r="A2488" s="73">
        <v>44858</v>
      </c>
      <c r="B2488" s="74" t="s">
        <v>34119</v>
      </c>
      <c r="C2488" s="75" t="s">
        <v>2563</v>
      </c>
      <c r="D2488" s="81">
        <v>5199.2</v>
      </c>
      <c r="E2488" s="230">
        <v>44860</v>
      </c>
      <c r="F2488" s="81">
        <v>5199.2</v>
      </c>
      <c r="G2488" s="197">
        <f>Tabla111[[#This Row],[Importe]]-Tabla111[[#This Row],[Pagado]]</f>
        <v>0</v>
      </c>
      <c r="H2488" s="75" t="s">
        <v>10</v>
      </c>
    </row>
    <row r="2489" spans="1:8" x14ac:dyDescent="0.25">
      <c r="A2489" s="148">
        <v>44858</v>
      </c>
      <c r="B2489" s="149" t="s">
        <v>34120</v>
      </c>
      <c r="C2489" s="153" t="s">
        <v>60</v>
      </c>
      <c r="D2489" s="154">
        <v>5187</v>
      </c>
      <c r="E2489" s="231">
        <v>44860</v>
      </c>
      <c r="F2489" s="154">
        <v>5187</v>
      </c>
      <c r="G2489" s="197">
        <f>Tabla111[[#This Row],[Importe]]-Tabla111[[#This Row],[Pagado]]</f>
        <v>0</v>
      </c>
      <c r="H2489" s="153" t="s">
        <v>10</v>
      </c>
    </row>
    <row r="2490" spans="1:8" x14ac:dyDescent="0.25">
      <c r="A2490" s="73">
        <v>44858</v>
      </c>
      <c r="B2490" s="74" t="s">
        <v>34121</v>
      </c>
      <c r="C2490" s="75" t="s">
        <v>9</v>
      </c>
      <c r="D2490" s="81">
        <v>7591.6</v>
      </c>
      <c r="E2490" s="230">
        <v>44858</v>
      </c>
      <c r="F2490" s="81">
        <v>7591.6</v>
      </c>
      <c r="G2490" s="197">
        <f>Tabla111[[#This Row],[Importe]]-Tabla111[[#This Row],[Pagado]]</f>
        <v>0</v>
      </c>
      <c r="H2490" s="75" t="s">
        <v>10</v>
      </c>
    </row>
    <row r="2491" spans="1:8" x14ac:dyDescent="0.25">
      <c r="A2491" s="148">
        <v>44858</v>
      </c>
      <c r="B2491" s="149" t="s">
        <v>34122</v>
      </c>
      <c r="C2491" s="153" t="s">
        <v>131</v>
      </c>
      <c r="D2491" s="154">
        <v>5800.2</v>
      </c>
      <c r="E2491" s="231">
        <v>44858</v>
      </c>
      <c r="F2491" s="154">
        <v>5800.2</v>
      </c>
      <c r="G2491" s="197">
        <f>Tabla111[[#This Row],[Importe]]-Tabla111[[#This Row],[Pagado]]</f>
        <v>0</v>
      </c>
      <c r="H2491" s="153" t="s">
        <v>10</v>
      </c>
    </row>
    <row r="2492" spans="1:8" x14ac:dyDescent="0.25">
      <c r="A2492" s="73">
        <v>44858</v>
      </c>
      <c r="B2492" s="74" t="s">
        <v>34123</v>
      </c>
      <c r="C2492" s="75" t="s">
        <v>83</v>
      </c>
      <c r="D2492" s="81">
        <v>20571.400000000001</v>
      </c>
      <c r="E2492" s="230">
        <v>44858</v>
      </c>
      <c r="F2492" s="81">
        <v>20571.400000000001</v>
      </c>
      <c r="G2492" s="197">
        <f>Tabla111[[#This Row],[Importe]]-Tabla111[[#This Row],[Pagado]]</f>
        <v>0</v>
      </c>
      <c r="H2492" s="75" t="s">
        <v>10</v>
      </c>
    </row>
    <row r="2493" spans="1:8" x14ac:dyDescent="0.25">
      <c r="A2493" s="148">
        <v>44858</v>
      </c>
      <c r="B2493" s="149" t="s">
        <v>34124</v>
      </c>
      <c r="C2493" s="153" t="s">
        <v>93</v>
      </c>
      <c r="D2493" s="154">
        <v>9281</v>
      </c>
      <c r="E2493" s="231" t="s">
        <v>34125</v>
      </c>
      <c r="F2493" s="154">
        <f>4000+5281</f>
        <v>9281</v>
      </c>
      <c r="G2493" s="197">
        <f>Tabla111[[#This Row],[Importe]]-Tabla111[[#This Row],[Pagado]]</f>
        <v>0</v>
      </c>
      <c r="H2493" s="153" t="s">
        <v>10</v>
      </c>
    </row>
    <row r="2494" spans="1:8" x14ac:dyDescent="0.25">
      <c r="A2494" s="73">
        <v>44858</v>
      </c>
      <c r="B2494" s="74" t="s">
        <v>34126</v>
      </c>
      <c r="C2494" s="75" t="s">
        <v>2151</v>
      </c>
      <c r="D2494" s="81">
        <v>19876.599999999999</v>
      </c>
      <c r="E2494" s="230">
        <v>44858</v>
      </c>
      <c r="F2494" s="81">
        <v>19876.599999999999</v>
      </c>
      <c r="G2494" s="197">
        <f>Tabla111[[#This Row],[Importe]]-Tabla111[[#This Row],[Pagado]]</f>
        <v>0</v>
      </c>
      <c r="H2494" s="75" t="s">
        <v>10</v>
      </c>
    </row>
    <row r="2495" spans="1:8" x14ac:dyDescent="0.25">
      <c r="A2495" s="148">
        <v>44858</v>
      </c>
      <c r="B2495" s="149" t="s">
        <v>34127</v>
      </c>
      <c r="C2495" s="153" t="s">
        <v>114</v>
      </c>
      <c r="D2495" s="154">
        <v>7514.9</v>
      </c>
      <c r="E2495" s="231">
        <v>44859</v>
      </c>
      <c r="F2495" s="154">
        <v>7514.9</v>
      </c>
      <c r="G2495" s="197">
        <f>Tabla111[[#This Row],[Importe]]-Tabla111[[#This Row],[Pagado]]</f>
        <v>0</v>
      </c>
      <c r="H2495" s="153" t="s">
        <v>10</v>
      </c>
    </row>
    <row r="2496" spans="1:8" x14ac:dyDescent="0.25">
      <c r="A2496" s="73">
        <v>44858</v>
      </c>
      <c r="B2496" s="74" t="s">
        <v>34128</v>
      </c>
      <c r="C2496" s="75" t="s">
        <v>105</v>
      </c>
      <c r="D2496" s="81">
        <v>15603.2</v>
      </c>
      <c r="E2496" s="230">
        <v>44860</v>
      </c>
      <c r="F2496" s="81">
        <v>15603.2</v>
      </c>
      <c r="G2496" s="197">
        <f>Tabla111[[#This Row],[Importe]]-Tabla111[[#This Row],[Pagado]]</f>
        <v>0</v>
      </c>
      <c r="H2496" s="75" t="s">
        <v>10</v>
      </c>
    </row>
    <row r="2497" spans="1:8" x14ac:dyDescent="0.25">
      <c r="A2497" s="148">
        <v>44858</v>
      </c>
      <c r="B2497" s="149" t="s">
        <v>34129</v>
      </c>
      <c r="C2497" s="153" t="s">
        <v>97</v>
      </c>
      <c r="D2497" s="154">
        <v>13765.2</v>
      </c>
      <c r="E2497" s="231">
        <v>44859</v>
      </c>
      <c r="F2497" s="154">
        <v>13765.2</v>
      </c>
      <c r="G2497" s="197">
        <f>Tabla111[[#This Row],[Importe]]-Tabla111[[#This Row],[Pagado]]</f>
        <v>0</v>
      </c>
      <c r="H2497" s="153" t="s">
        <v>10</v>
      </c>
    </row>
    <row r="2498" spans="1:8" x14ac:dyDescent="0.25">
      <c r="A2498" s="73">
        <v>44858</v>
      </c>
      <c r="B2498" s="74" t="s">
        <v>34130</v>
      </c>
      <c r="C2498" s="75" t="s">
        <v>89</v>
      </c>
      <c r="D2498" s="81">
        <v>13299</v>
      </c>
      <c r="E2498" s="230">
        <v>44494</v>
      </c>
      <c r="F2498" s="81">
        <v>13299</v>
      </c>
      <c r="G2498" s="197">
        <f>Tabla111[[#This Row],[Importe]]-Tabla111[[#This Row],[Pagado]]</f>
        <v>0</v>
      </c>
      <c r="H2498" s="75" t="s">
        <v>10</v>
      </c>
    </row>
    <row r="2499" spans="1:8" x14ac:dyDescent="0.25">
      <c r="A2499" s="148">
        <v>44858</v>
      </c>
      <c r="B2499" s="149" t="s">
        <v>34131</v>
      </c>
      <c r="C2499" s="153" t="s">
        <v>348</v>
      </c>
      <c r="D2499" s="154">
        <v>4383.2</v>
      </c>
      <c r="E2499" s="231">
        <v>44858</v>
      </c>
      <c r="F2499" s="154">
        <v>4383.2</v>
      </c>
      <c r="G2499" s="197">
        <f>Tabla111[[#This Row],[Importe]]-Tabla111[[#This Row],[Pagado]]</f>
        <v>0</v>
      </c>
      <c r="H2499" s="153" t="s">
        <v>10</v>
      </c>
    </row>
    <row r="2500" spans="1:8" x14ac:dyDescent="0.25">
      <c r="A2500" s="73">
        <v>44858</v>
      </c>
      <c r="B2500" s="74" t="s">
        <v>34132</v>
      </c>
      <c r="C2500" s="75" t="s">
        <v>161</v>
      </c>
      <c r="D2500" s="81">
        <v>4620</v>
      </c>
      <c r="E2500" s="230">
        <v>44858</v>
      </c>
      <c r="F2500" s="81">
        <v>4620</v>
      </c>
      <c r="G2500" s="197">
        <f>Tabla111[[#This Row],[Importe]]-Tabla111[[#This Row],[Pagado]]</f>
        <v>0</v>
      </c>
      <c r="H2500" s="75" t="s">
        <v>10</v>
      </c>
    </row>
    <row r="2501" spans="1:8" x14ac:dyDescent="0.25">
      <c r="A2501" s="148">
        <v>44858</v>
      </c>
      <c r="B2501" s="149" t="s">
        <v>34133</v>
      </c>
      <c r="C2501" s="153" t="s">
        <v>345</v>
      </c>
      <c r="D2501" s="154">
        <v>655.20000000000005</v>
      </c>
      <c r="E2501" s="231">
        <v>44858</v>
      </c>
      <c r="F2501" s="154">
        <v>655.20000000000005</v>
      </c>
      <c r="G2501" s="197">
        <f>Tabla111[[#This Row],[Importe]]-Tabla111[[#This Row],[Pagado]]</f>
        <v>0</v>
      </c>
      <c r="H2501" s="153" t="s">
        <v>10</v>
      </c>
    </row>
    <row r="2502" spans="1:8" x14ac:dyDescent="0.25">
      <c r="A2502" s="73">
        <v>44858</v>
      </c>
      <c r="B2502" s="74" t="s">
        <v>34134</v>
      </c>
      <c r="C2502" s="75" t="s">
        <v>22</v>
      </c>
      <c r="D2502" s="81">
        <v>55221.1</v>
      </c>
      <c r="E2502" s="230">
        <v>44859</v>
      </c>
      <c r="F2502" s="81">
        <v>55221.1</v>
      </c>
      <c r="G2502" s="197">
        <f>Tabla111[[#This Row],[Importe]]-Tabla111[[#This Row],[Pagado]]</f>
        <v>0</v>
      </c>
      <c r="H2502" s="75" t="s">
        <v>10</v>
      </c>
    </row>
    <row r="2503" spans="1:8" x14ac:dyDescent="0.25">
      <c r="A2503" s="148">
        <v>44858</v>
      </c>
      <c r="B2503" s="149" t="s">
        <v>34135</v>
      </c>
      <c r="C2503" s="153" t="s">
        <v>924</v>
      </c>
      <c r="D2503" s="154">
        <v>7657.26</v>
      </c>
      <c r="E2503" s="231">
        <v>44858</v>
      </c>
      <c r="F2503" s="154">
        <v>7657.26</v>
      </c>
      <c r="G2503" s="197">
        <f>Tabla111[[#This Row],[Importe]]-Tabla111[[#This Row],[Pagado]]</f>
        <v>0</v>
      </c>
      <c r="H2503" s="153" t="s">
        <v>10</v>
      </c>
    </row>
    <row r="2504" spans="1:8" x14ac:dyDescent="0.25">
      <c r="A2504" s="73">
        <v>44858</v>
      </c>
      <c r="B2504" s="74" t="s">
        <v>34136</v>
      </c>
      <c r="C2504" s="75" t="s">
        <v>17556</v>
      </c>
      <c r="D2504" s="81">
        <v>4150.3</v>
      </c>
      <c r="E2504" s="230">
        <v>44858</v>
      </c>
      <c r="F2504" s="81">
        <v>4150.3</v>
      </c>
      <c r="G2504" s="197">
        <f>Tabla111[[#This Row],[Importe]]-Tabla111[[#This Row],[Pagado]]</f>
        <v>0</v>
      </c>
      <c r="H2504" s="75" t="s">
        <v>10</v>
      </c>
    </row>
    <row r="2505" spans="1:8" x14ac:dyDescent="0.25">
      <c r="A2505" s="148">
        <v>44858</v>
      </c>
      <c r="B2505" s="149" t="s">
        <v>34137</v>
      </c>
      <c r="C2505" s="153" t="s">
        <v>87</v>
      </c>
      <c r="D2505" s="154">
        <v>3523.5</v>
      </c>
      <c r="E2505" s="231">
        <v>44858</v>
      </c>
      <c r="F2505" s="154">
        <v>3523.5</v>
      </c>
      <c r="G2505" s="197">
        <f>Tabla111[[#This Row],[Importe]]-Tabla111[[#This Row],[Pagado]]</f>
        <v>0</v>
      </c>
      <c r="H2505" s="153" t="s">
        <v>10</v>
      </c>
    </row>
    <row r="2506" spans="1:8" x14ac:dyDescent="0.25">
      <c r="A2506" s="73">
        <v>44858</v>
      </c>
      <c r="B2506" s="74" t="s">
        <v>34138</v>
      </c>
      <c r="C2506" s="75" t="s">
        <v>664</v>
      </c>
      <c r="D2506" s="81">
        <v>7471.8</v>
      </c>
      <c r="E2506" s="230">
        <v>44858</v>
      </c>
      <c r="F2506" s="81">
        <v>7471.8</v>
      </c>
      <c r="G2506" s="197">
        <f>Tabla111[[#This Row],[Importe]]-Tabla111[[#This Row],[Pagado]]</f>
        <v>0</v>
      </c>
      <c r="H2506" s="75" t="s">
        <v>10</v>
      </c>
    </row>
    <row r="2507" spans="1:8" x14ac:dyDescent="0.25">
      <c r="A2507" s="148">
        <v>44858</v>
      </c>
      <c r="B2507" s="149" t="s">
        <v>34139</v>
      </c>
      <c r="C2507" s="153" t="s">
        <v>34140</v>
      </c>
      <c r="D2507" s="154">
        <v>0</v>
      </c>
      <c r="E2507" s="233" t="s">
        <v>189</v>
      </c>
      <c r="F2507" s="154">
        <v>0</v>
      </c>
      <c r="G2507" s="197">
        <f>Tabla111[[#This Row],[Importe]]-Tabla111[[#This Row],[Pagado]]</f>
        <v>0</v>
      </c>
      <c r="H2507" s="153" t="s">
        <v>189</v>
      </c>
    </row>
    <row r="2508" spans="1:8" x14ac:dyDescent="0.25">
      <c r="A2508" s="73">
        <v>44858</v>
      </c>
      <c r="B2508" s="74" t="s">
        <v>34141</v>
      </c>
      <c r="C2508" s="75" t="s">
        <v>314</v>
      </c>
      <c r="D2508" s="81">
        <v>2614</v>
      </c>
      <c r="E2508" s="230">
        <v>44858</v>
      </c>
      <c r="F2508" s="81">
        <v>2614</v>
      </c>
      <c r="G2508" s="197">
        <f>Tabla111[[#This Row],[Importe]]-Tabla111[[#This Row],[Pagado]]</f>
        <v>0</v>
      </c>
      <c r="H2508" s="75" t="s">
        <v>10</v>
      </c>
    </row>
    <row r="2509" spans="1:8" x14ac:dyDescent="0.25">
      <c r="A2509" s="148">
        <v>44858</v>
      </c>
      <c r="B2509" s="149" t="s">
        <v>34142</v>
      </c>
      <c r="C2509" s="153" t="s">
        <v>16</v>
      </c>
      <c r="D2509" s="154">
        <v>7159.8</v>
      </c>
      <c r="E2509" s="231">
        <v>44858</v>
      </c>
      <c r="F2509" s="154">
        <v>7159.8</v>
      </c>
      <c r="G2509" s="197">
        <f>Tabla111[[#This Row],[Importe]]-Tabla111[[#This Row],[Pagado]]</f>
        <v>0</v>
      </c>
      <c r="H2509" s="153" t="s">
        <v>10</v>
      </c>
    </row>
    <row r="2510" spans="1:8" x14ac:dyDescent="0.25">
      <c r="A2510" s="73">
        <v>44858</v>
      </c>
      <c r="B2510" s="74" t="s">
        <v>34143</v>
      </c>
      <c r="C2510" s="75" t="s">
        <v>214</v>
      </c>
      <c r="D2510" s="81">
        <v>8263</v>
      </c>
      <c r="E2510" s="230">
        <v>44858</v>
      </c>
      <c r="F2510" s="81">
        <v>8263</v>
      </c>
      <c r="G2510" s="197">
        <f>Tabla111[[#This Row],[Importe]]-Tabla111[[#This Row],[Pagado]]</f>
        <v>0</v>
      </c>
      <c r="H2510" s="75" t="s">
        <v>10</v>
      </c>
    </row>
    <row r="2511" spans="1:8" x14ac:dyDescent="0.25">
      <c r="A2511" s="148">
        <v>44858</v>
      </c>
      <c r="B2511" s="149" t="s">
        <v>34144</v>
      </c>
      <c r="C2511" s="153" t="s">
        <v>777</v>
      </c>
      <c r="D2511" s="154">
        <v>2979.8</v>
      </c>
      <c r="E2511" s="231">
        <v>44858</v>
      </c>
      <c r="F2511" s="154">
        <v>2979.8</v>
      </c>
      <c r="G2511" s="197">
        <f>Tabla111[[#This Row],[Importe]]-Tabla111[[#This Row],[Pagado]]</f>
        <v>0</v>
      </c>
      <c r="H2511" s="153" t="s">
        <v>10</v>
      </c>
    </row>
    <row r="2512" spans="1:8" x14ac:dyDescent="0.25">
      <c r="A2512" s="73">
        <v>44858</v>
      </c>
      <c r="B2512" s="74" t="s">
        <v>34145</v>
      </c>
      <c r="C2512" s="75" t="s">
        <v>53</v>
      </c>
      <c r="D2512" s="81">
        <v>1944</v>
      </c>
      <c r="E2512" s="230">
        <v>44858</v>
      </c>
      <c r="F2512" s="81">
        <v>1944</v>
      </c>
      <c r="G2512" s="197">
        <f>Tabla111[[#This Row],[Importe]]-Tabla111[[#This Row],[Pagado]]</f>
        <v>0</v>
      </c>
      <c r="H2512" s="75" t="s">
        <v>10</v>
      </c>
    </row>
    <row r="2513" spans="1:8" x14ac:dyDescent="0.25">
      <c r="A2513" s="148">
        <v>44858</v>
      </c>
      <c r="B2513" s="149" t="s">
        <v>34146</v>
      </c>
      <c r="C2513" s="153" t="s">
        <v>206</v>
      </c>
      <c r="D2513" s="154">
        <v>21099.200000000001</v>
      </c>
      <c r="E2513" s="231">
        <v>44860</v>
      </c>
      <c r="F2513" s="154">
        <v>21099.200000000001</v>
      </c>
      <c r="G2513" s="197">
        <f>Tabla111[[#This Row],[Importe]]-Tabla111[[#This Row],[Pagado]]</f>
        <v>0</v>
      </c>
      <c r="H2513" s="153" t="s">
        <v>10</v>
      </c>
    </row>
    <row r="2514" spans="1:8" x14ac:dyDescent="0.25">
      <c r="A2514" s="73">
        <v>44858</v>
      </c>
      <c r="B2514" s="74" t="s">
        <v>34147</v>
      </c>
      <c r="C2514" s="75" t="s">
        <v>365</v>
      </c>
      <c r="D2514" s="81">
        <v>957.6</v>
      </c>
      <c r="E2514" s="230">
        <v>44858</v>
      </c>
      <c r="F2514" s="81">
        <v>957.6</v>
      </c>
      <c r="G2514" s="197">
        <f>Tabla111[[#This Row],[Importe]]-Tabla111[[#This Row],[Pagado]]</f>
        <v>0</v>
      </c>
      <c r="H2514" s="75" t="s">
        <v>10</v>
      </c>
    </row>
    <row r="2515" spans="1:8" x14ac:dyDescent="0.25">
      <c r="A2515" s="148">
        <v>44858</v>
      </c>
      <c r="B2515" s="149" t="s">
        <v>34148</v>
      </c>
      <c r="C2515" s="153" t="s">
        <v>154</v>
      </c>
      <c r="D2515" s="154">
        <v>28638.400000000001</v>
      </c>
      <c r="E2515" s="231">
        <v>44862</v>
      </c>
      <c r="F2515" s="154">
        <v>28638.400000000001</v>
      </c>
      <c r="G2515" s="197">
        <f>Tabla111[[#This Row],[Importe]]-Tabla111[[#This Row],[Pagado]]</f>
        <v>0</v>
      </c>
      <c r="H2515" s="153" t="s">
        <v>10</v>
      </c>
    </row>
    <row r="2516" spans="1:8" x14ac:dyDescent="0.25">
      <c r="A2516" s="73">
        <v>44858</v>
      </c>
      <c r="B2516" s="74" t="s">
        <v>34149</v>
      </c>
      <c r="C2516" s="75" t="s">
        <v>212</v>
      </c>
      <c r="D2516" s="81">
        <v>45408.14</v>
      </c>
      <c r="E2516" s="230">
        <v>44862</v>
      </c>
      <c r="F2516" s="81">
        <v>45408.14</v>
      </c>
      <c r="G2516" s="197">
        <f>Tabla111[[#This Row],[Importe]]-Tabla111[[#This Row],[Pagado]]</f>
        <v>0</v>
      </c>
      <c r="H2516" s="75" t="s">
        <v>10</v>
      </c>
    </row>
    <row r="2517" spans="1:8" x14ac:dyDescent="0.25">
      <c r="A2517" s="148">
        <v>44858</v>
      </c>
      <c r="B2517" s="149" t="s">
        <v>34150</v>
      </c>
      <c r="C2517" s="153" t="s">
        <v>208</v>
      </c>
      <c r="D2517" s="154">
        <v>13605.1</v>
      </c>
      <c r="E2517" s="231">
        <v>44859</v>
      </c>
      <c r="F2517" s="154">
        <v>13605.1</v>
      </c>
      <c r="G2517" s="197">
        <f>Tabla111[[#This Row],[Importe]]-Tabla111[[#This Row],[Pagado]]</f>
        <v>0</v>
      </c>
      <c r="H2517" s="153" t="s">
        <v>10</v>
      </c>
    </row>
    <row r="2518" spans="1:8" x14ac:dyDescent="0.25">
      <c r="A2518" s="73">
        <v>44858</v>
      </c>
      <c r="B2518" s="74" t="s">
        <v>34151</v>
      </c>
      <c r="C2518" s="75" t="s">
        <v>218</v>
      </c>
      <c r="D2518" s="81">
        <v>17775.8</v>
      </c>
      <c r="E2518" s="230">
        <v>44862</v>
      </c>
      <c r="F2518" s="81">
        <v>17775.8</v>
      </c>
      <c r="G2518" s="197">
        <f>Tabla111[[#This Row],[Importe]]-Tabla111[[#This Row],[Pagado]]</f>
        <v>0</v>
      </c>
      <c r="H2518" s="75" t="s">
        <v>10</v>
      </c>
    </row>
    <row r="2519" spans="1:8" x14ac:dyDescent="0.25">
      <c r="A2519" s="148">
        <v>44858</v>
      </c>
      <c r="B2519" s="149" t="s">
        <v>34152</v>
      </c>
      <c r="C2519" s="153" t="s">
        <v>97</v>
      </c>
      <c r="D2519" s="154">
        <v>3181.7</v>
      </c>
      <c r="E2519" s="231">
        <v>44858</v>
      </c>
      <c r="F2519" s="154">
        <v>3181.7</v>
      </c>
      <c r="G2519" s="197">
        <f>Tabla111[[#This Row],[Importe]]-Tabla111[[#This Row],[Pagado]]</f>
        <v>0</v>
      </c>
      <c r="H2519" s="153" t="s">
        <v>10</v>
      </c>
    </row>
    <row r="2520" spans="1:8" x14ac:dyDescent="0.25">
      <c r="A2520" s="73">
        <v>44858</v>
      </c>
      <c r="B2520" s="74" t="s">
        <v>34153</v>
      </c>
      <c r="C2520" s="75" t="s">
        <v>357</v>
      </c>
      <c r="D2520" s="81">
        <v>4976.8</v>
      </c>
      <c r="E2520" s="230">
        <v>44858</v>
      </c>
      <c r="F2520" s="81">
        <v>4976.8</v>
      </c>
      <c r="G2520" s="197">
        <f>Tabla111[[#This Row],[Importe]]-Tabla111[[#This Row],[Pagado]]</f>
        <v>0</v>
      </c>
      <c r="H2520" s="75" t="s">
        <v>10</v>
      </c>
    </row>
    <row r="2521" spans="1:8" x14ac:dyDescent="0.25">
      <c r="A2521" s="148">
        <v>44858</v>
      </c>
      <c r="B2521" s="149" t="s">
        <v>34154</v>
      </c>
      <c r="C2521" s="153" t="s">
        <v>129</v>
      </c>
      <c r="D2521" s="154">
        <v>2391</v>
      </c>
      <c r="E2521" s="231">
        <v>44858</v>
      </c>
      <c r="F2521" s="154">
        <v>2391</v>
      </c>
      <c r="G2521" s="197">
        <f>Tabla111[[#This Row],[Importe]]-Tabla111[[#This Row],[Pagado]]</f>
        <v>0</v>
      </c>
      <c r="H2521" s="153" t="s">
        <v>10</v>
      </c>
    </row>
    <row r="2522" spans="1:8" x14ac:dyDescent="0.25">
      <c r="A2522" s="73">
        <v>44858</v>
      </c>
      <c r="B2522" s="74" t="s">
        <v>34155</v>
      </c>
      <c r="C2522" s="75" t="s">
        <v>140</v>
      </c>
      <c r="D2522" s="81">
        <v>5172.3999999999996</v>
      </c>
      <c r="E2522" s="230">
        <v>44858</v>
      </c>
      <c r="F2522" s="81">
        <v>5172.3999999999996</v>
      </c>
      <c r="G2522" s="197">
        <f>Tabla111[[#This Row],[Importe]]-Tabla111[[#This Row],[Pagado]]</f>
        <v>0</v>
      </c>
      <c r="H2522" s="75" t="s">
        <v>10</v>
      </c>
    </row>
    <row r="2523" spans="1:8" x14ac:dyDescent="0.25">
      <c r="A2523" s="148">
        <v>44858</v>
      </c>
      <c r="B2523" s="149" t="s">
        <v>34156</v>
      </c>
      <c r="C2523" s="153" t="s">
        <v>127</v>
      </c>
      <c r="D2523" s="154">
        <v>5838.8</v>
      </c>
      <c r="E2523" s="231">
        <v>44858</v>
      </c>
      <c r="F2523" s="154">
        <v>5838.8</v>
      </c>
      <c r="G2523" s="197">
        <f>Tabla111[[#This Row],[Importe]]-Tabla111[[#This Row],[Pagado]]</f>
        <v>0</v>
      </c>
      <c r="H2523" s="153" t="s">
        <v>10</v>
      </c>
    </row>
    <row r="2524" spans="1:8" x14ac:dyDescent="0.25">
      <c r="A2524" s="73">
        <v>44858</v>
      </c>
      <c r="B2524" s="74" t="s">
        <v>34157</v>
      </c>
      <c r="C2524" s="75" t="s">
        <v>31</v>
      </c>
      <c r="D2524" s="81">
        <v>4113.8999999999996</v>
      </c>
      <c r="E2524" s="230">
        <v>44858</v>
      </c>
      <c r="F2524" s="81">
        <v>4113.8999999999996</v>
      </c>
      <c r="G2524" s="197">
        <f>Tabla111[[#This Row],[Importe]]-Tabla111[[#This Row],[Pagado]]</f>
        <v>0</v>
      </c>
      <c r="H2524" s="75" t="s">
        <v>10</v>
      </c>
    </row>
    <row r="2525" spans="1:8" x14ac:dyDescent="0.25">
      <c r="A2525" s="148">
        <v>44858</v>
      </c>
      <c r="B2525" s="149" t="s">
        <v>34158</v>
      </c>
      <c r="C2525" s="153" t="s">
        <v>146</v>
      </c>
      <c r="D2525" s="154">
        <v>5482.6</v>
      </c>
      <c r="E2525" s="231">
        <v>44858</v>
      </c>
      <c r="F2525" s="154">
        <v>5482.6</v>
      </c>
      <c r="G2525" s="197">
        <f>Tabla111[[#This Row],[Importe]]-Tabla111[[#This Row],[Pagado]]</f>
        <v>0</v>
      </c>
      <c r="H2525" s="153" t="s">
        <v>10</v>
      </c>
    </row>
    <row r="2526" spans="1:8" x14ac:dyDescent="0.25">
      <c r="A2526" s="73">
        <v>44858</v>
      </c>
      <c r="B2526" s="74" t="s">
        <v>34159</v>
      </c>
      <c r="C2526" s="75" t="s">
        <v>312</v>
      </c>
      <c r="D2526" s="81">
        <v>6105.8</v>
      </c>
      <c r="E2526" s="230">
        <v>44858</v>
      </c>
      <c r="F2526" s="81">
        <v>6105.8</v>
      </c>
      <c r="G2526" s="197">
        <f>Tabla111[[#This Row],[Importe]]-Tabla111[[#This Row],[Pagado]]</f>
        <v>0</v>
      </c>
      <c r="H2526" s="75" t="s">
        <v>10</v>
      </c>
    </row>
    <row r="2527" spans="1:8" x14ac:dyDescent="0.25">
      <c r="A2527" s="148">
        <v>44858</v>
      </c>
      <c r="B2527" s="149" t="s">
        <v>34160</v>
      </c>
      <c r="C2527" s="153" t="s">
        <v>1362</v>
      </c>
      <c r="D2527" s="154">
        <v>7938</v>
      </c>
      <c r="E2527" s="231">
        <v>44858</v>
      </c>
      <c r="F2527" s="154">
        <v>7938</v>
      </c>
      <c r="G2527" s="197">
        <f>Tabla111[[#This Row],[Importe]]-Tabla111[[#This Row],[Pagado]]</f>
        <v>0</v>
      </c>
      <c r="H2527" s="153" t="s">
        <v>10</v>
      </c>
    </row>
    <row r="2528" spans="1:8" x14ac:dyDescent="0.25">
      <c r="A2528" s="73">
        <v>44858</v>
      </c>
      <c r="B2528" s="74" t="s">
        <v>34161</v>
      </c>
      <c r="C2528" s="75" t="s">
        <v>198</v>
      </c>
      <c r="D2528" s="81">
        <v>4780.3999999999996</v>
      </c>
      <c r="E2528" s="230">
        <v>44858</v>
      </c>
      <c r="F2528" s="81">
        <v>4780.3999999999996</v>
      </c>
      <c r="G2528" s="197">
        <f>Tabla111[[#This Row],[Importe]]-Tabla111[[#This Row],[Pagado]]</f>
        <v>0</v>
      </c>
      <c r="H2528" s="75" t="s">
        <v>10</v>
      </c>
    </row>
    <row r="2529" spans="1:8" x14ac:dyDescent="0.25">
      <c r="A2529" s="148">
        <v>44858</v>
      </c>
      <c r="B2529" s="149" t="s">
        <v>34162</v>
      </c>
      <c r="C2529" s="153" t="s">
        <v>216</v>
      </c>
      <c r="D2529" s="154">
        <v>25890</v>
      </c>
      <c r="E2529" s="231">
        <v>44868</v>
      </c>
      <c r="F2529" s="154">
        <v>25890</v>
      </c>
      <c r="G2529" s="197">
        <f>Tabla111[[#This Row],[Importe]]-Tabla111[[#This Row],[Pagado]]</f>
        <v>0</v>
      </c>
      <c r="H2529" s="153" t="s">
        <v>10</v>
      </c>
    </row>
    <row r="2530" spans="1:8" x14ac:dyDescent="0.25">
      <c r="A2530" s="73">
        <v>44858</v>
      </c>
      <c r="B2530" s="74" t="s">
        <v>34163</v>
      </c>
      <c r="C2530" s="75" t="s">
        <v>75</v>
      </c>
      <c r="D2530" s="81">
        <v>7971.6</v>
      </c>
      <c r="E2530" s="230">
        <v>44858</v>
      </c>
      <c r="F2530" s="81">
        <v>7971.6</v>
      </c>
      <c r="G2530" s="197">
        <f>Tabla111[[#This Row],[Importe]]-Tabla111[[#This Row],[Pagado]]</f>
        <v>0</v>
      </c>
      <c r="H2530" s="75" t="s">
        <v>10</v>
      </c>
    </row>
    <row r="2531" spans="1:8" x14ac:dyDescent="0.25">
      <c r="A2531" s="148">
        <v>44858</v>
      </c>
      <c r="B2531" s="149" t="s">
        <v>34164</v>
      </c>
      <c r="C2531" s="153" t="s">
        <v>541</v>
      </c>
      <c r="D2531" s="154">
        <v>14457.6</v>
      </c>
      <c r="E2531" s="231">
        <v>44859</v>
      </c>
      <c r="F2531" s="154">
        <v>14457.6</v>
      </c>
      <c r="G2531" s="197">
        <f>Tabla111[[#This Row],[Importe]]-Tabla111[[#This Row],[Pagado]]</f>
        <v>0</v>
      </c>
      <c r="H2531" s="153" t="s">
        <v>10</v>
      </c>
    </row>
    <row r="2532" spans="1:8" x14ac:dyDescent="0.25">
      <c r="A2532" s="73">
        <v>44858</v>
      </c>
      <c r="B2532" s="74" t="s">
        <v>34165</v>
      </c>
      <c r="C2532" s="75" t="s">
        <v>133</v>
      </c>
      <c r="D2532" s="81">
        <v>17032.400000000001</v>
      </c>
      <c r="E2532" s="230">
        <v>44861</v>
      </c>
      <c r="F2532" s="81">
        <v>17032.400000000001</v>
      </c>
      <c r="G2532" s="197">
        <f>Tabla111[[#This Row],[Importe]]-Tabla111[[#This Row],[Pagado]]</f>
        <v>0</v>
      </c>
      <c r="H2532" s="75" t="s">
        <v>10</v>
      </c>
    </row>
    <row r="2533" spans="1:8" x14ac:dyDescent="0.25">
      <c r="A2533" s="148">
        <v>44858</v>
      </c>
      <c r="B2533" s="149" t="s">
        <v>34166</v>
      </c>
      <c r="C2533" s="153" t="s">
        <v>1378</v>
      </c>
      <c r="D2533" s="154">
        <v>36294</v>
      </c>
      <c r="E2533" s="231">
        <v>44859</v>
      </c>
      <c r="F2533" s="154">
        <v>36294</v>
      </c>
      <c r="G2533" s="197">
        <f>Tabla111[[#This Row],[Importe]]-Tabla111[[#This Row],[Pagado]]</f>
        <v>0</v>
      </c>
      <c r="H2533" s="153" t="s">
        <v>10</v>
      </c>
    </row>
    <row r="2534" spans="1:8" x14ac:dyDescent="0.25">
      <c r="A2534" s="73">
        <v>44858</v>
      </c>
      <c r="B2534" s="74" t="s">
        <v>34167</v>
      </c>
      <c r="C2534" s="75" t="s">
        <v>45</v>
      </c>
      <c r="D2534" s="81">
        <v>13380.4</v>
      </c>
      <c r="E2534" s="230">
        <v>44858</v>
      </c>
      <c r="F2534" s="81">
        <v>13380.4</v>
      </c>
      <c r="G2534" s="197">
        <f>Tabla111[[#This Row],[Importe]]-Tabla111[[#This Row],[Pagado]]</f>
        <v>0</v>
      </c>
      <c r="H2534" s="75" t="s">
        <v>10</v>
      </c>
    </row>
    <row r="2535" spans="1:8" x14ac:dyDescent="0.25">
      <c r="A2535" s="148">
        <v>44858</v>
      </c>
      <c r="B2535" s="149" t="s">
        <v>34168</v>
      </c>
      <c r="C2535" s="153" t="s">
        <v>348</v>
      </c>
      <c r="D2535" s="154">
        <v>3983.8</v>
      </c>
      <c r="E2535" s="231">
        <v>44858</v>
      </c>
      <c r="F2535" s="154">
        <v>3983.8</v>
      </c>
      <c r="G2535" s="197">
        <f>Tabla111[[#This Row],[Importe]]-Tabla111[[#This Row],[Pagado]]</f>
        <v>0</v>
      </c>
      <c r="H2535" s="153" t="s">
        <v>10</v>
      </c>
    </row>
    <row r="2536" spans="1:8" x14ac:dyDescent="0.25">
      <c r="A2536" s="73">
        <v>44858</v>
      </c>
      <c r="B2536" s="74" t="s">
        <v>34169</v>
      </c>
      <c r="C2536" s="75" t="s">
        <v>10157</v>
      </c>
      <c r="D2536" s="81">
        <v>10477.6</v>
      </c>
      <c r="E2536" s="230">
        <v>44859</v>
      </c>
      <c r="F2536" s="81">
        <v>10477.6</v>
      </c>
      <c r="G2536" s="197">
        <f>Tabla111[[#This Row],[Importe]]-Tabla111[[#This Row],[Pagado]]</f>
        <v>0</v>
      </c>
      <c r="H2536" s="75" t="s">
        <v>10</v>
      </c>
    </row>
    <row r="2537" spans="1:8" x14ac:dyDescent="0.25">
      <c r="A2537" s="148">
        <v>44858</v>
      </c>
      <c r="B2537" s="149" t="s">
        <v>34170</v>
      </c>
      <c r="C2537" s="153" t="s">
        <v>107</v>
      </c>
      <c r="D2537" s="154">
        <v>12456.4</v>
      </c>
      <c r="E2537" s="231">
        <v>44858</v>
      </c>
      <c r="F2537" s="154">
        <v>12456.4</v>
      </c>
      <c r="G2537" s="197">
        <f>Tabla111[[#This Row],[Importe]]-Tabla111[[#This Row],[Pagado]]</f>
        <v>0</v>
      </c>
      <c r="H2537" s="153" t="s">
        <v>10</v>
      </c>
    </row>
    <row r="2538" spans="1:8" x14ac:dyDescent="0.25">
      <c r="A2538" s="73">
        <v>44858</v>
      </c>
      <c r="B2538" s="74" t="s">
        <v>34171</v>
      </c>
      <c r="C2538" s="75" t="s">
        <v>670</v>
      </c>
      <c r="D2538" s="81">
        <v>5857.5</v>
      </c>
      <c r="E2538" s="230">
        <v>44858</v>
      </c>
      <c r="F2538" s="81">
        <v>5857.5</v>
      </c>
      <c r="G2538" s="197">
        <f>Tabla111[[#This Row],[Importe]]-Tabla111[[#This Row],[Pagado]]</f>
        <v>0</v>
      </c>
      <c r="H2538" s="75" t="s">
        <v>10</v>
      </c>
    </row>
    <row r="2539" spans="1:8" x14ac:dyDescent="0.25">
      <c r="A2539" s="148">
        <v>44858</v>
      </c>
      <c r="B2539" s="149" t="s">
        <v>34172</v>
      </c>
      <c r="C2539" s="153" t="s">
        <v>1644</v>
      </c>
      <c r="D2539" s="154">
        <v>21197.8</v>
      </c>
      <c r="E2539" s="231">
        <v>44859</v>
      </c>
      <c r="F2539" s="154">
        <v>21197.8</v>
      </c>
      <c r="G2539" s="197">
        <f>Tabla111[[#This Row],[Importe]]-Tabla111[[#This Row],[Pagado]]</f>
        <v>0</v>
      </c>
      <c r="H2539" s="153" t="s">
        <v>10</v>
      </c>
    </row>
    <row r="2540" spans="1:8" x14ac:dyDescent="0.25">
      <c r="A2540" s="73">
        <v>44858</v>
      </c>
      <c r="B2540" s="74" t="s">
        <v>34173</v>
      </c>
      <c r="C2540" s="75" t="s">
        <v>196</v>
      </c>
      <c r="D2540" s="81">
        <v>136759.18</v>
      </c>
      <c r="E2540" s="230">
        <v>44862</v>
      </c>
      <c r="F2540" s="81">
        <v>136759.18</v>
      </c>
      <c r="G2540" s="197">
        <f>Tabla111[[#This Row],[Importe]]-Tabla111[[#This Row],[Pagado]]</f>
        <v>0</v>
      </c>
      <c r="H2540" s="75" t="s">
        <v>10</v>
      </c>
    </row>
    <row r="2541" spans="1:8" x14ac:dyDescent="0.25">
      <c r="A2541" s="148">
        <v>44858</v>
      </c>
      <c r="B2541" s="149" t="s">
        <v>34174</v>
      </c>
      <c r="C2541" s="153" t="s">
        <v>173</v>
      </c>
      <c r="D2541" s="154">
        <v>29327.200000000001</v>
      </c>
      <c r="E2541" s="231">
        <v>44859</v>
      </c>
      <c r="F2541" s="154">
        <v>29327.200000000001</v>
      </c>
      <c r="G2541" s="197">
        <f>Tabla111[[#This Row],[Importe]]-Tabla111[[#This Row],[Pagado]]</f>
        <v>0</v>
      </c>
      <c r="H2541" s="153" t="s">
        <v>10</v>
      </c>
    </row>
    <row r="2542" spans="1:8" x14ac:dyDescent="0.25">
      <c r="A2542" s="73">
        <v>44858</v>
      </c>
      <c r="B2542" s="74" t="s">
        <v>34175</v>
      </c>
      <c r="C2542" s="75" t="s">
        <v>214</v>
      </c>
      <c r="D2542" s="81">
        <v>1419.6</v>
      </c>
      <c r="E2542" s="230">
        <v>44858</v>
      </c>
      <c r="F2542" s="81">
        <v>1419.6</v>
      </c>
      <c r="G2542" s="197">
        <f>Tabla111[[#This Row],[Importe]]-Tabla111[[#This Row],[Pagado]]</f>
        <v>0</v>
      </c>
      <c r="H2542" s="75" t="s">
        <v>10</v>
      </c>
    </row>
    <row r="2543" spans="1:8" x14ac:dyDescent="0.25">
      <c r="A2543" s="148">
        <v>44858</v>
      </c>
      <c r="B2543" s="149" t="s">
        <v>34176</v>
      </c>
      <c r="C2543" s="153" t="s">
        <v>51</v>
      </c>
      <c r="D2543" s="154">
        <v>3842.4</v>
      </c>
      <c r="E2543" s="231">
        <v>44858</v>
      </c>
      <c r="F2543" s="154">
        <v>3842.4</v>
      </c>
      <c r="G2543" s="197">
        <f>Tabla111[[#This Row],[Importe]]-Tabla111[[#This Row],[Pagado]]</f>
        <v>0</v>
      </c>
      <c r="H2543" s="153" t="s">
        <v>10</v>
      </c>
    </row>
    <row r="2544" spans="1:8" x14ac:dyDescent="0.25">
      <c r="A2544" s="73">
        <v>44858</v>
      </c>
      <c r="B2544" s="74" t="s">
        <v>34177</v>
      </c>
      <c r="C2544" s="75" t="s">
        <v>9587</v>
      </c>
      <c r="D2544" s="81">
        <v>5002.3999999999996</v>
      </c>
      <c r="E2544" s="230">
        <v>44858</v>
      </c>
      <c r="F2544" s="81">
        <v>5002.3999999999996</v>
      </c>
      <c r="G2544" s="197">
        <f>Tabla111[[#This Row],[Importe]]-Tabla111[[#This Row],[Pagado]]</f>
        <v>0</v>
      </c>
      <c r="H2544" s="75" t="s">
        <v>10</v>
      </c>
    </row>
    <row r="2545" spans="1:8" x14ac:dyDescent="0.25">
      <c r="A2545" s="148">
        <v>44858</v>
      </c>
      <c r="B2545" s="149" t="s">
        <v>34178</v>
      </c>
      <c r="C2545" s="153" t="s">
        <v>14</v>
      </c>
      <c r="D2545" s="154">
        <v>25680</v>
      </c>
      <c r="E2545" s="231">
        <v>44858</v>
      </c>
      <c r="F2545" s="154">
        <v>25680</v>
      </c>
      <c r="G2545" s="197">
        <f>Tabla111[[#This Row],[Importe]]-Tabla111[[#This Row],[Pagado]]</f>
        <v>0</v>
      </c>
      <c r="H2545" s="153" t="s">
        <v>10</v>
      </c>
    </row>
    <row r="2546" spans="1:8" x14ac:dyDescent="0.25">
      <c r="A2546" s="73">
        <v>44858</v>
      </c>
      <c r="B2546" s="74" t="s">
        <v>34179</v>
      </c>
      <c r="C2546" s="75" t="s">
        <v>222</v>
      </c>
      <c r="D2546" s="81">
        <v>10239</v>
      </c>
      <c r="E2546" s="230">
        <v>44858</v>
      </c>
      <c r="F2546" s="81">
        <v>10239</v>
      </c>
      <c r="G2546" s="197">
        <f>Tabla111[[#This Row],[Importe]]-Tabla111[[#This Row],[Pagado]]</f>
        <v>0</v>
      </c>
      <c r="H2546" s="75" t="s">
        <v>10</v>
      </c>
    </row>
    <row r="2547" spans="1:8" x14ac:dyDescent="0.25">
      <c r="A2547" s="148">
        <v>44858</v>
      </c>
      <c r="B2547" s="149" t="s">
        <v>34180</v>
      </c>
      <c r="C2547" s="153" t="s">
        <v>24</v>
      </c>
      <c r="D2547" s="154">
        <v>4241.8</v>
      </c>
      <c r="E2547" s="231">
        <v>44858</v>
      </c>
      <c r="F2547" s="154">
        <v>4241.8</v>
      </c>
      <c r="G2547" s="197">
        <f>Tabla111[[#This Row],[Importe]]-Tabla111[[#This Row],[Pagado]]</f>
        <v>0</v>
      </c>
      <c r="H2547" s="153" t="s">
        <v>10</v>
      </c>
    </row>
    <row r="2548" spans="1:8" x14ac:dyDescent="0.25">
      <c r="A2548" s="73">
        <v>44858</v>
      </c>
      <c r="B2548" s="74" t="s">
        <v>34181</v>
      </c>
      <c r="C2548" s="75" t="s">
        <v>135</v>
      </c>
      <c r="D2548" s="81">
        <v>1781.3</v>
      </c>
      <c r="E2548" s="230">
        <v>44858</v>
      </c>
      <c r="F2548" s="81">
        <v>1781.3</v>
      </c>
      <c r="G2548" s="197">
        <f>Tabla111[[#This Row],[Importe]]-Tabla111[[#This Row],[Pagado]]</f>
        <v>0</v>
      </c>
      <c r="H2548" s="75" t="s">
        <v>10</v>
      </c>
    </row>
    <row r="2549" spans="1:8" x14ac:dyDescent="0.25">
      <c r="A2549" s="148">
        <v>44858</v>
      </c>
      <c r="B2549" s="149" t="s">
        <v>34182</v>
      </c>
      <c r="C2549" s="153" t="s">
        <v>698</v>
      </c>
      <c r="D2549" s="154">
        <v>11052</v>
      </c>
      <c r="E2549" s="231">
        <v>44858</v>
      </c>
      <c r="F2549" s="154">
        <v>11052</v>
      </c>
      <c r="G2549" s="197">
        <f>Tabla111[[#This Row],[Importe]]-Tabla111[[#This Row],[Pagado]]</f>
        <v>0</v>
      </c>
      <c r="H2549" s="153" t="s">
        <v>10</v>
      </c>
    </row>
    <row r="2550" spans="1:8" x14ac:dyDescent="0.25">
      <c r="A2550" s="73">
        <v>44858</v>
      </c>
      <c r="B2550" s="74" t="s">
        <v>34183</v>
      </c>
      <c r="C2550" s="75" t="s">
        <v>240</v>
      </c>
      <c r="D2550" s="81">
        <v>15115.4</v>
      </c>
      <c r="E2550" s="230">
        <v>44858</v>
      </c>
      <c r="F2550" s="81">
        <v>15115.4</v>
      </c>
      <c r="G2550" s="197">
        <f>Tabla111[[#This Row],[Importe]]-Tabla111[[#This Row],[Pagado]]</f>
        <v>0</v>
      </c>
      <c r="H2550" s="75" t="s">
        <v>10</v>
      </c>
    </row>
    <row r="2551" spans="1:8" x14ac:dyDescent="0.25">
      <c r="A2551" s="148">
        <v>44858</v>
      </c>
      <c r="B2551" s="149" t="s">
        <v>34184</v>
      </c>
      <c r="C2551" s="153" t="s">
        <v>64</v>
      </c>
      <c r="D2551" s="154">
        <v>5782.1</v>
      </c>
      <c r="E2551" s="231">
        <v>44859</v>
      </c>
      <c r="F2551" s="154">
        <v>5782.1</v>
      </c>
      <c r="G2551" s="197">
        <f>Tabla111[[#This Row],[Importe]]-Tabla111[[#This Row],[Pagado]]</f>
        <v>0</v>
      </c>
      <c r="H2551" s="153" t="s">
        <v>10</v>
      </c>
    </row>
    <row r="2552" spans="1:8" x14ac:dyDescent="0.25">
      <c r="A2552" s="73">
        <v>44858</v>
      </c>
      <c r="B2552" s="74" t="s">
        <v>34185</v>
      </c>
      <c r="C2552" s="75" t="s">
        <v>35</v>
      </c>
      <c r="D2552" s="81">
        <v>2484.1</v>
      </c>
      <c r="E2552" s="230">
        <v>44858</v>
      </c>
      <c r="F2552" s="81">
        <v>2484.1</v>
      </c>
      <c r="G2552" s="197">
        <f>Tabla111[[#This Row],[Importe]]-Tabla111[[#This Row],[Pagado]]</f>
        <v>0</v>
      </c>
      <c r="H2552" s="75" t="s">
        <v>10</v>
      </c>
    </row>
    <row r="2553" spans="1:8" x14ac:dyDescent="0.25">
      <c r="A2553" s="148">
        <v>44858</v>
      </c>
      <c r="B2553" s="149" t="s">
        <v>34186</v>
      </c>
      <c r="C2553" s="153" t="s">
        <v>31</v>
      </c>
      <c r="D2553" s="154">
        <v>5262</v>
      </c>
      <c r="E2553" s="231">
        <v>44858</v>
      </c>
      <c r="F2553" s="154">
        <v>5262</v>
      </c>
      <c r="G2553" s="197">
        <f>Tabla111[[#This Row],[Importe]]-Tabla111[[#This Row],[Pagado]]</f>
        <v>0</v>
      </c>
      <c r="H2553" s="153" t="s">
        <v>10</v>
      </c>
    </row>
    <row r="2554" spans="1:8" x14ac:dyDescent="0.25">
      <c r="A2554" s="73">
        <v>44858</v>
      </c>
      <c r="B2554" s="74" t="s">
        <v>34187</v>
      </c>
      <c r="C2554" s="75" t="s">
        <v>233</v>
      </c>
      <c r="D2554" s="81">
        <v>5901.3</v>
      </c>
      <c r="E2554" s="230">
        <v>44858</v>
      </c>
      <c r="F2554" s="81">
        <v>5901.3</v>
      </c>
      <c r="G2554" s="197">
        <f>Tabla111[[#This Row],[Importe]]-Tabla111[[#This Row],[Pagado]]</f>
        <v>0</v>
      </c>
      <c r="H2554" s="75" t="s">
        <v>10</v>
      </c>
    </row>
    <row r="2555" spans="1:8" x14ac:dyDescent="0.25">
      <c r="A2555" s="148">
        <v>44858</v>
      </c>
      <c r="B2555" s="149" t="s">
        <v>34188</v>
      </c>
      <c r="C2555" s="153" t="s">
        <v>216</v>
      </c>
      <c r="D2555" s="154">
        <v>1528.8</v>
      </c>
      <c r="E2555" s="231">
        <v>44858</v>
      </c>
      <c r="F2555" s="154">
        <v>1528.8</v>
      </c>
      <c r="G2555" s="197">
        <f>Tabla111[[#This Row],[Importe]]-Tabla111[[#This Row],[Pagado]]</f>
        <v>0</v>
      </c>
      <c r="H2555" s="153" t="s">
        <v>10</v>
      </c>
    </row>
    <row r="2556" spans="1:8" x14ac:dyDescent="0.25">
      <c r="A2556" s="73">
        <v>44858</v>
      </c>
      <c r="B2556" s="74" t="s">
        <v>34189</v>
      </c>
      <c r="C2556" s="75" t="s">
        <v>31</v>
      </c>
      <c r="D2556" s="81">
        <v>6223.8</v>
      </c>
      <c r="E2556" s="230">
        <v>44858</v>
      </c>
      <c r="F2556" s="81">
        <v>6223.8</v>
      </c>
      <c r="G2556" s="197">
        <f>Tabla111[[#This Row],[Importe]]-Tabla111[[#This Row],[Pagado]]</f>
        <v>0</v>
      </c>
      <c r="H2556" s="75" t="s">
        <v>10</v>
      </c>
    </row>
    <row r="2557" spans="1:8" x14ac:dyDescent="0.25">
      <c r="A2557" s="148">
        <v>44858</v>
      </c>
      <c r="B2557" s="149" t="s">
        <v>34190</v>
      </c>
      <c r="C2557" s="153" t="s">
        <v>419</v>
      </c>
      <c r="D2557" s="154">
        <v>6553.2</v>
      </c>
      <c r="E2557" s="231">
        <v>44858</v>
      </c>
      <c r="F2557" s="154">
        <v>6553.2</v>
      </c>
      <c r="G2557" s="197">
        <f>Tabla111[[#This Row],[Importe]]-Tabla111[[#This Row],[Pagado]]</f>
        <v>0</v>
      </c>
      <c r="H2557" s="153" t="s">
        <v>10</v>
      </c>
    </row>
    <row r="2558" spans="1:8" x14ac:dyDescent="0.25">
      <c r="A2558" s="73">
        <v>44858</v>
      </c>
      <c r="B2558" s="74" t="s">
        <v>34191</v>
      </c>
      <c r="C2558" s="75" t="s">
        <v>31323</v>
      </c>
      <c r="D2558" s="81">
        <v>4392</v>
      </c>
      <c r="E2558" s="230">
        <v>44858</v>
      </c>
      <c r="F2558" s="81">
        <v>4392</v>
      </c>
      <c r="G2558" s="197">
        <f>Tabla111[[#This Row],[Importe]]-Tabla111[[#This Row],[Pagado]]</f>
        <v>0</v>
      </c>
      <c r="H2558" s="75" t="s">
        <v>10</v>
      </c>
    </row>
    <row r="2559" spans="1:8" x14ac:dyDescent="0.25">
      <c r="A2559" s="148">
        <v>44858</v>
      </c>
      <c r="B2559" s="149" t="s">
        <v>34192</v>
      </c>
      <c r="C2559" s="153" t="s">
        <v>79</v>
      </c>
      <c r="D2559" s="154">
        <v>16230.4</v>
      </c>
      <c r="E2559" s="231">
        <v>44858</v>
      </c>
      <c r="F2559" s="154">
        <v>16230.4</v>
      </c>
      <c r="G2559" s="197">
        <f>Tabla111[[#This Row],[Importe]]-Tabla111[[#This Row],[Pagado]]</f>
        <v>0</v>
      </c>
      <c r="H2559" s="153" t="s">
        <v>10</v>
      </c>
    </row>
    <row r="2560" spans="1:8" x14ac:dyDescent="0.25">
      <c r="A2560" s="73">
        <v>44858</v>
      </c>
      <c r="B2560" s="74" t="s">
        <v>34193</v>
      </c>
      <c r="C2560" s="75" t="s">
        <v>181</v>
      </c>
      <c r="D2560" s="81">
        <v>8696</v>
      </c>
      <c r="E2560" s="230">
        <v>44858</v>
      </c>
      <c r="F2560" s="81">
        <v>8696</v>
      </c>
      <c r="G2560" s="197">
        <f>Tabla111[[#This Row],[Importe]]-Tabla111[[#This Row],[Pagado]]</f>
        <v>0</v>
      </c>
      <c r="H2560" s="75" t="s">
        <v>10</v>
      </c>
    </row>
    <row r="2561" spans="1:8" x14ac:dyDescent="0.25">
      <c r="A2561" s="148">
        <v>44858</v>
      </c>
      <c r="B2561" s="149" t="s">
        <v>34194</v>
      </c>
      <c r="C2561" s="153" t="s">
        <v>426</v>
      </c>
      <c r="D2561" s="154">
        <v>2230.1999999999998</v>
      </c>
      <c r="E2561" s="231">
        <v>44858</v>
      </c>
      <c r="F2561" s="154">
        <v>2230.1999999999998</v>
      </c>
      <c r="G2561" s="197">
        <f>Tabla111[[#This Row],[Importe]]-Tabla111[[#This Row],[Pagado]]</f>
        <v>0</v>
      </c>
      <c r="H2561" s="153" t="s">
        <v>10</v>
      </c>
    </row>
    <row r="2562" spans="1:8" x14ac:dyDescent="0.25">
      <c r="A2562" s="73">
        <v>44858</v>
      </c>
      <c r="B2562" s="74" t="s">
        <v>34195</v>
      </c>
      <c r="C2562" s="75" t="s">
        <v>31</v>
      </c>
      <c r="D2562" s="81">
        <v>2226</v>
      </c>
      <c r="E2562" s="230">
        <v>44858</v>
      </c>
      <c r="F2562" s="81">
        <v>2226</v>
      </c>
      <c r="G2562" s="197">
        <f>Tabla111[[#This Row],[Importe]]-Tabla111[[#This Row],[Pagado]]</f>
        <v>0</v>
      </c>
      <c r="H2562" s="75" t="s">
        <v>10</v>
      </c>
    </row>
    <row r="2563" spans="1:8" x14ac:dyDescent="0.25">
      <c r="A2563" s="148">
        <v>44858</v>
      </c>
      <c r="B2563" s="149" t="s">
        <v>34196</v>
      </c>
      <c r="C2563" s="153" t="s">
        <v>9827</v>
      </c>
      <c r="D2563" s="154">
        <v>3767.4</v>
      </c>
      <c r="E2563" s="231">
        <v>44858</v>
      </c>
      <c r="F2563" s="154">
        <v>3767.4</v>
      </c>
      <c r="G2563" s="197">
        <f>Tabla111[[#This Row],[Importe]]-Tabla111[[#This Row],[Pagado]]</f>
        <v>0</v>
      </c>
      <c r="H2563" s="153" t="s">
        <v>10</v>
      </c>
    </row>
    <row r="2564" spans="1:8" x14ac:dyDescent="0.25">
      <c r="A2564" s="73">
        <v>44858</v>
      </c>
      <c r="B2564" s="74" t="s">
        <v>34197</v>
      </c>
      <c r="C2564" s="75" t="s">
        <v>1064</v>
      </c>
      <c r="D2564" s="81">
        <v>2640.6</v>
      </c>
      <c r="E2564" s="230">
        <v>44858</v>
      </c>
      <c r="F2564" s="81">
        <v>2640.6</v>
      </c>
      <c r="G2564" s="197">
        <f>Tabla111[[#This Row],[Importe]]-Tabla111[[#This Row],[Pagado]]</f>
        <v>0</v>
      </c>
      <c r="H2564" s="75" t="s">
        <v>10</v>
      </c>
    </row>
    <row r="2565" spans="1:8" x14ac:dyDescent="0.25">
      <c r="A2565" s="148">
        <v>44858</v>
      </c>
      <c r="B2565" s="149" t="s">
        <v>34198</v>
      </c>
      <c r="C2565" s="153" t="s">
        <v>2139</v>
      </c>
      <c r="D2565" s="154">
        <v>1505.7</v>
      </c>
      <c r="E2565" s="231">
        <v>44858</v>
      </c>
      <c r="F2565" s="154">
        <v>1505.7</v>
      </c>
      <c r="G2565" s="197">
        <f>Tabla111[[#This Row],[Importe]]-Tabla111[[#This Row],[Pagado]]</f>
        <v>0</v>
      </c>
      <c r="H2565" s="153" t="s">
        <v>10</v>
      </c>
    </row>
    <row r="2566" spans="1:8" x14ac:dyDescent="0.25">
      <c r="A2566" s="73">
        <v>44858</v>
      </c>
      <c r="B2566" s="74" t="s">
        <v>34199</v>
      </c>
      <c r="C2566" s="75" t="s">
        <v>175</v>
      </c>
      <c r="D2566" s="81">
        <v>23479.5</v>
      </c>
      <c r="E2566" s="230">
        <v>44858</v>
      </c>
      <c r="F2566" s="81">
        <v>23479.5</v>
      </c>
      <c r="G2566" s="197">
        <f>Tabla111[[#This Row],[Importe]]-Tabla111[[#This Row],[Pagado]]</f>
        <v>0</v>
      </c>
      <c r="H2566" s="75" t="s">
        <v>10</v>
      </c>
    </row>
    <row r="2567" spans="1:8" x14ac:dyDescent="0.25">
      <c r="A2567" s="148">
        <v>44858</v>
      </c>
      <c r="B2567" s="149" t="s">
        <v>34200</v>
      </c>
      <c r="C2567" s="153" t="s">
        <v>296</v>
      </c>
      <c r="D2567" s="154">
        <v>3584</v>
      </c>
      <c r="E2567" s="231">
        <v>44858</v>
      </c>
      <c r="F2567" s="154">
        <v>3584</v>
      </c>
      <c r="G2567" s="197">
        <f>Tabla111[[#This Row],[Importe]]-Tabla111[[#This Row],[Pagado]]</f>
        <v>0</v>
      </c>
      <c r="H2567" s="153" t="s">
        <v>10</v>
      </c>
    </row>
    <row r="2568" spans="1:8" x14ac:dyDescent="0.25">
      <c r="A2568" s="73">
        <v>44858</v>
      </c>
      <c r="B2568" s="74" t="s">
        <v>34201</v>
      </c>
      <c r="C2568" s="75" t="s">
        <v>7745</v>
      </c>
      <c r="D2568" s="81">
        <v>54978</v>
      </c>
      <c r="E2568" s="230">
        <v>44858</v>
      </c>
      <c r="F2568" s="81">
        <v>54978</v>
      </c>
      <c r="G2568" s="197">
        <f>Tabla111[[#This Row],[Importe]]-Tabla111[[#This Row],[Pagado]]</f>
        <v>0</v>
      </c>
      <c r="H2568" s="75" t="s">
        <v>10</v>
      </c>
    </row>
    <row r="2569" spans="1:8" x14ac:dyDescent="0.25">
      <c r="A2569" s="148">
        <v>44858</v>
      </c>
      <c r="B2569" s="149" t="s">
        <v>34202</v>
      </c>
      <c r="C2569" s="153" t="s">
        <v>31</v>
      </c>
      <c r="D2569" s="154">
        <v>1895.4</v>
      </c>
      <c r="E2569" s="231">
        <v>44858</v>
      </c>
      <c r="F2569" s="154">
        <v>1895.4</v>
      </c>
      <c r="G2569" s="197">
        <f>Tabla111[[#This Row],[Importe]]-Tabla111[[#This Row],[Pagado]]</f>
        <v>0</v>
      </c>
      <c r="H2569" s="153" t="s">
        <v>10</v>
      </c>
    </row>
    <row r="2570" spans="1:8" x14ac:dyDescent="0.25">
      <c r="A2570" s="73">
        <v>44858</v>
      </c>
      <c r="B2570" s="74" t="s">
        <v>34203</v>
      </c>
      <c r="C2570" s="75" t="s">
        <v>31</v>
      </c>
      <c r="D2570" s="81">
        <v>5641.3</v>
      </c>
      <c r="E2570" s="230">
        <v>44858</v>
      </c>
      <c r="F2570" s="81">
        <v>5641.3</v>
      </c>
      <c r="G2570" s="197">
        <f>Tabla111[[#This Row],[Importe]]-Tabla111[[#This Row],[Pagado]]</f>
        <v>0</v>
      </c>
      <c r="H2570" s="75" t="s">
        <v>10</v>
      </c>
    </row>
    <row r="2571" spans="1:8" x14ac:dyDescent="0.25">
      <c r="A2571" s="148">
        <v>44858</v>
      </c>
      <c r="B2571" s="149" t="s">
        <v>34204</v>
      </c>
      <c r="C2571" s="153" t="s">
        <v>34205</v>
      </c>
      <c r="D2571" s="154">
        <v>0</v>
      </c>
      <c r="E2571" s="233" t="s">
        <v>189</v>
      </c>
      <c r="F2571" s="154">
        <v>0</v>
      </c>
      <c r="G2571" s="197">
        <f>Tabla111[[#This Row],[Importe]]-Tabla111[[#This Row],[Pagado]]</f>
        <v>0</v>
      </c>
      <c r="H2571" s="153" t="s">
        <v>189</v>
      </c>
    </row>
    <row r="2572" spans="1:8" x14ac:dyDescent="0.25">
      <c r="A2572" s="73">
        <v>44858</v>
      </c>
      <c r="B2572" s="74" t="s">
        <v>34206</v>
      </c>
      <c r="C2572" s="75" t="s">
        <v>440</v>
      </c>
      <c r="D2572" s="81">
        <v>8246</v>
      </c>
      <c r="E2572" s="230">
        <v>44870</v>
      </c>
      <c r="F2572" s="81">
        <v>8246</v>
      </c>
      <c r="G2572" s="197">
        <f>Tabla111[[#This Row],[Importe]]-Tabla111[[#This Row],[Pagado]]</f>
        <v>0</v>
      </c>
      <c r="H2572" s="75" t="s">
        <v>10</v>
      </c>
    </row>
    <row r="2573" spans="1:8" x14ac:dyDescent="0.25">
      <c r="A2573" s="148">
        <v>44858</v>
      </c>
      <c r="B2573" s="149" t="s">
        <v>34207</v>
      </c>
      <c r="C2573" s="153" t="s">
        <v>53</v>
      </c>
      <c r="D2573" s="154">
        <v>2525.8000000000002</v>
      </c>
      <c r="E2573" s="231">
        <v>44858</v>
      </c>
      <c r="F2573" s="154">
        <v>2525.8000000000002</v>
      </c>
      <c r="G2573" s="197">
        <f>Tabla111[[#This Row],[Importe]]-Tabla111[[#This Row],[Pagado]]</f>
        <v>0</v>
      </c>
      <c r="H2573" s="153" t="s">
        <v>10</v>
      </c>
    </row>
    <row r="2574" spans="1:8" x14ac:dyDescent="0.25">
      <c r="A2574" s="73">
        <v>44858</v>
      </c>
      <c r="B2574" s="74" t="s">
        <v>34208</v>
      </c>
      <c r="C2574" s="75" t="s">
        <v>284</v>
      </c>
      <c r="D2574" s="81">
        <v>7683</v>
      </c>
      <c r="E2574" s="230">
        <v>44859</v>
      </c>
      <c r="F2574" s="81">
        <v>7683</v>
      </c>
      <c r="G2574" s="197">
        <f>Tabla111[[#This Row],[Importe]]-Tabla111[[#This Row],[Pagado]]</f>
        <v>0</v>
      </c>
      <c r="H2574" s="75" t="s">
        <v>10</v>
      </c>
    </row>
    <row r="2575" spans="1:8" x14ac:dyDescent="0.25">
      <c r="A2575" s="148">
        <v>44858</v>
      </c>
      <c r="B2575" s="149" t="s">
        <v>34209</v>
      </c>
      <c r="C2575" s="153" t="s">
        <v>5345</v>
      </c>
      <c r="D2575" s="154">
        <v>4995.8</v>
      </c>
      <c r="E2575" s="231">
        <v>44859</v>
      </c>
      <c r="F2575" s="154">
        <v>4995.8</v>
      </c>
      <c r="G2575" s="197">
        <f>Tabla111[[#This Row],[Importe]]-Tabla111[[#This Row],[Pagado]]</f>
        <v>0</v>
      </c>
      <c r="H2575" s="153" t="s">
        <v>10</v>
      </c>
    </row>
    <row r="2576" spans="1:8" x14ac:dyDescent="0.25">
      <c r="A2576" s="73">
        <v>44858</v>
      </c>
      <c r="B2576" s="74" t="s">
        <v>34210</v>
      </c>
      <c r="C2576" s="75" t="s">
        <v>10819</v>
      </c>
      <c r="D2576" s="81">
        <v>1474.2</v>
      </c>
      <c r="E2576" s="230">
        <v>44859</v>
      </c>
      <c r="F2576" s="81">
        <v>1474.2</v>
      </c>
      <c r="G2576" s="197">
        <f>Tabla111[[#This Row],[Importe]]-Tabla111[[#This Row],[Pagado]]</f>
        <v>0</v>
      </c>
      <c r="H2576" s="75" t="s">
        <v>10</v>
      </c>
    </row>
    <row r="2577" spans="1:8" x14ac:dyDescent="0.25">
      <c r="A2577" s="148">
        <v>44858</v>
      </c>
      <c r="B2577" s="149" t="s">
        <v>34211</v>
      </c>
      <c r="C2577" s="153" t="s">
        <v>282</v>
      </c>
      <c r="D2577" s="154">
        <v>1879.8</v>
      </c>
      <c r="E2577" s="231">
        <v>44859</v>
      </c>
      <c r="F2577" s="154">
        <v>1879.8</v>
      </c>
      <c r="G2577" s="197">
        <f>Tabla111[[#This Row],[Importe]]-Tabla111[[#This Row],[Pagado]]</f>
        <v>0</v>
      </c>
      <c r="H2577" s="153" t="s">
        <v>10</v>
      </c>
    </row>
    <row r="2578" spans="1:8" x14ac:dyDescent="0.25">
      <c r="A2578" s="73">
        <v>44858</v>
      </c>
      <c r="B2578" s="74" t="s">
        <v>34212</v>
      </c>
      <c r="C2578" s="75" t="s">
        <v>10324</v>
      </c>
      <c r="D2578" s="81">
        <v>4510.8999999999996</v>
      </c>
      <c r="E2578" s="230">
        <v>44858</v>
      </c>
      <c r="F2578" s="81">
        <v>4510.8999999999996</v>
      </c>
      <c r="G2578" s="197">
        <f>Tabla111[[#This Row],[Importe]]-Tabla111[[#This Row],[Pagado]]</f>
        <v>0</v>
      </c>
      <c r="H2578" s="75" t="s">
        <v>10</v>
      </c>
    </row>
    <row r="2579" spans="1:8" x14ac:dyDescent="0.25">
      <c r="A2579" s="148">
        <v>44858</v>
      </c>
      <c r="B2579" s="149" t="s">
        <v>34213</v>
      </c>
      <c r="C2579" s="153" t="s">
        <v>5694</v>
      </c>
      <c r="D2579" s="154">
        <v>799</v>
      </c>
      <c r="E2579" s="231">
        <v>44858</v>
      </c>
      <c r="F2579" s="154">
        <v>799</v>
      </c>
      <c r="G2579" s="197">
        <f>Tabla111[[#This Row],[Importe]]-Tabla111[[#This Row],[Pagado]]</f>
        <v>0</v>
      </c>
      <c r="H2579" s="153" t="s">
        <v>10</v>
      </c>
    </row>
    <row r="2580" spans="1:8" x14ac:dyDescent="0.25">
      <c r="A2580" s="73">
        <v>44858</v>
      </c>
      <c r="B2580" s="74" t="s">
        <v>34214</v>
      </c>
      <c r="C2580" s="75" t="s">
        <v>296</v>
      </c>
      <c r="D2580" s="81">
        <v>4319.7</v>
      </c>
      <c r="E2580" s="230">
        <v>44858</v>
      </c>
      <c r="F2580" s="81">
        <v>4319.7</v>
      </c>
      <c r="G2580" s="197">
        <f>Tabla111[[#This Row],[Importe]]-Tabla111[[#This Row],[Pagado]]</f>
        <v>0</v>
      </c>
      <c r="H2580" s="75" t="s">
        <v>10</v>
      </c>
    </row>
    <row r="2581" spans="1:8" x14ac:dyDescent="0.25">
      <c r="A2581" s="148">
        <v>44858</v>
      </c>
      <c r="B2581" s="149" t="s">
        <v>34215</v>
      </c>
      <c r="C2581" s="153" t="s">
        <v>612</v>
      </c>
      <c r="D2581" s="154">
        <v>30</v>
      </c>
      <c r="E2581" s="231">
        <v>44858</v>
      </c>
      <c r="F2581" s="154">
        <v>30</v>
      </c>
      <c r="G2581" s="197">
        <f>Tabla111[[#This Row],[Importe]]-Tabla111[[#This Row],[Pagado]]</f>
        <v>0</v>
      </c>
      <c r="H2581" s="153" t="s">
        <v>10</v>
      </c>
    </row>
    <row r="2582" spans="1:8" x14ac:dyDescent="0.25">
      <c r="A2582" s="73">
        <v>44858</v>
      </c>
      <c r="B2582" s="74" t="s">
        <v>34216</v>
      </c>
      <c r="C2582" s="75" t="s">
        <v>31</v>
      </c>
      <c r="D2582" s="81">
        <v>1017.9</v>
      </c>
      <c r="E2582" s="230">
        <v>44858</v>
      </c>
      <c r="F2582" s="81">
        <v>1017.9</v>
      </c>
      <c r="G2582" s="197">
        <f>Tabla111[[#This Row],[Importe]]-Tabla111[[#This Row],[Pagado]]</f>
        <v>0</v>
      </c>
      <c r="H2582" s="75" t="s">
        <v>10</v>
      </c>
    </row>
    <row r="2583" spans="1:8" x14ac:dyDescent="0.25">
      <c r="A2583" s="148">
        <v>44858</v>
      </c>
      <c r="B2583" s="149" t="s">
        <v>34217</v>
      </c>
      <c r="C2583" s="153" t="s">
        <v>31</v>
      </c>
      <c r="D2583" s="154">
        <v>2709.4</v>
      </c>
      <c r="E2583" s="231">
        <v>44858</v>
      </c>
      <c r="F2583" s="154">
        <v>2709.4</v>
      </c>
      <c r="G2583" s="197">
        <f>Tabla111[[#This Row],[Importe]]-Tabla111[[#This Row],[Pagado]]</f>
        <v>0</v>
      </c>
      <c r="H2583" s="153" t="s">
        <v>10</v>
      </c>
    </row>
    <row r="2584" spans="1:8" x14ac:dyDescent="0.25">
      <c r="A2584" s="73">
        <v>44858</v>
      </c>
      <c r="B2584" s="74" t="s">
        <v>34218</v>
      </c>
      <c r="C2584" s="75" t="s">
        <v>31</v>
      </c>
      <c r="D2584" s="81">
        <v>684</v>
      </c>
      <c r="E2584" s="230">
        <v>44858</v>
      </c>
      <c r="F2584" s="81">
        <v>684</v>
      </c>
      <c r="G2584" s="197">
        <f>Tabla111[[#This Row],[Importe]]-Tabla111[[#This Row],[Pagado]]</f>
        <v>0</v>
      </c>
      <c r="H2584" s="75" t="s">
        <v>10</v>
      </c>
    </row>
    <row r="2585" spans="1:8" x14ac:dyDescent="0.25">
      <c r="A2585" s="148">
        <v>44858</v>
      </c>
      <c r="B2585" s="149" t="s">
        <v>34219</v>
      </c>
      <c r="C2585" s="153" t="s">
        <v>69</v>
      </c>
      <c r="D2585" s="154">
        <v>1489.8</v>
      </c>
      <c r="E2585" s="231">
        <v>44858</v>
      </c>
      <c r="F2585" s="154">
        <v>1489.8</v>
      </c>
      <c r="G2585" s="197">
        <f>Tabla111[[#This Row],[Importe]]-Tabla111[[#This Row],[Pagado]]</f>
        <v>0</v>
      </c>
      <c r="H2585" s="153" t="s">
        <v>10</v>
      </c>
    </row>
    <row r="2586" spans="1:8" x14ac:dyDescent="0.25">
      <c r="A2586" s="73">
        <v>44858</v>
      </c>
      <c r="B2586" s="74" t="s">
        <v>34220</v>
      </c>
      <c r="C2586" s="75" t="s">
        <v>28087</v>
      </c>
      <c r="D2586" s="81">
        <v>67938.070000000007</v>
      </c>
      <c r="E2586" s="230" t="s">
        <v>34993</v>
      </c>
      <c r="F2586" s="81">
        <f>38759.79+22635+6543.28</f>
        <v>67938.070000000007</v>
      </c>
      <c r="G2586" s="197">
        <f>Tabla111[[#This Row],[Importe]]-Tabla111[[#This Row],[Pagado]]</f>
        <v>0</v>
      </c>
      <c r="H2586" s="75" t="s">
        <v>10</v>
      </c>
    </row>
    <row r="2587" spans="1:8" x14ac:dyDescent="0.25">
      <c r="A2587" s="148">
        <v>44858</v>
      </c>
      <c r="B2587" s="149" t="s">
        <v>34221</v>
      </c>
      <c r="C2587" s="153" t="s">
        <v>10678</v>
      </c>
      <c r="D2587" s="154">
        <v>5393.7</v>
      </c>
      <c r="E2587" s="231">
        <v>44858</v>
      </c>
      <c r="F2587" s="154">
        <v>5393.7</v>
      </c>
      <c r="G2587" s="197">
        <f>Tabla111[[#This Row],[Importe]]-Tabla111[[#This Row],[Pagado]]</f>
        <v>0</v>
      </c>
      <c r="H2587" s="153" t="s">
        <v>10</v>
      </c>
    </row>
    <row r="2588" spans="1:8" x14ac:dyDescent="0.25">
      <c r="A2588" s="73">
        <v>44858</v>
      </c>
      <c r="B2588" s="74" t="s">
        <v>34222</v>
      </c>
      <c r="C2588" s="75" t="s">
        <v>34223</v>
      </c>
      <c r="D2588" s="81">
        <v>0</v>
      </c>
      <c r="E2588" s="232" t="s">
        <v>189</v>
      </c>
      <c r="F2588" s="81">
        <v>0</v>
      </c>
      <c r="G2588" s="197">
        <f>Tabla111[[#This Row],[Importe]]-Tabla111[[#This Row],[Pagado]]</f>
        <v>0</v>
      </c>
      <c r="H2588" s="75" t="s">
        <v>189</v>
      </c>
    </row>
    <row r="2589" spans="1:8" x14ac:dyDescent="0.25">
      <c r="A2589" s="148">
        <v>44859</v>
      </c>
      <c r="B2589" s="149" t="s">
        <v>34224</v>
      </c>
      <c r="C2589" s="153" t="s">
        <v>12</v>
      </c>
      <c r="D2589" s="154">
        <v>22714.5</v>
      </c>
      <c r="E2589" s="231">
        <v>44859</v>
      </c>
      <c r="F2589" s="154">
        <v>22714.5</v>
      </c>
      <c r="G2589" s="197">
        <f>Tabla111[[#This Row],[Importe]]-Tabla111[[#This Row],[Pagado]]</f>
        <v>0</v>
      </c>
      <c r="H2589" s="153" t="s">
        <v>10</v>
      </c>
    </row>
    <row r="2590" spans="1:8" x14ac:dyDescent="0.25">
      <c r="A2590" s="73">
        <v>44859</v>
      </c>
      <c r="B2590" s="74" t="s">
        <v>34225</v>
      </c>
      <c r="C2590" s="75" t="s">
        <v>18</v>
      </c>
      <c r="D2590" s="81">
        <v>1040.4000000000001</v>
      </c>
      <c r="E2590" s="230">
        <v>44859</v>
      </c>
      <c r="F2590" s="81">
        <v>1040.4000000000001</v>
      </c>
      <c r="G2590" s="197">
        <f>Tabla111[[#This Row],[Importe]]-Tabla111[[#This Row],[Pagado]]</f>
        <v>0</v>
      </c>
      <c r="H2590" s="75" t="s">
        <v>10</v>
      </c>
    </row>
    <row r="2591" spans="1:8" x14ac:dyDescent="0.25">
      <c r="A2591" s="148">
        <v>44859</v>
      </c>
      <c r="B2591" s="149" t="s">
        <v>34226</v>
      </c>
      <c r="C2591" s="153" t="s">
        <v>353</v>
      </c>
      <c r="D2591" s="154">
        <v>1988.6</v>
      </c>
      <c r="E2591" s="231">
        <v>44859</v>
      </c>
      <c r="F2591" s="154">
        <v>1988.6</v>
      </c>
      <c r="G2591" s="197">
        <f>Tabla111[[#This Row],[Importe]]-Tabla111[[#This Row],[Pagado]]</f>
        <v>0</v>
      </c>
      <c r="H2591" s="153" t="s">
        <v>10</v>
      </c>
    </row>
    <row r="2592" spans="1:8" x14ac:dyDescent="0.25">
      <c r="A2592" s="73">
        <v>44859</v>
      </c>
      <c r="B2592" s="74" t="s">
        <v>34227</v>
      </c>
      <c r="C2592" s="75" t="s">
        <v>466</v>
      </c>
      <c r="D2592" s="81">
        <v>25200</v>
      </c>
      <c r="E2592" s="230">
        <v>44859</v>
      </c>
      <c r="F2592" s="81">
        <v>25200</v>
      </c>
      <c r="G2592" s="197">
        <f>Tabla111[[#This Row],[Importe]]-Tabla111[[#This Row],[Pagado]]</f>
        <v>0</v>
      </c>
      <c r="H2592" s="75" t="s">
        <v>10</v>
      </c>
    </row>
    <row r="2593" spans="1:8" x14ac:dyDescent="0.25">
      <c r="A2593" s="148">
        <v>44859</v>
      </c>
      <c r="B2593" s="149" t="s">
        <v>34228</v>
      </c>
      <c r="C2593" s="153" t="s">
        <v>111</v>
      </c>
      <c r="D2593" s="154">
        <v>7988.6</v>
      </c>
      <c r="E2593" s="231">
        <v>44860</v>
      </c>
      <c r="F2593" s="154">
        <v>7988.6</v>
      </c>
      <c r="G2593" s="197">
        <f>Tabla111[[#This Row],[Importe]]-Tabla111[[#This Row],[Pagado]]</f>
        <v>0</v>
      </c>
      <c r="H2593" s="153" t="s">
        <v>10</v>
      </c>
    </row>
    <row r="2594" spans="1:8" x14ac:dyDescent="0.25">
      <c r="A2594" s="73">
        <v>44859</v>
      </c>
      <c r="B2594" s="74" t="s">
        <v>34229</v>
      </c>
      <c r="C2594" s="75" t="s">
        <v>9</v>
      </c>
      <c r="D2594" s="81">
        <v>7578.4</v>
      </c>
      <c r="E2594" s="230">
        <v>44859</v>
      </c>
      <c r="F2594" s="81">
        <v>7578.4</v>
      </c>
      <c r="G2594" s="197">
        <f>Tabla111[[#This Row],[Importe]]-Tabla111[[#This Row],[Pagado]]</f>
        <v>0</v>
      </c>
      <c r="H2594" s="75" t="s">
        <v>10</v>
      </c>
    </row>
    <row r="2595" spans="1:8" x14ac:dyDescent="0.25">
      <c r="A2595" s="148">
        <v>44859</v>
      </c>
      <c r="B2595" s="149" t="s">
        <v>34230</v>
      </c>
      <c r="C2595" s="153" t="s">
        <v>24768</v>
      </c>
      <c r="D2595" s="154">
        <v>4794</v>
      </c>
      <c r="E2595" s="231">
        <v>44859</v>
      </c>
      <c r="F2595" s="154">
        <v>4794</v>
      </c>
      <c r="G2595" s="197">
        <f>Tabla111[[#This Row],[Importe]]-Tabla111[[#This Row],[Pagado]]</f>
        <v>0</v>
      </c>
      <c r="H2595" s="153" t="s">
        <v>10</v>
      </c>
    </row>
    <row r="2596" spans="1:8" x14ac:dyDescent="0.25">
      <c r="A2596" s="73">
        <v>44859</v>
      </c>
      <c r="B2596" s="74" t="s">
        <v>34231</v>
      </c>
      <c r="C2596" s="75" t="s">
        <v>22</v>
      </c>
      <c r="D2596" s="81">
        <v>60615.6</v>
      </c>
      <c r="E2596" s="230" t="s">
        <v>34114</v>
      </c>
      <c r="F2596" s="81">
        <f>37000+23615.6</f>
        <v>60615.6</v>
      </c>
      <c r="G2596" s="197">
        <f>Tabla111[[#This Row],[Importe]]-Tabla111[[#This Row],[Pagado]]</f>
        <v>0</v>
      </c>
      <c r="H2596" s="75" t="s">
        <v>10</v>
      </c>
    </row>
    <row r="2597" spans="1:8" x14ac:dyDescent="0.25">
      <c r="A2597" s="148">
        <v>44859</v>
      </c>
      <c r="B2597" s="149" t="s">
        <v>34232</v>
      </c>
      <c r="C2597" s="153" t="s">
        <v>114</v>
      </c>
      <c r="D2597" s="154">
        <v>13795.2</v>
      </c>
      <c r="E2597" s="231">
        <v>44860</v>
      </c>
      <c r="F2597" s="154">
        <v>13795.2</v>
      </c>
      <c r="G2597" s="197">
        <f>Tabla111[[#This Row],[Importe]]-Tabla111[[#This Row],[Pagado]]</f>
        <v>0</v>
      </c>
      <c r="H2597" s="153" t="s">
        <v>10</v>
      </c>
    </row>
    <row r="2598" spans="1:8" x14ac:dyDescent="0.25">
      <c r="A2598" s="73">
        <v>44859</v>
      </c>
      <c r="B2598" s="74" t="s">
        <v>34233</v>
      </c>
      <c r="C2598" s="75" t="s">
        <v>64</v>
      </c>
      <c r="D2598" s="81">
        <v>5824</v>
      </c>
      <c r="E2598" s="230">
        <v>44860</v>
      </c>
      <c r="F2598" s="81">
        <v>5824</v>
      </c>
      <c r="G2598" s="197">
        <f>Tabla111[[#This Row],[Importe]]-Tabla111[[#This Row],[Pagado]]</f>
        <v>0</v>
      </c>
      <c r="H2598" s="75" t="s">
        <v>10</v>
      </c>
    </row>
    <row r="2599" spans="1:8" x14ac:dyDescent="0.25">
      <c r="A2599" s="148">
        <v>44859</v>
      </c>
      <c r="B2599" s="149" t="s">
        <v>34234</v>
      </c>
      <c r="C2599" s="153" t="s">
        <v>97</v>
      </c>
      <c r="D2599" s="154">
        <v>6072.5</v>
      </c>
      <c r="E2599" s="231">
        <v>44861</v>
      </c>
      <c r="F2599" s="154">
        <v>6072.5</v>
      </c>
      <c r="G2599" s="197">
        <f>Tabla111[[#This Row],[Importe]]-Tabla111[[#This Row],[Pagado]]</f>
        <v>0</v>
      </c>
      <c r="H2599" s="153" t="s">
        <v>10</v>
      </c>
    </row>
    <row r="2600" spans="1:8" x14ac:dyDescent="0.25">
      <c r="A2600" s="73">
        <v>44859</v>
      </c>
      <c r="B2600" s="74" t="s">
        <v>34235</v>
      </c>
      <c r="C2600" s="75" t="s">
        <v>5043</v>
      </c>
      <c r="D2600" s="81">
        <v>5266.2</v>
      </c>
      <c r="E2600" s="230">
        <v>44861</v>
      </c>
      <c r="F2600" s="81">
        <v>5266.2</v>
      </c>
      <c r="G2600" s="197">
        <f>Tabla111[[#This Row],[Importe]]-Tabla111[[#This Row],[Pagado]]</f>
        <v>0</v>
      </c>
      <c r="H2600" s="75" t="s">
        <v>10</v>
      </c>
    </row>
    <row r="2601" spans="1:8" x14ac:dyDescent="0.25">
      <c r="A2601" s="148">
        <v>44859</v>
      </c>
      <c r="B2601" s="149" t="s">
        <v>34236</v>
      </c>
      <c r="C2601" s="153" t="s">
        <v>109</v>
      </c>
      <c r="D2601" s="154">
        <v>6214</v>
      </c>
      <c r="E2601" s="231">
        <v>44860</v>
      </c>
      <c r="F2601" s="154">
        <v>6214</v>
      </c>
      <c r="G2601" s="197">
        <f>Tabla111[[#This Row],[Importe]]-Tabla111[[#This Row],[Pagado]]</f>
        <v>0</v>
      </c>
      <c r="H2601" s="153" t="s">
        <v>10</v>
      </c>
    </row>
    <row r="2602" spans="1:8" x14ac:dyDescent="0.25">
      <c r="A2602" s="73">
        <v>44859</v>
      </c>
      <c r="B2602" s="74" t="s">
        <v>34237</v>
      </c>
      <c r="C2602" s="75" t="s">
        <v>348</v>
      </c>
      <c r="D2602" s="81">
        <v>4910.3999999999996</v>
      </c>
      <c r="E2602" s="230">
        <v>44859</v>
      </c>
      <c r="F2602" s="81">
        <v>4910.3999999999996</v>
      </c>
      <c r="G2602" s="197">
        <f>Tabla111[[#This Row],[Importe]]-Tabla111[[#This Row],[Pagado]]</f>
        <v>0</v>
      </c>
      <c r="H2602" s="75" t="s">
        <v>10</v>
      </c>
    </row>
    <row r="2603" spans="1:8" x14ac:dyDescent="0.25">
      <c r="A2603" s="148">
        <v>44859</v>
      </c>
      <c r="B2603" s="149" t="s">
        <v>34238</v>
      </c>
      <c r="C2603" s="153" t="s">
        <v>93</v>
      </c>
      <c r="D2603" s="154">
        <v>7887.1</v>
      </c>
      <c r="E2603" s="231" t="s">
        <v>34114</v>
      </c>
      <c r="F2603" s="154">
        <f>3000+4887.1</f>
        <v>7887.1</v>
      </c>
      <c r="G2603" s="197">
        <f>Tabla111[[#This Row],[Importe]]-Tabla111[[#This Row],[Pagado]]</f>
        <v>0</v>
      </c>
      <c r="H2603" s="153" t="s">
        <v>10</v>
      </c>
    </row>
    <row r="2604" spans="1:8" x14ac:dyDescent="0.25">
      <c r="A2604" s="73">
        <v>44859</v>
      </c>
      <c r="B2604" s="74" t="s">
        <v>34239</v>
      </c>
      <c r="C2604" s="75" t="s">
        <v>326</v>
      </c>
      <c r="D2604" s="81">
        <v>5842.4</v>
      </c>
      <c r="E2604" s="230">
        <v>44860</v>
      </c>
      <c r="F2604" s="81">
        <v>5842.4</v>
      </c>
      <c r="G2604" s="197">
        <f>Tabla111[[#This Row],[Importe]]-Tabla111[[#This Row],[Pagado]]</f>
        <v>0</v>
      </c>
      <c r="H2604" s="75" t="s">
        <v>10</v>
      </c>
    </row>
    <row r="2605" spans="1:8" x14ac:dyDescent="0.25">
      <c r="A2605" s="148">
        <v>44859</v>
      </c>
      <c r="B2605" s="149" t="s">
        <v>34240</v>
      </c>
      <c r="C2605" s="153" t="s">
        <v>89</v>
      </c>
      <c r="D2605" s="154">
        <v>10794.2</v>
      </c>
      <c r="E2605" s="231">
        <v>44860</v>
      </c>
      <c r="F2605" s="154">
        <v>10794.2</v>
      </c>
      <c r="G2605" s="197">
        <f>Tabla111[[#This Row],[Importe]]-Tabla111[[#This Row],[Pagado]]</f>
        <v>0</v>
      </c>
      <c r="H2605" s="153" t="s">
        <v>10</v>
      </c>
    </row>
    <row r="2606" spans="1:8" x14ac:dyDescent="0.25">
      <c r="A2606" s="73">
        <v>44859</v>
      </c>
      <c r="B2606" s="74" t="s">
        <v>34241</v>
      </c>
      <c r="C2606" s="75" t="s">
        <v>4136</v>
      </c>
      <c r="D2606" s="81">
        <v>2613.1999999999998</v>
      </c>
      <c r="E2606" s="230">
        <v>44859</v>
      </c>
      <c r="F2606" s="81">
        <v>2613.1999999999998</v>
      </c>
      <c r="G2606" s="197">
        <f>Tabla111[[#This Row],[Importe]]-Tabla111[[#This Row],[Pagado]]</f>
        <v>0</v>
      </c>
      <c r="H2606" s="75" t="s">
        <v>10</v>
      </c>
    </row>
    <row r="2607" spans="1:8" x14ac:dyDescent="0.25">
      <c r="A2607" s="148">
        <v>44859</v>
      </c>
      <c r="B2607" s="149" t="s">
        <v>34242</v>
      </c>
      <c r="C2607" s="153" t="s">
        <v>79</v>
      </c>
      <c r="D2607" s="154">
        <v>9750</v>
      </c>
      <c r="E2607" s="231">
        <v>44859</v>
      </c>
      <c r="F2607" s="154">
        <v>9750</v>
      </c>
      <c r="G2607" s="197">
        <f>Tabla111[[#This Row],[Importe]]-Tabla111[[#This Row],[Pagado]]</f>
        <v>0</v>
      </c>
      <c r="H2607" s="153" t="s">
        <v>10</v>
      </c>
    </row>
    <row r="2608" spans="1:8" x14ac:dyDescent="0.25">
      <c r="A2608" s="73">
        <v>44859</v>
      </c>
      <c r="B2608" s="74" t="s">
        <v>34243</v>
      </c>
      <c r="C2608" s="75" t="s">
        <v>357</v>
      </c>
      <c r="D2608" s="81">
        <v>1256</v>
      </c>
      <c r="E2608" s="230">
        <v>44859</v>
      </c>
      <c r="F2608" s="81">
        <v>1256</v>
      </c>
      <c r="G2608" s="197">
        <f>Tabla111[[#This Row],[Importe]]-Tabla111[[#This Row],[Pagado]]</f>
        <v>0</v>
      </c>
      <c r="H2608" s="75" t="s">
        <v>10</v>
      </c>
    </row>
    <row r="2609" spans="1:8" x14ac:dyDescent="0.25">
      <c r="A2609" s="148">
        <v>44859</v>
      </c>
      <c r="B2609" s="149" t="s">
        <v>34244</v>
      </c>
      <c r="C2609" s="153" t="s">
        <v>127</v>
      </c>
      <c r="D2609" s="154">
        <v>5221.2</v>
      </c>
      <c r="E2609" s="231">
        <v>44859</v>
      </c>
      <c r="F2609" s="154">
        <v>5221.2</v>
      </c>
      <c r="G2609" s="197">
        <f>Tabla111[[#This Row],[Importe]]-Tabla111[[#This Row],[Pagado]]</f>
        <v>0</v>
      </c>
      <c r="H2609" s="153" t="s">
        <v>10</v>
      </c>
    </row>
    <row r="2610" spans="1:8" x14ac:dyDescent="0.25">
      <c r="A2610" s="73">
        <v>44859</v>
      </c>
      <c r="B2610" s="74" t="s">
        <v>34245</v>
      </c>
      <c r="C2610" s="75" t="s">
        <v>339</v>
      </c>
      <c r="D2610" s="81">
        <v>1216</v>
      </c>
      <c r="E2610" s="230">
        <v>44859</v>
      </c>
      <c r="F2610" s="81">
        <v>1216</v>
      </c>
      <c r="G2610" s="197">
        <f>Tabla111[[#This Row],[Importe]]-Tabla111[[#This Row],[Pagado]]</f>
        <v>0</v>
      </c>
      <c r="H2610" s="75" t="s">
        <v>10</v>
      </c>
    </row>
    <row r="2611" spans="1:8" x14ac:dyDescent="0.25">
      <c r="A2611" s="148">
        <v>44859</v>
      </c>
      <c r="B2611" s="149" t="s">
        <v>34246</v>
      </c>
      <c r="C2611" s="153" t="s">
        <v>129</v>
      </c>
      <c r="D2611" s="154">
        <v>2000</v>
      </c>
      <c r="E2611" s="231">
        <v>44859</v>
      </c>
      <c r="F2611" s="154">
        <v>2000</v>
      </c>
      <c r="G2611" s="197">
        <f>Tabla111[[#This Row],[Importe]]-Tabla111[[#This Row],[Pagado]]</f>
        <v>0</v>
      </c>
      <c r="H2611" s="153" t="s">
        <v>10</v>
      </c>
    </row>
    <row r="2612" spans="1:8" x14ac:dyDescent="0.25">
      <c r="A2612" s="73">
        <v>44859</v>
      </c>
      <c r="B2612" s="74" t="s">
        <v>34247</v>
      </c>
      <c r="C2612" s="75" t="s">
        <v>2151</v>
      </c>
      <c r="D2612" s="81">
        <v>15022.9</v>
      </c>
      <c r="E2612" s="230">
        <v>44859</v>
      </c>
      <c r="F2612" s="81">
        <v>15022.9</v>
      </c>
      <c r="G2612" s="197">
        <f>Tabla111[[#This Row],[Importe]]-Tabla111[[#This Row],[Pagado]]</f>
        <v>0</v>
      </c>
      <c r="H2612" s="75" t="s">
        <v>10</v>
      </c>
    </row>
    <row r="2613" spans="1:8" x14ac:dyDescent="0.25">
      <c r="A2613" s="148">
        <v>44859</v>
      </c>
      <c r="B2613" s="149" t="s">
        <v>34248</v>
      </c>
      <c r="C2613" s="153" t="s">
        <v>83</v>
      </c>
      <c r="D2613" s="154">
        <v>9167.7000000000007</v>
      </c>
      <c r="E2613" s="231">
        <v>44859</v>
      </c>
      <c r="F2613" s="154">
        <v>9167.7000000000007</v>
      </c>
      <c r="G2613" s="197">
        <f>Tabla111[[#This Row],[Importe]]-Tabla111[[#This Row],[Pagado]]</f>
        <v>0</v>
      </c>
      <c r="H2613" s="153" t="s">
        <v>10</v>
      </c>
    </row>
    <row r="2614" spans="1:8" x14ac:dyDescent="0.25">
      <c r="A2614" s="73">
        <v>44859</v>
      </c>
      <c r="B2614" s="74" t="s">
        <v>34249</v>
      </c>
      <c r="C2614" s="75" t="s">
        <v>314</v>
      </c>
      <c r="D2614" s="81">
        <v>1560</v>
      </c>
      <c r="E2614" s="230">
        <v>44859</v>
      </c>
      <c r="F2614" s="81">
        <v>1560</v>
      </c>
      <c r="G2614" s="197">
        <f>Tabla111[[#This Row],[Importe]]-Tabla111[[#This Row],[Pagado]]</f>
        <v>0</v>
      </c>
      <c r="H2614" s="75" t="s">
        <v>10</v>
      </c>
    </row>
    <row r="2615" spans="1:8" x14ac:dyDescent="0.25">
      <c r="A2615" s="148">
        <v>44859</v>
      </c>
      <c r="B2615" s="149" t="s">
        <v>34250</v>
      </c>
      <c r="C2615" s="153" t="s">
        <v>87</v>
      </c>
      <c r="D2615" s="154">
        <v>2800.2</v>
      </c>
      <c r="E2615" s="231">
        <v>44859</v>
      </c>
      <c r="F2615" s="154">
        <v>2800.2</v>
      </c>
      <c r="G2615" s="197">
        <f>Tabla111[[#This Row],[Importe]]-Tabla111[[#This Row],[Pagado]]</f>
        <v>0</v>
      </c>
      <c r="H2615" s="153" t="s">
        <v>10</v>
      </c>
    </row>
    <row r="2616" spans="1:8" x14ac:dyDescent="0.25">
      <c r="A2616" s="73">
        <v>44859</v>
      </c>
      <c r="B2616" s="74" t="s">
        <v>34251</v>
      </c>
      <c r="C2616" s="75" t="s">
        <v>87</v>
      </c>
      <c r="D2616" s="81">
        <v>239.7</v>
      </c>
      <c r="E2616" s="230">
        <v>44859</v>
      </c>
      <c r="F2616" s="81">
        <v>239.7</v>
      </c>
      <c r="G2616" s="197">
        <f>Tabla111[[#This Row],[Importe]]-Tabla111[[#This Row],[Pagado]]</f>
        <v>0</v>
      </c>
      <c r="H2616" s="75" t="s">
        <v>10</v>
      </c>
    </row>
    <row r="2617" spans="1:8" x14ac:dyDescent="0.25">
      <c r="A2617" s="148">
        <v>44859</v>
      </c>
      <c r="B2617" s="149" t="s">
        <v>34252</v>
      </c>
      <c r="C2617" s="153" t="s">
        <v>16</v>
      </c>
      <c r="D2617" s="154">
        <v>6039</v>
      </c>
      <c r="E2617" s="231">
        <v>44859</v>
      </c>
      <c r="F2617" s="154">
        <v>6039</v>
      </c>
      <c r="G2617" s="197">
        <f>Tabla111[[#This Row],[Importe]]-Tabla111[[#This Row],[Pagado]]</f>
        <v>0</v>
      </c>
      <c r="H2617" s="153" t="s">
        <v>10</v>
      </c>
    </row>
    <row r="2618" spans="1:8" x14ac:dyDescent="0.25">
      <c r="A2618" s="73">
        <v>44859</v>
      </c>
      <c r="B2618" s="74" t="s">
        <v>34253</v>
      </c>
      <c r="C2618" s="75" t="s">
        <v>16</v>
      </c>
      <c r="D2618" s="81">
        <v>756</v>
      </c>
      <c r="E2618" s="230">
        <v>44859</v>
      </c>
      <c r="F2618" s="81">
        <v>756</v>
      </c>
      <c r="G2618" s="197">
        <f>Tabla111[[#This Row],[Importe]]-Tabla111[[#This Row],[Pagado]]</f>
        <v>0</v>
      </c>
      <c r="H2618" s="75" t="s">
        <v>10</v>
      </c>
    </row>
    <row r="2619" spans="1:8" x14ac:dyDescent="0.25">
      <c r="A2619" s="148">
        <v>44859</v>
      </c>
      <c r="B2619" s="149" t="s">
        <v>34254</v>
      </c>
      <c r="C2619" s="153" t="s">
        <v>146</v>
      </c>
      <c r="D2619" s="154">
        <v>5223.3999999999996</v>
      </c>
      <c r="E2619" s="231">
        <v>44859</v>
      </c>
      <c r="F2619" s="154">
        <v>5223.3999999999996</v>
      </c>
      <c r="G2619" s="197">
        <f>Tabla111[[#This Row],[Importe]]-Tabla111[[#This Row],[Pagado]]</f>
        <v>0</v>
      </c>
      <c r="H2619" s="153" t="s">
        <v>10</v>
      </c>
    </row>
    <row r="2620" spans="1:8" x14ac:dyDescent="0.25">
      <c r="A2620" s="73">
        <v>44859</v>
      </c>
      <c r="B2620" s="74" t="s">
        <v>34255</v>
      </c>
      <c r="C2620" s="75" t="s">
        <v>664</v>
      </c>
      <c r="D2620" s="81">
        <v>9539.4</v>
      </c>
      <c r="E2620" s="230">
        <v>44859</v>
      </c>
      <c r="F2620" s="81">
        <v>9539.4</v>
      </c>
      <c r="G2620" s="197">
        <f>Tabla111[[#This Row],[Importe]]-Tabla111[[#This Row],[Pagado]]</f>
        <v>0</v>
      </c>
      <c r="H2620" s="75" t="s">
        <v>10</v>
      </c>
    </row>
    <row r="2621" spans="1:8" x14ac:dyDescent="0.25">
      <c r="A2621" s="148">
        <v>44859</v>
      </c>
      <c r="B2621" s="149" t="s">
        <v>34256</v>
      </c>
      <c r="C2621" s="153" t="s">
        <v>151</v>
      </c>
      <c r="D2621" s="154">
        <v>27618.6</v>
      </c>
      <c r="E2621" s="231">
        <v>44859</v>
      </c>
      <c r="F2621" s="154">
        <v>27618.6</v>
      </c>
      <c r="G2621" s="197">
        <f>Tabla111[[#This Row],[Importe]]-Tabla111[[#This Row],[Pagado]]</f>
        <v>0</v>
      </c>
      <c r="H2621" s="153" t="s">
        <v>10</v>
      </c>
    </row>
    <row r="2622" spans="1:8" x14ac:dyDescent="0.25">
      <c r="A2622" s="73">
        <v>44859</v>
      </c>
      <c r="B2622" s="74" t="s">
        <v>34257</v>
      </c>
      <c r="C2622" s="75" t="s">
        <v>1362</v>
      </c>
      <c r="D2622" s="81">
        <v>1746</v>
      </c>
      <c r="E2622" s="230">
        <v>44859</v>
      </c>
      <c r="F2622" s="81">
        <v>1746</v>
      </c>
      <c r="G2622" s="197">
        <f>Tabla111[[#This Row],[Importe]]-Tabla111[[#This Row],[Pagado]]</f>
        <v>0</v>
      </c>
      <c r="H2622" s="75" t="s">
        <v>10</v>
      </c>
    </row>
    <row r="2623" spans="1:8" x14ac:dyDescent="0.25">
      <c r="A2623" s="148">
        <v>44859</v>
      </c>
      <c r="B2623" s="149" t="s">
        <v>34258</v>
      </c>
      <c r="C2623" s="153" t="s">
        <v>2780</v>
      </c>
      <c r="D2623" s="154">
        <v>19458.900000000001</v>
      </c>
      <c r="E2623" s="231">
        <v>44859</v>
      </c>
      <c r="F2623" s="154">
        <v>19458.900000000001</v>
      </c>
      <c r="G2623" s="197">
        <f>Tabla111[[#This Row],[Importe]]-Tabla111[[#This Row],[Pagado]]</f>
        <v>0</v>
      </c>
      <c r="H2623" s="153" t="s">
        <v>10</v>
      </c>
    </row>
    <row r="2624" spans="1:8" x14ac:dyDescent="0.25">
      <c r="A2624" s="73">
        <v>44859</v>
      </c>
      <c r="B2624" s="74" t="s">
        <v>34259</v>
      </c>
      <c r="C2624" s="75" t="s">
        <v>142</v>
      </c>
      <c r="D2624" s="81">
        <v>103246.58</v>
      </c>
      <c r="E2624" s="230" t="s">
        <v>4813</v>
      </c>
      <c r="F2624" s="81">
        <v>0</v>
      </c>
      <c r="G2624" s="197">
        <f>Tabla111[[#This Row],[Importe]]-Tabla111[[#This Row],[Pagado]]</f>
        <v>103246.58</v>
      </c>
      <c r="H2624" s="75" t="s">
        <v>4814</v>
      </c>
    </row>
    <row r="2625" spans="1:8" x14ac:dyDescent="0.25">
      <c r="A2625" s="148">
        <v>44859</v>
      </c>
      <c r="B2625" s="149" t="s">
        <v>34260</v>
      </c>
      <c r="C2625" s="153" t="s">
        <v>31</v>
      </c>
      <c r="D2625" s="154">
        <v>2448</v>
      </c>
      <c r="E2625" s="231">
        <v>44859</v>
      </c>
      <c r="F2625" s="154">
        <v>2448</v>
      </c>
      <c r="G2625" s="197">
        <f>Tabla111[[#This Row],[Importe]]-Tabla111[[#This Row],[Pagado]]</f>
        <v>0</v>
      </c>
      <c r="H2625" s="153" t="s">
        <v>10</v>
      </c>
    </row>
    <row r="2626" spans="1:8" x14ac:dyDescent="0.25">
      <c r="A2626" s="73">
        <v>44859</v>
      </c>
      <c r="B2626" s="74" t="s">
        <v>34261</v>
      </c>
      <c r="C2626" s="75" t="s">
        <v>107</v>
      </c>
      <c r="D2626" s="81">
        <v>17328</v>
      </c>
      <c r="E2626" s="230">
        <v>44859</v>
      </c>
      <c r="F2626" s="81">
        <v>17328</v>
      </c>
      <c r="G2626" s="197">
        <f>Tabla111[[#This Row],[Importe]]-Tabla111[[#This Row],[Pagado]]</f>
        <v>0</v>
      </c>
      <c r="H2626" s="75" t="s">
        <v>10</v>
      </c>
    </row>
    <row r="2627" spans="1:8" x14ac:dyDescent="0.25">
      <c r="A2627" s="148">
        <v>44859</v>
      </c>
      <c r="B2627" s="149" t="s">
        <v>34262</v>
      </c>
      <c r="C2627" s="153" t="s">
        <v>31</v>
      </c>
      <c r="D2627" s="154">
        <v>17965.86</v>
      </c>
      <c r="E2627" s="231">
        <v>44859</v>
      </c>
      <c r="F2627" s="154">
        <v>17965.86</v>
      </c>
      <c r="G2627" s="197">
        <f>Tabla111[[#This Row],[Importe]]-Tabla111[[#This Row],[Pagado]]</f>
        <v>0</v>
      </c>
      <c r="H2627" s="153" t="s">
        <v>10</v>
      </c>
    </row>
    <row r="2628" spans="1:8" x14ac:dyDescent="0.25">
      <c r="A2628" s="73">
        <v>44859</v>
      </c>
      <c r="B2628" s="74" t="s">
        <v>34263</v>
      </c>
      <c r="C2628" s="75" t="s">
        <v>230</v>
      </c>
      <c r="D2628" s="81">
        <v>8643.7999999999993</v>
      </c>
      <c r="E2628" s="230">
        <v>44859</v>
      </c>
      <c r="F2628" s="81">
        <v>8643.7999999999993</v>
      </c>
      <c r="G2628" s="197">
        <f>Tabla111[[#This Row],[Importe]]-Tabla111[[#This Row],[Pagado]]</f>
        <v>0</v>
      </c>
      <c r="H2628" s="75" t="s">
        <v>10</v>
      </c>
    </row>
    <row r="2629" spans="1:8" x14ac:dyDescent="0.25">
      <c r="A2629" s="148">
        <v>44859</v>
      </c>
      <c r="B2629" s="149" t="s">
        <v>34264</v>
      </c>
      <c r="C2629" s="153" t="s">
        <v>291</v>
      </c>
      <c r="D2629" s="154">
        <v>3200</v>
      </c>
      <c r="E2629" s="231">
        <v>44859</v>
      </c>
      <c r="F2629" s="154">
        <v>3200</v>
      </c>
      <c r="G2629" s="197">
        <f>Tabla111[[#This Row],[Importe]]-Tabla111[[#This Row],[Pagado]]</f>
        <v>0</v>
      </c>
      <c r="H2629" s="153" t="s">
        <v>10</v>
      </c>
    </row>
    <row r="2630" spans="1:8" x14ac:dyDescent="0.25">
      <c r="A2630" s="73">
        <v>44859</v>
      </c>
      <c r="B2630" s="74" t="s">
        <v>34265</v>
      </c>
      <c r="C2630" s="75" t="s">
        <v>214</v>
      </c>
      <c r="D2630" s="81">
        <v>5247</v>
      </c>
      <c r="E2630" s="230">
        <v>44859</v>
      </c>
      <c r="F2630" s="81">
        <v>5247</v>
      </c>
      <c r="G2630" s="197">
        <f>Tabla111[[#This Row],[Importe]]-Tabla111[[#This Row],[Pagado]]</f>
        <v>0</v>
      </c>
      <c r="H2630" s="75" t="s">
        <v>10</v>
      </c>
    </row>
    <row r="2631" spans="1:8" x14ac:dyDescent="0.25">
      <c r="A2631" s="148">
        <v>44859</v>
      </c>
      <c r="B2631" s="149" t="s">
        <v>34266</v>
      </c>
      <c r="C2631" s="153" t="s">
        <v>49</v>
      </c>
      <c r="D2631" s="154">
        <v>3383.4</v>
      </c>
      <c r="E2631" s="231">
        <v>44859</v>
      </c>
      <c r="F2631" s="154">
        <v>3383.4</v>
      </c>
      <c r="G2631" s="197">
        <f>Tabla111[[#This Row],[Importe]]-Tabla111[[#This Row],[Pagado]]</f>
        <v>0</v>
      </c>
      <c r="H2631" s="153" t="s">
        <v>10</v>
      </c>
    </row>
    <row r="2632" spans="1:8" x14ac:dyDescent="0.25">
      <c r="A2632" s="73">
        <v>44859</v>
      </c>
      <c r="B2632" s="74" t="s">
        <v>34267</v>
      </c>
      <c r="C2632" s="75" t="s">
        <v>45</v>
      </c>
      <c r="D2632" s="81">
        <v>12684.4</v>
      </c>
      <c r="E2632" s="230">
        <v>44859</v>
      </c>
      <c r="F2632" s="81">
        <v>12684.4</v>
      </c>
      <c r="G2632" s="197">
        <f>Tabla111[[#This Row],[Importe]]-Tabla111[[#This Row],[Pagado]]</f>
        <v>0</v>
      </c>
      <c r="H2632" s="75" t="s">
        <v>10</v>
      </c>
    </row>
    <row r="2633" spans="1:8" x14ac:dyDescent="0.25">
      <c r="A2633" s="148">
        <v>44859</v>
      </c>
      <c r="B2633" s="149" t="s">
        <v>34268</v>
      </c>
      <c r="C2633" s="153" t="s">
        <v>31</v>
      </c>
      <c r="D2633" s="154">
        <v>639.6</v>
      </c>
      <c r="E2633" s="231">
        <v>44859</v>
      </c>
      <c r="F2633" s="154">
        <v>639.6</v>
      </c>
      <c r="G2633" s="197">
        <f>Tabla111[[#This Row],[Importe]]-Tabla111[[#This Row],[Pagado]]</f>
        <v>0</v>
      </c>
      <c r="H2633" s="153" t="s">
        <v>10</v>
      </c>
    </row>
    <row r="2634" spans="1:8" x14ac:dyDescent="0.25">
      <c r="A2634" s="73">
        <v>44859</v>
      </c>
      <c r="B2634" s="74" t="s">
        <v>34269</v>
      </c>
      <c r="C2634" s="75" t="s">
        <v>518</v>
      </c>
      <c r="D2634" s="81">
        <v>968.4</v>
      </c>
      <c r="E2634" s="230">
        <v>44859</v>
      </c>
      <c r="F2634" s="81">
        <v>968.4</v>
      </c>
      <c r="G2634" s="197">
        <f>Tabla111[[#This Row],[Importe]]-Tabla111[[#This Row],[Pagado]]</f>
        <v>0</v>
      </c>
      <c r="H2634" s="75" t="s">
        <v>10</v>
      </c>
    </row>
    <row r="2635" spans="1:8" x14ac:dyDescent="0.25">
      <c r="A2635" s="148">
        <v>44859</v>
      </c>
      <c r="B2635" s="149" t="s">
        <v>34270</v>
      </c>
      <c r="C2635" s="153" t="s">
        <v>319</v>
      </c>
      <c r="D2635" s="154">
        <v>13120.3</v>
      </c>
      <c r="E2635" s="231">
        <v>44859</v>
      </c>
      <c r="F2635" s="154">
        <v>13120.3</v>
      </c>
      <c r="G2635" s="197">
        <f>Tabla111[[#This Row],[Importe]]-Tabla111[[#This Row],[Pagado]]</f>
        <v>0</v>
      </c>
      <c r="H2635" s="153" t="s">
        <v>10</v>
      </c>
    </row>
    <row r="2636" spans="1:8" x14ac:dyDescent="0.25">
      <c r="A2636" s="73">
        <v>44859</v>
      </c>
      <c r="B2636" s="74" t="s">
        <v>34271</v>
      </c>
      <c r="C2636" s="75" t="s">
        <v>33</v>
      </c>
      <c r="D2636" s="81">
        <v>20789.400000000001</v>
      </c>
      <c r="E2636" s="230">
        <v>44859</v>
      </c>
      <c r="F2636" s="81">
        <v>20789.400000000001</v>
      </c>
      <c r="G2636" s="197">
        <f>Tabla111[[#This Row],[Importe]]-Tabla111[[#This Row],[Pagado]]</f>
        <v>0</v>
      </c>
      <c r="H2636" s="75" t="s">
        <v>10</v>
      </c>
    </row>
    <row r="2637" spans="1:8" x14ac:dyDescent="0.25">
      <c r="A2637" s="148">
        <v>44859</v>
      </c>
      <c r="B2637" s="149" t="s">
        <v>34272</v>
      </c>
      <c r="C2637" s="153" t="s">
        <v>159</v>
      </c>
      <c r="D2637" s="154">
        <v>8079.2</v>
      </c>
      <c r="E2637" s="231">
        <v>44859</v>
      </c>
      <c r="F2637" s="154">
        <v>8079.2</v>
      </c>
      <c r="G2637" s="197">
        <f>Tabla111[[#This Row],[Importe]]-Tabla111[[#This Row],[Pagado]]</f>
        <v>0</v>
      </c>
      <c r="H2637" s="153" t="s">
        <v>10</v>
      </c>
    </row>
    <row r="2638" spans="1:8" x14ac:dyDescent="0.25">
      <c r="A2638" s="73">
        <v>44859</v>
      </c>
      <c r="B2638" s="74" t="s">
        <v>34273</v>
      </c>
      <c r="C2638" s="75" t="s">
        <v>157</v>
      </c>
      <c r="D2638" s="81">
        <v>7287.1</v>
      </c>
      <c r="E2638" s="230">
        <v>44859</v>
      </c>
      <c r="F2638" s="81">
        <v>7287.1</v>
      </c>
      <c r="G2638" s="197">
        <f>Tabla111[[#This Row],[Importe]]-Tabla111[[#This Row],[Pagado]]</f>
        <v>0</v>
      </c>
      <c r="H2638" s="75" t="s">
        <v>10</v>
      </c>
    </row>
    <row r="2639" spans="1:8" x14ac:dyDescent="0.25">
      <c r="A2639" s="148">
        <v>44859</v>
      </c>
      <c r="B2639" s="149" t="s">
        <v>34274</v>
      </c>
      <c r="C2639" s="153" t="s">
        <v>24</v>
      </c>
      <c r="D2639" s="154">
        <v>5894.5</v>
      </c>
      <c r="E2639" s="231">
        <v>44859</v>
      </c>
      <c r="F2639" s="154">
        <v>5894.5</v>
      </c>
      <c r="G2639" s="197">
        <f>Tabla111[[#This Row],[Importe]]-Tabla111[[#This Row],[Pagado]]</f>
        <v>0</v>
      </c>
      <c r="H2639" s="153" t="s">
        <v>10</v>
      </c>
    </row>
    <row r="2640" spans="1:8" x14ac:dyDescent="0.25">
      <c r="A2640" s="73">
        <v>44859</v>
      </c>
      <c r="B2640" s="74" t="s">
        <v>34275</v>
      </c>
      <c r="C2640" s="75" t="s">
        <v>56</v>
      </c>
      <c r="D2640" s="81">
        <v>8147.2</v>
      </c>
      <c r="E2640" s="230">
        <v>44859</v>
      </c>
      <c r="F2640" s="81">
        <v>8147.2</v>
      </c>
      <c r="G2640" s="197">
        <f>Tabla111[[#This Row],[Importe]]-Tabla111[[#This Row],[Pagado]]</f>
        <v>0</v>
      </c>
      <c r="H2640" s="75" t="s">
        <v>10</v>
      </c>
    </row>
    <row r="2641" spans="1:8" x14ac:dyDescent="0.25">
      <c r="A2641" s="148">
        <v>44859</v>
      </c>
      <c r="B2641" s="149" t="s">
        <v>34276</v>
      </c>
      <c r="C2641" s="153" t="s">
        <v>75</v>
      </c>
      <c r="D2641" s="154">
        <v>9282</v>
      </c>
      <c r="E2641" s="231">
        <v>44859</v>
      </c>
      <c r="F2641" s="154">
        <v>9282</v>
      </c>
      <c r="G2641" s="197">
        <f>Tabla111[[#This Row],[Importe]]-Tabla111[[#This Row],[Pagado]]</f>
        <v>0</v>
      </c>
      <c r="H2641" s="153" t="s">
        <v>10</v>
      </c>
    </row>
    <row r="2642" spans="1:8" x14ac:dyDescent="0.25">
      <c r="A2642" s="73">
        <v>44859</v>
      </c>
      <c r="B2642" s="74" t="s">
        <v>34277</v>
      </c>
      <c r="C2642" s="75" t="s">
        <v>31</v>
      </c>
      <c r="D2642" s="81">
        <v>20531.5</v>
      </c>
      <c r="E2642" s="230">
        <v>44859</v>
      </c>
      <c r="F2642" s="81">
        <v>20531.5</v>
      </c>
      <c r="G2642" s="197">
        <f>Tabla111[[#This Row],[Importe]]-Tabla111[[#This Row],[Pagado]]</f>
        <v>0</v>
      </c>
      <c r="H2642" s="75" t="s">
        <v>10</v>
      </c>
    </row>
    <row r="2643" spans="1:8" x14ac:dyDescent="0.25">
      <c r="A2643" s="148">
        <v>44859</v>
      </c>
      <c r="B2643" s="149" t="s">
        <v>34278</v>
      </c>
      <c r="C2643" s="153" t="s">
        <v>698</v>
      </c>
      <c r="D2643" s="154">
        <v>9144.5</v>
      </c>
      <c r="E2643" s="231">
        <v>44859</v>
      </c>
      <c r="F2643" s="154">
        <v>9144.5</v>
      </c>
      <c r="G2643" s="197">
        <f>Tabla111[[#This Row],[Importe]]-Tabla111[[#This Row],[Pagado]]</f>
        <v>0</v>
      </c>
      <c r="H2643" s="153" t="s">
        <v>10</v>
      </c>
    </row>
    <row r="2644" spans="1:8" x14ac:dyDescent="0.25">
      <c r="A2644" s="73">
        <v>44859</v>
      </c>
      <c r="B2644" s="74" t="s">
        <v>34279</v>
      </c>
      <c r="C2644" s="75" t="s">
        <v>175</v>
      </c>
      <c r="D2644" s="81">
        <v>26538.3</v>
      </c>
      <c r="E2644" s="230">
        <v>44859</v>
      </c>
      <c r="F2644" s="81">
        <v>26538.3</v>
      </c>
      <c r="G2644" s="197">
        <f>Tabla111[[#This Row],[Importe]]-Tabla111[[#This Row],[Pagado]]</f>
        <v>0</v>
      </c>
      <c r="H2644" s="75" t="s">
        <v>10</v>
      </c>
    </row>
    <row r="2645" spans="1:8" x14ac:dyDescent="0.25">
      <c r="A2645" s="148">
        <v>44859</v>
      </c>
      <c r="B2645" s="149" t="s">
        <v>34280</v>
      </c>
      <c r="C2645" s="153" t="s">
        <v>214</v>
      </c>
      <c r="D2645" s="154">
        <v>1435.2</v>
      </c>
      <c r="E2645" s="231">
        <v>44859</v>
      </c>
      <c r="F2645" s="154">
        <v>1435.2</v>
      </c>
      <c r="G2645" s="197">
        <f>Tabla111[[#This Row],[Importe]]-Tabla111[[#This Row],[Pagado]]</f>
        <v>0</v>
      </c>
      <c r="H2645" s="153" t="s">
        <v>10</v>
      </c>
    </row>
    <row r="2646" spans="1:8" x14ac:dyDescent="0.25">
      <c r="A2646" s="73">
        <v>44859</v>
      </c>
      <c r="B2646" s="74" t="s">
        <v>34281</v>
      </c>
      <c r="C2646" s="75" t="s">
        <v>191</v>
      </c>
      <c r="D2646" s="81">
        <v>1934.4</v>
      </c>
      <c r="E2646" s="230">
        <v>44859</v>
      </c>
      <c r="F2646" s="81">
        <v>1934.4</v>
      </c>
      <c r="G2646" s="197">
        <f>Tabla111[[#This Row],[Importe]]-Tabla111[[#This Row],[Pagado]]</f>
        <v>0</v>
      </c>
      <c r="H2646" s="75" t="s">
        <v>10</v>
      </c>
    </row>
    <row r="2647" spans="1:8" x14ac:dyDescent="0.25">
      <c r="A2647" s="148">
        <v>44859</v>
      </c>
      <c r="B2647" s="149" t="s">
        <v>34282</v>
      </c>
      <c r="C2647" s="153" t="s">
        <v>452</v>
      </c>
      <c r="D2647" s="154">
        <v>8635.2000000000007</v>
      </c>
      <c r="E2647" s="231">
        <v>44859</v>
      </c>
      <c r="F2647" s="154">
        <v>8635.2000000000007</v>
      </c>
      <c r="G2647" s="197">
        <f>Tabla111[[#This Row],[Importe]]-Tabla111[[#This Row],[Pagado]]</f>
        <v>0</v>
      </c>
      <c r="H2647" s="153" t="s">
        <v>10</v>
      </c>
    </row>
    <row r="2648" spans="1:8" x14ac:dyDescent="0.25">
      <c r="A2648" s="73">
        <v>44859</v>
      </c>
      <c r="B2648" s="74" t="s">
        <v>34283</v>
      </c>
      <c r="C2648" s="75" t="s">
        <v>216</v>
      </c>
      <c r="D2648" s="81">
        <v>1528.8</v>
      </c>
      <c r="E2648" s="230">
        <v>44859</v>
      </c>
      <c r="F2648" s="81">
        <v>1528.8</v>
      </c>
      <c r="G2648" s="197">
        <f>Tabla111[[#This Row],[Importe]]-Tabla111[[#This Row],[Pagado]]</f>
        <v>0</v>
      </c>
      <c r="H2648" s="75" t="s">
        <v>10</v>
      </c>
    </row>
    <row r="2649" spans="1:8" x14ac:dyDescent="0.25">
      <c r="A2649" s="148">
        <v>44859</v>
      </c>
      <c r="B2649" s="149" t="s">
        <v>34284</v>
      </c>
      <c r="C2649" s="153" t="s">
        <v>1003</v>
      </c>
      <c r="D2649" s="154">
        <v>8915.2999999999993</v>
      </c>
      <c r="E2649" s="231">
        <v>44872</v>
      </c>
      <c r="F2649" s="154">
        <v>8915.2999999999993</v>
      </c>
      <c r="G2649" s="197">
        <f>Tabla111[[#This Row],[Importe]]-Tabla111[[#This Row],[Pagado]]</f>
        <v>0</v>
      </c>
      <c r="H2649" s="153" t="s">
        <v>10</v>
      </c>
    </row>
    <row r="2650" spans="1:8" x14ac:dyDescent="0.25">
      <c r="A2650" s="73">
        <v>44859</v>
      </c>
      <c r="B2650" s="74" t="s">
        <v>34285</v>
      </c>
      <c r="C2650" s="75" t="s">
        <v>296</v>
      </c>
      <c r="D2650" s="81">
        <v>2810.6</v>
      </c>
      <c r="E2650" s="230">
        <v>44859</v>
      </c>
      <c r="F2650" s="81">
        <v>2810.6</v>
      </c>
      <c r="G2650" s="197">
        <f>Tabla111[[#This Row],[Importe]]-Tabla111[[#This Row],[Pagado]]</f>
        <v>0</v>
      </c>
      <c r="H2650" s="75" t="s">
        <v>10</v>
      </c>
    </row>
    <row r="2651" spans="1:8" x14ac:dyDescent="0.25">
      <c r="A2651" s="148">
        <v>44859</v>
      </c>
      <c r="B2651" s="149" t="s">
        <v>34286</v>
      </c>
      <c r="C2651" s="153" t="s">
        <v>296</v>
      </c>
      <c r="D2651" s="154">
        <v>1288</v>
      </c>
      <c r="E2651" s="231">
        <v>44859</v>
      </c>
      <c r="F2651" s="154">
        <v>1288</v>
      </c>
      <c r="G2651" s="197">
        <f>Tabla111[[#This Row],[Importe]]-Tabla111[[#This Row],[Pagado]]</f>
        <v>0</v>
      </c>
      <c r="H2651" s="153" t="s">
        <v>10</v>
      </c>
    </row>
    <row r="2652" spans="1:8" x14ac:dyDescent="0.25">
      <c r="A2652" s="73">
        <v>44859</v>
      </c>
      <c r="B2652" s="74" t="s">
        <v>34287</v>
      </c>
      <c r="C2652" s="75" t="s">
        <v>31</v>
      </c>
      <c r="D2652" s="81">
        <v>977.5</v>
      </c>
      <c r="E2652" s="230">
        <v>44859</v>
      </c>
      <c r="F2652" s="81">
        <v>977.5</v>
      </c>
      <c r="G2652" s="197">
        <f>Tabla111[[#This Row],[Importe]]-Tabla111[[#This Row],[Pagado]]</f>
        <v>0</v>
      </c>
      <c r="H2652" s="75" t="s">
        <v>10</v>
      </c>
    </row>
    <row r="2653" spans="1:8" x14ac:dyDescent="0.25">
      <c r="A2653" s="148">
        <v>44859</v>
      </c>
      <c r="B2653" s="149" t="s">
        <v>34288</v>
      </c>
      <c r="C2653" s="153" t="s">
        <v>840</v>
      </c>
      <c r="D2653" s="154">
        <v>6600</v>
      </c>
      <c r="E2653" s="231">
        <v>44859</v>
      </c>
      <c r="F2653" s="154">
        <v>6600</v>
      </c>
      <c r="G2653" s="197">
        <f>Tabla111[[#This Row],[Importe]]-Tabla111[[#This Row],[Pagado]]</f>
        <v>0</v>
      </c>
      <c r="H2653" s="153" t="s">
        <v>10</v>
      </c>
    </row>
    <row r="2654" spans="1:8" x14ac:dyDescent="0.25">
      <c r="A2654" s="73">
        <v>44859</v>
      </c>
      <c r="B2654" s="74" t="s">
        <v>34289</v>
      </c>
      <c r="C2654" s="75" t="s">
        <v>2027</v>
      </c>
      <c r="D2654" s="81">
        <v>15000</v>
      </c>
      <c r="E2654" s="230">
        <v>44861</v>
      </c>
      <c r="F2654" s="81">
        <v>15000</v>
      </c>
      <c r="G2654" s="197">
        <f>Tabla111[[#This Row],[Importe]]-Tabla111[[#This Row],[Pagado]]</f>
        <v>0</v>
      </c>
      <c r="H2654" s="75" t="s">
        <v>10</v>
      </c>
    </row>
    <row r="2655" spans="1:8" x14ac:dyDescent="0.25">
      <c r="A2655" s="148">
        <v>44859</v>
      </c>
      <c r="B2655" s="149" t="s">
        <v>34290</v>
      </c>
      <c r="C2655" s="153" t="s">
        <v>67</v>
      </c>
      <c r="D2655" s="154">
        <v>2210.4</v>
      </c>
      <c r="E2655" s="231">
        <v>44859</v>
      </c>
      <c r="F2655" s="154">
        <v>2210.4</v>
      </c>
      <c r="G2655" s="197">
        <f>Tabla111[[#This Row],[Importe]]-Tabla111[[#This Row],[Pagado]]</f>
        <v>0</v>
      </c>
      <c r="H2655" s="153" t="s">
        <v>10</v>
      </c>
    </row>
    <row r="2656" spans="1:8" x14ac:dyDescent="0.25">
      <c r="A2656" s="73">
        <v>44859</v>
      </c>
      <c r="B2656" s="74" t="s">
        <v>34291</v>
      </c>
      <c r="C2656" s="75" t="s">
        <v>53</v>
      </c>
      <c r="D2656" s="81">
        <v>2536</v>
      </c>
      <c r="E2656" s="230">
        <v>44859</v>
      </c>
      <c r="F2656" s="81">
        <v>2536</v>
      </c>
      <c r="G2656" s="197">
        <f>Tabla111[[#This Row],[Importe]]-Tabla111[[#This Row],[Pagado]]</f>
        <v>0</v>
      </c>
      <c r="H2656" s="75" t="s">
        <v>10</v>
      </c>
    </row>
    <row r="2657" spans="1:8" x14ac:dyDescent="0.25">
      <c r="A2657" s="148">
        <v>44859</v>
      </c>
      <c r="B2657" s="149" t="s">
        <v>34292</v>
      </c>
      <c r="C2657" s="153" t="s">
        <v>419</v>
      </c>
      <c r="D2657" s="154">
        <v>8195.9</v>
      </c>
      <c r="E2657" s="231">
        <v>44859</v>
      </c>
      <c r="F2657" s="154">
        <v>8195.9</v>
      </c>
      <c r="G2657" s="197">
        <f>Tabla111[[#This Row],[Importe]]-Tabla111[[#This Row],[Pagado]]</f>
        <v>0</v>
      </c>
      <c r="H2657" s="153" t="s">
        <v>10</v>
      </c>
    </row>
    <row r="2658" spans="1:8" x14ac:dyDescent="0.25">
      <c r="A2658" s="73">
        <v>44859</v>
      </c>
      <c r="B2658" s="74" t="s">
        <v>34293</v>
      </c>
      <c r="C2658" s="75" t="s">
        <v>246</v>
      </c>
      <c r="D2658" s="81">
        <v>97494.92</v>
      </c>
      <c r="E2658" s="230">
        <v>44859</v>
      </c>
      <c r="F2658" s="81">
        <v>97494.92</v>
      </c>
      <c r="G2658" s="197">
        <f>Tabla111[[#This Row],[Importe]]-Tabla111[[#This Row],[Pagado]]</f>
        <v>0</v>
      </c>
      <c r="H2658" s="75" t="s">
        <v>10</v>
      </c>
    </row>
    <row r="2659" spans="1:8" x14ac:dyDescent="0.25">
      <c r="A2659" s="148">
        <v>44859</v>
      </c>
      <c r="B2659" s="149" t="s">
        <v>34294</v>
      </c>
      <c r="C2659" s="153" t="s">
        <v>62</v>
      </c>
      <c r="D2659" s="154">
        <v>5261</v>
      </c>
      <c r="E2659" s="231">
        <v>44859</v>
      </c>
      <c r="F2659" s="154">
        <v>5261</v>
      </c>
      <c r="G2659" s="197">
        <f>Tabla111[[#This Row],[Importe]]-Tabla111[[#This Row],[Pagado]]</f>
        <v>0</v>
      </c>
      <c r="H2659" s="153" t="s">
        <v>10</v>
      </c>
    </row>
    <row r="2660" spans="1:8" x14ac:dyDescent="0.25">
      <c r="A2660" s="73">
        <v>44859</v>
      </c>
      <c r="B2660" s="74" t="s">
        <v>34295</v>
      </c>
      <c r="C2660" s="75" t="s">
        <v>681</v>
      </c>
      <c r="D2660" s="81">
        <v>3.58</v>
      </c>
      <c r="E2660" s="230">
        <v>44863</v>
      </c>
      <c r="F2660" s="81">
        <v>3.58</v>
      </c>
      <c r="G2660" s="197">
        <f>Tabla111[[#This Row],[Importe]]-Tabla111[[#This Row],[Pagado]]</f>
        <v>0</v>
      </c>
      <c r="H2660" s="75" t="s">
        <v>10</v>
      </c>
    </row>
    <row r="2661" spans="1:8" x14ac:dyDescent="0.25">
      <c r="A2661" s="148">
        <v>44859</v>
      </c>
      <c r="B2661" s="149" t="s">
        <v>34296</v>
      </c>
      <c r="C2661" s="153" t="s">
        <v>69</v>
      </c>
      <c r="D2661" s="154">
        <v>2269.8000000000002</v>
      </c>
      <c r="E2661" s="231">
        <v>44859</v>
      </c>
      <c r="F2661" s="154">
        <v>2269.8000000000002</v>
      </c>
      <c r="G2661" s="197">
        <f>Tabla111[[#This Row],[Importe]]-Tabla111[[#This Row],[Pagado]]</f>
        <v>0</v>
      </c>
      <c r="H2661" s="153" t="s">
        <v>10</v>
      </c>
    </row>
    <row r="2662" spans="1:8" x14ac:dyDescent="0.25">
      <c r="A2662" s="73">
        <v>44859</v>
      </c>
      <c r="B2662" s="74" t="s">
        <v>34297</v>
      </c>
      <c r="C2662" s="75" t="s">
        <v>849</v>
      </c>
      <c r="D2662" s="81">
        <v>470</v>
      </c>
      <c r="E2662" s="230">
        <v>44859</v>
      </c>
      <c r="F2662" s="81">
        <v>470</v>
      </c>
      <c r="G2662" s="197">
        <f>Tabla111[[#This Row],[Importe]]-Tabla111[[#This Row],[Pagado]]</f>
        <v>0</v>
      </c>
      <c r="H2662" s="75" t="s">
        <v>10</v>
      </c>
    </row>
    <row r="2663" spans="1:8" x14ac:dyDescent="0.25">
      <c r="A2663" s="148">
        <v>44859</v>
      </c>
      <c r="B2663" s="149" t="s">
        <v>34298</v>
      </c>
      <c r="C2663" s="153" t="s">
        <v>246</v>
      </c>
      <c r="D2663" s="154">
        <v>6104.88</v>
      </c>
      <c r="E2663" s="231">
        <v>44859</v>
      </c>
      <c r="F2663" s="154">
        <v>6104.88</v>
      </c>
      <c r="G2663" s="197">
        <f>Tabla111[[#This Row],[Importe]]-Tabla111[[#This Row],[Pagado]]</f>
        <v>0</v>
      </c>
      <c r="H2663" s="153" t="s">
        <v>10</v>
      </c>
    </row>
    <row r="2664" spans="1:8" x14ac:dyDescent="0.25">
      <c r="A2664" s="73">
        <v>44859</v>
      </c>
      <c r="B2664" s="74" t="s">
        <v>34299</v>
      </c>
      <c r="C2664" s="75" t="s">
        <v>16</v>
      </c>
      <c r="D2664" s="81">
        <v>70</v>
      </c>
      <c r="E2664" s="230">
        <v>44859</v>
      </c>
      <c r="F2664" s="81">
        <v>70</v>
      </c>
      <c r="G2664" s="197">
        <f>Tabla111[[#This Row],[Importe]]-Tabla111[[#This Row],[Pagado]]</f>
        <v>0</v>
      </c>
      <c r="H2664" s="75" t="s">
        <v>10</v>
      </c>
    </row>
    <row r="2665" spans="1:8" x14ac:dyDescent="0.25">
      <c r="A2665" s="148">
        <v>44859</v>
      </c>
      <c r="B2665" s="149" t="s">
        <v>34300</v>
      </c>
      <c r="C2665" s="153" t="s">
        <v>21812</v>
      </c>
      <c r="D2665" s="154">
        <v>13357.5</v>
      </c>
      <c r="E2665" s="231">
        <v>44859</v>
      </c>
      <c r="F2665" s="154">
        <v>13357.5</v>
      </c>
      <c r="G2665" s="197">
        <f>Tabla111[[#This Row],[Importe]]-Tabla111[[#This Row],[Pagado]]</f>
        <v>0</v>
      </c>
      <c r="H2665" s="153" t="s">
        <v>10</v>
      </c>
    </row>
    <row r="2666" spans="1:8" x14ac:dyDescent="0.25">
      <c r="A2666" s="73">
        <v>44859</v>
      </c>
      <c r="B2666" s="74" t="s">
        <v>34301</v>
      </c>
      <c r="C2666" s="75" t="s">
        <v>58</v>
      </c>
      <c r="D2666" s="81">
        <v>3227.9</v>
      </c>
      <c r="E2666" s="230">
        <v>44859</v>
      </c>
      <c r="F2666" s="81">
        <v>3227.9</v>
      </c>
      <c r="G2666" s="197">
        <f>Tabla111[[#This Row],[Importe]]-Tabla111[[#This Row],[Pagado]]</f>
        <v>0</v>
      </c>
      <c r="H2666" s="75" t="s">
        <v>10</v>
      </c>
    </row>
    <row r="2667" spans="1:8" x14ac:dyDescent="0.25">
      <c r="A2667" s="148">
        <v>44859</v>
      </c>
      <c r="B2667" s="149" t="s">
        <v>34302</v>
      </c>
      <c r="C2667" s="153" t="s">
        <v>31</v>
      </c>
      <c r="D2667" s="154">
        <v>1528.8</v>
      </c>
      <c r="E2667" s="231">
        <v>44859</v>
      </c>
      <c r="F2667" s="154">
        <v>1528.8</v>
      </c>
      <c r="G2667" s="197">
        <f>Tabla111[[#This Row],[Importe]]-Tabla111[[#This Row],[Pagado]]</f>
        <v>0</v>
      </c>
      <c r="H2667" s="153" t="s">
        <v>10</v>
      </c>
    </row>
    <row r="2668" spans="1:8" x14ac:dyDescent="0.25">
      <c r="A2668" s="73">
        <v>44859</v>
      </c>
      <c r="B2668" s="74" t="s">
        <v>34303</v>
      </c>
      <c r="C2668" s="75" t="s">
        <v>31323</v>
      </c>
      <c r="D2668" s="81">
        <v>4128</v>
      </c>
      <c r="E2668" s="230">
        <v>44859</v>
      </c>
      <c r="F2668" s="81">
        <v>4128</v>
      </c>
      <c r="G2668" s="197">
        <f>Tabla111[[#This Row],[Importe]]-Tabla111[[#This Row],[Pagado]]</f>
        <v>0</v>
      </c>
      <c r="H2668" s="75" t="s">
        <v>10</v>
      </c>
    </row>
    <row r="2669" spans="1:8" x14ac:dyDescent="0.25">
      <c r="A2669" s="148">
        <v>44859</v>
      </c>
      <c r="B2669" s="149" t="s">
        <v>34304</v>
      </c>
      <c r="C2669" s="153" t="s">
        <v>2377</v>
      </c>
      <c r="D2669" s="154">
        <v>9660</v>
      </c>
      <c r="E2669" s="231">
        <v>44859</v>
      </c>
      <c r="F2669" s="154">
        <v>9660</v>
      </c>
      <c r="G2669" s="197">
        <f>Tabla111[[#This Row],[Importe]]-Tabla111[[#This Row],[Pagado]]</f>
        <v>0</v>
      </c>
      <c r="H2669" s="153" t="s">
        <v>10</v>
      </c>
    </row>
    <row r="2670" spans="1:8" x14ac:dyDescent="0.25">
      <c r="A2670" s="73">
        <v>44859</v>
      </c>
      <c r="B2670" s="74" t="s">
        <v>34305</v>
      </c>
      <c r="C2670" s="75" t="s">
        <v>2377</v>
      </c>
      <c r="D2670" s="81">
        <v>15000</v>
      </c>
      <c r="E2670" s="230">
        <v>44859</v>
      </c>
      <c r="F2670" s="81">
        <v>15000</v>
      </c>
      <c r="G2670" s="197">
        <f>Tabla111[[#This Row],[Importe]]-Tabla111[[#This Row],[Pagado]]</f>
        <v>0</v>
      </c>
      <c r="H2670" s="75" t="s">
        <v>10</v>
      </c>
    </row>
    <row r="2671" spans="1:8" x14ac:dyDescent="0.25">
      <c r="A2671" s="148">
        <v>44859</v>
      </c>
      <c r="B2671" s="149" t="s">
        <v>34306</v>
      </c>
      <c r="C2671" s="153" t="s">
        <v>2377</v>
      </c>
      <c r="D2671" s="154">
        <v>1360</v>
      </c>
      <c r="E2671" s="231">
        <v>44859</v>
      </c>
      <c r="F2671" s="154">
        <v>1360</v>
      </c>
      <c r="G2671" s="197">
        <f>Tabla111[[#This Row],[Importe]]-Tabla111[[#This Row],[Pagado]]</f>
        <v>0</v>
      </c>
      <c r="H2671" s="153" t="s">
        <v>10</v>
      </c>
    </row>
    <row r="2672" spans="1:8" x14ac:dyDescent="0.25">
      <c r="A2672" s="73">
        <v>44859</v>
      </c>
      <c r="B2672" s="74" t="s">
        <v>34307</v>
      </c>
      <c r="C2672" s="75" t="s">
        <v>28087</v>
      </c>
      <c r="D2672" s="81">
        <v>19011.05</v>
      </c>
      <c r="E2672" s="230">
        <v>44866</v>
      </c>
      <c r="F2672" s="81">
        <v>19011.05</v>
      </c>
      <c r="G2672" s="197">
        <f>Tabla111[[#This Row],[Importe]]-Tabla111[[#This Row],[Pagado]]</f>
        <v>0</v>
      </c>
      <c r="H2672" s="75" t="s">
        <v>10</v>
      </c>
    </row>
    <row r="2673" spans="1:8" x14ac:dyDescent="0.25">
      <c r="A2673" s="148">
        <v>44859</v>
      </c>
      <c r="B2673" s="149" t="s">
        <v>34308</v>
      </c>
      <c r="C2673" s="153" t="s">
        <v>31</v>
      </c>
      <c r="D2673" s="154">
        <v>3393</v>
      </c>
      <c r="E2673" s="231">
        <v>44859</v>
      </c>
      <c r="F2673" s="154">
        <v>3393</v>
      </c>
      <c r="G2673" s="197">
        <f>Tabla111[[#This Row],[Importe]]-Tabla111[[#This Row],[Pagado]]</f>
        <v>0</v>
      </c>
      <c r="H2673" s="153" t="s">
        <v>10</v>
      </c>
    </row>
    <row r="2674" spans="1:8" x14ac:dyDescent="0.25">
      <c r="A2674" s="73">
        <v>44859</v>
      </c>
      <c r="B2674" s="74" t="s">
        <v>34309</v>
      </c>
      <c r="C2674" s="75" t="s">
        <v>450</v>
      </c>
      <c r="D2674" s="81">
        <v>2016</v>
      </c>
      <c r="E2674" s="230">
        <v>44859</v>
      </c>
      <c r="F2674" s="81">
        <v>2016</v>
      </c>
      <c r="G2674" s="197">
        <f>Tabla111[[#This Row],[Importe]]-Tabla111[[#This Row],[Pagado]]</f>
        <v>0</v>
      </c>
      <c r="H2674" s="75" t="s">
        <v>10</v>
      </c>
    </row>
    <row r="2675" spans="1:8" x14ac:dyDescent="0.25">
      <c r="A2675" s="148">
        <v>44859</v>
      </c>
      <c r="B2675" s="149" t="s">
        <v>34310</v>
      </c>
      <c r="C2675" s="153" t="s">
        <v>14944</v>
      </c>
      <c r="D2675" s="154">
        <v>2268</v>
      </c>
      <c r="E2675" s="231">
        <v>44859</v>
      </c>
      <c r="F2675" s="154">
        <v>2268</v>
      </c>
      <c r="G2675" s="197">
        <f>Tabla111[[#This Row],[Importe]]-Tabla111[[#This Row],[Pagado]]</f>
        <v>0</v>
      </c>
      <c r="H2675" s="153" t="s">
        <v>10</v>
      </c>
    </row>
    <row r="2676" spans="1:8" x14ac:dyDescent="0.25">
      <c r="A2676" s="73">
        <v>44859</v>
      </c>
      <c r="B2676" s="74" t="s">
        <v>34311</v>
      </c>
      <c r="C2676" s="75" t="s">
        <v>114</v>
      </c>
      <c r="D2676" s="81">
        <v>1377.1</v>
      </c>
      <c r="E2676" s="230">
        <v>44860</v>
      </c>
      <c r="F2676" s="81">
        <v>1377.1</v>
      </c>
      <c r="G2676" s="197">
        <f>Tabla111[[#This Row],[Importe]]-Tabla111[[#This Row],[Pagado]]</f>
        <v>0</v>
      </c>
      <c r="H2676" s="75" t="s">
        <v>10</v>
      </c>
    </row>
    <row r="2677" spans="1:8" x14ac:dyDescent="0.25">
      <c r="A2677" s="148">
        <v>44859</v>
      </c>
      <c r="B2677" s="149" t="s">
        <v>34312</v>
      </c>
      <c r="C2677" s="153" t="s">
        <v>261</v>
      </c>
      <c r="D2677" s="154">
        <v>53106.9</v>
      </c>
      <c r="E2677" s="231">
        <v>44860</v>
      </c>
      <c r="F2677" s="154">
        <v>53106.9</v>
      </c>
      <c r="G2677" s="197">
        <f>Tabla111[[#This Row],[Importe]]-Tabla111[[#This Row],[Pagado]]</f>
        <v>0</v>
      </c>
      <c r="H2677" s="153" t="s">
        <v>10</v>
      </c>
    </row>
    <row r="2678" spans="1:8" x14ac:dyDescent="0.25">
      <c r="A2678" s="73">
        <v>44859</v>
      </c>
      <c r="B2678" s="74" t="s">
        <v>34313</v>
      </c>
      <c r="C2678" s="75" t="s">
        <v>135</v>
      </c>
      <c r="D2678" s="81">
        <v>2612</v>
      </c>
      <c r="E2678" s="230">
        <v>44859</v>
      </c>
      <c r="F2678" s="81">
        <v>2612</v>
      </c>
      <c r="G2678" s="197">
        <f>Tabla111[[#This Row],[Importe]]-Tabla111[[#This Row],[Pagado]]</f>
        <v>0</v>
      </c>
      <c r="H2678" s="75" t="s">
        <v>10</v>
      </c>
    </row>
    <row r="2679" spans="1:8" x14ac:dyDescent="0.25">
      <c r="A2679" s="148">
        <v>44859</v>
      </c>
      <c r="B2679" s="149" t="s">
        <v>34314</v>
      </c>
      <c r="C2679" s="153" t="s">
        <v>1706</v>
      </c>
      <c r="D2679" s="154">
        <v>11046.4</v>
      </c>
      <c r="E2679" s="231">
        <v>44859</v>
      </c>
      <c r="F2679" s="154">
        <v>11046.4</v>
      </c>
      <c r="G2679" s="197">
        <f>Tabla111[[#This Row],[Importe]]-Tabla111[[#This Row],[Pagado]]</f>
        <v>0</v>
      </c>
      <c r="H2679" s="153" t="s">
        <v>10</v>
      </c>
    </row>
    <row r="2680" spans="1:8" x14ac:dyDescent="0.25">
      <c r="A2680" s="73">
        <v>44859</v>
      </c>
      <c r="B2680" s="74" t="s">
        <v>34315</v>
      </c>
      <c r="C2680" s="75" t="s">
        <v>31</v>
      </c>
      <c r="D2680" s="81">
        <v>19387.599999999999</v>
      </c>
      <c r="E2680" s="230">
        <v>44859</v>
      </c>
      <c r="F2680" s="81">
        <v>19387.599999999999</v>
      </c>
      <c r="G2680" s="197">
        <f>Tabla111[[#This Row],[Importe]]-Tabla111[[#This Row],[Pagado]]</f>
        <v>0</v>
      </c>
      <c r="H2680" s="75" t="s">
        <v>10</v>
      </c>
    </row>
    <row r="2681" spans="1:8" x14ac:dyDescent="0.25">
      <c r="A2681" s="148">
        <v>44859</v>
      </c>
      <c r="B2681" s="149" t="s">
        <v>34316</v>
      </c>
      <c r="C2681" s="153" t="s">
        <v>670</v>
      </c>
      <c r="D2681" s="154">
        <v>7121.2</v>
      </c>
      <c r="E2681" s="231">
        <v>44859</v>
      </c>
      <c r="F2681" s="154">
        <v>7121.2</v>
      </c>
      <c r="G2681" s="197">
        <f>Tabla111[[#This Row],[Importe]]-Tabla111[[#This Row],[Pagado]]</f>
        <v>0</v>
      </c>
      <c r="H2681" s="153" t="s">
        <v>10</v>
      </c>
    </row>
    <row r="2682" spans="1:8" x14ac:dyDescent="0.25">
      <c r="A2682" s="73">
        <v>44859</v>
      </c>
      <c r="B2682" s="74" t="s">
        <v>34317</v>
      </c>
      <c r="C2682" s="75" t="s">
        <v>266</v>
      </c>
      <c r="D2682" s="81">
        <v>8040</v>
      </c>
      <c r="E2682" s="230">
        <v>44859</v>
      </c>
      <c r="F2682" s="81">
        <v>8040</v>
      </c>
      <c r="G2682" s="197">
        <f>Tabla111[[#This Row],[Importe]]-Tabla111[[#This Row],[Pagado]]</f>
        <v>0</v>
      </c>
      <c r="H2682" s="75" t="s">
        <v>10</v>
      </c>
    </row>
    <row r="2683" spans="1:8" x14ac:dyDescent="0.25">
      <c r="A2683" s="148">
        <v>44859</v>
      </c>
      <c r="B2683" s="149" t="s">
        <v>34318</v>
      </c>
      <c r="C2683" s="153" t="s">
        <v>2377</v>
      </c>
      <c r="D2683" s="154">
        <v>27750</v>
      </c>
      <c r="E2683" s="231">
        <v>44859</v>
      </c>
      <c r="F2683" s="154">
        <v>27750</v>
      </c>
      <c r="G2683" s="197">
        <f>Tabla111[[#This Row],[Importe]]-Tabla111[[#This Row],[Pagado]]</f>
        <v>0</v>
      </c>
      <c r="H2683" s="153" t="s">
        <v>10</v>
      </c>
    </row>
    <row r="2684" spans="1:8" x14ac:dyDescent="0.25">
      <c r="A2684" s="73">
        <v>44859</v>
      </c>
      <c r="B2684" s="74" t="s">
        <v>34319</v>
      </c>
      <c r="C2684" s="75" t="s">
        <v>246</v>
      </c>
      <c r="D2684" s="81">
        <v>5670</v>
      </c>
      <c r="E2684" s="230">
        <v>44859</v>
      </c>
      <c r="F2684" s="81">
        <v>5670</v>
      </c>
      <c r="G2684" s="197">
        <f>Tabla111[[#This Row],[Importe]]-Tabla111[[#This Row],[Pagado]]</f>
        <v>0</v>
      </c>
      <c r="H2684" s="75" t="s">
        <v>10</v>
      </c>
    </row>
    <row r="2685" spans="1:8" x14ac:dyDescent="0.25">
      <c r="A2685" s="148">
        <v>44859</v>
      </c>
      <c r="B2685" s="149" t="s">
        <v>34320</v>
      </c>
      <c r="C2685" s="153" t="s">
        <v>2027</v>
      </c>
      <c r="D2685" s="154">
        <v>10500</v>
      </c>
      <c r="E2685" s="231">
        <v>44861</v>
      </c>
      <c r="F2685" s="154">
        <v>10500</v>
      </c>
      <c r="G2685" s="197">
        <f>Tabla111[[#This Row],[Importe]]-Tabla111[[#This Row],[Pagado]]</f>
        <v>0</v>
      </c>
      <c r="H2685" s="153" t="s">
        <v>10</v>
      </c>
    </row>
    <row r="2686" spans="1:8" x14ac:dyDescent="0.25">
      <c r="A2686" s="73">
        <v>44859</v>
      </c>
      <c r="B2686" s="74" t="s">
        <v>34321</v>
      </c>
      <c r="C2686" s="75" t="s">
        <v>296</v>
      </c>
      <c r="D2686" s="81">
        <v>5543.1</v>
      </c>
      <c r="E2686" s="230">
        <v>44859</v>
      </c>
      <c r="F2686" s="81">
        <v>5543.1</v>
      </c>
      <c r="G2686" s="197">
        <f>Tabla111[[#This Row],[Importe]]-Tabla111[[#This Row],[Pagado]]</f>
        <v>0</v>
      </c>
      <c r="H2686" s="75" t="s">
        <v>10</v>
      </c>
    </row>
    <row r="2687" spans="1:8" x14ac:dyDescent="0.25">
      <c r="A2687" s="148">
        <v>44859</v>
      </c>
      <c r="B2687" s="149" t="s">
        <v>34322</v>
      </c>
      <c r="C2687" s="153" t="s">
        <v>450</v>
      </c>
      <c r="D2687" s="154">
        <v>1927.8</v>
      </c>
      <c r="E2687" s="231">
        <v>44859</v>
      </c>
      <c r="F2687" s="154">
        <v>1927.8</v>
      </c>
      <c r="G2687" s="197">
        <f>Tabla111[[#This Row],[Importe]]-Tabla111[[#This Row],[Pagado]]</f>
        <v>0</v>
      </c>
      <c r="H2687" s="153" t="s">
        <v>10</v>
      </c>
    </row>
    <row r="2688" spans="1:8" x14ac:dyDescent="0.25">
      <c r="A2688" s="73">
        <v>44859</v>
      </c>
      <c r="B2688" s="74" t="s">
        <v>34323</v>
      </c>
      <c r="C2688" s="75" t="s">
        <v>484</v>
      </c>
      <c r="D2688" s="81">
        <v>4608</v>
      </c>
      <c r="E2688" s="230">
        <v>44859</v>
      </c>
      <c r="F2688" s="81">
        <v>4608</v>
      </c>
      <c r="G2688" s="197">
        <f>Tabla111[[#This Row],[Importe]]-Tabla111[[#This Row],[Pagado]]</f>
        <v>0</v>
      </c>
      <c r="H2688" s="75" t="s">
        <v>10</v>
      </c>
    </row>
    <row r="2689" spans="1:8" x14ac:dyDescent="0.25">
      <c r="A2689" s="148">
        <v>44859</v>
      </c>
      <c r="B2689" s="149" t="s">
        <v>34324</v>
      </c>
      <c r="C2689" s="153" t="s">
        <v>30416</v>
      </c>
      <c r="D2689" s="154">
        <v>5826</v>
      </c>
      <c r="E2689" s="231">
        <v>44859</v>
      </c>
      <c r="F2689" s="154">
        <v>5826</v>
      </c>
      <c r="G2689" s="197">
        <f>Tabla111[[#This Row],[Importe]]-Tabla111[[#This Row],[Pagado]]</f>
        <v>0</v>
      </c>
      <c r="H2689" s="153" t="s">
        <v>10</v>
      </c>
    </row>
    <row r="2690" spans="1:8" x14ac:dyDescent="0.25">
      <c r="A2690" s="73">
        <v>44859</v>
      </c>
      <c r="B2690" s="74" t="s">
        <v>34325</v>
      </c>
      <c r="C2690" s="75" t="s">
        <v>2020</v>
      </c>
      <c r="D2690" s="81">
        <v>20000</v>
      </c>
      <c r="E2690" s="230">
        <v>44859</v>
      </c>
      <c r="F2690" s="81">
        <v>20000</v>
      </c>
      <c r="G2690" s="197">
        <f>Tabla111[[#This Row],[Importe]]-Tabla111[[#This Row],[Pagado]]</f>
        <v>0</v>
      </c>
      <c r="H2690" s="75" t="s">
        <v>10</v>
      </c>
    </row>
    <row r="2691" spans="1:8" x14ac:dyDescent="0.25">
      <c r="A2691" s="148">
        <v>44859</v>
      </c>
      <c r="B2691" s="149" t="s">
        <v>34326</v>
      </c>
      <c r="C2691" s="153" t="s">
        <v>284</v>
      </c>
      <c r="D2691" s="154">
        <v>9227.4</v>
      </c>
      <c r="E2691" s="231">
        <v>44860</v>
      </c>
      <c r="F2691" s="154">
        <v>9227.4</v>
      </c>
      <c r="G2691" s="197">
        <f>Tabla111[[#This Row],[Importe]]-Tabla111[[#This Row],[Pagado]]</f>
        <v>0</v>
      </c>
      <c r="H2691" s="153" t="s">
        <v>10</v>
      </c>
    </row>
    <row r="2692" spans="1:8" x14ac:dyDescent="0.25">
      <c r="A2692" s="73">
        <v>44859</v>
      </c>
      <c r="B2692" s="74" t="s">
        <v>34327</v>
      </c>
      <c r="C2692" s="75" t="s">
        <v>53</v>
      </c>
      <c r="D2692" s="81">
        <v>2032</v>
      </c>
      <c r="E2692" s="230">
        <v>45224</v>
      </c>
      <c r="F2692" s="81">
        <v>2032</v>
      </c>
      <c r="G2692" s="197">
        <f>Tabla111[[#This Row],[Importe]]-Tabla111[[#This Row],[Pagado]]</f>
        <v>0</v>
      </c>
      <c r="H2692" s="75" t="s">
        <v>10</v>
      </c>
    </row>
    <row r="2693" spans="1:8" x14ac:dyDescent="0.25">
      <c r="A2693" s="148">
        <v>44859</v>
      </c>
      <c r="B2693" s="149" t="s">
        <v>34328</v>
      </c>
      <c r="C2693" s="153" t="s">
        <v>282</v>
      </c>
      <c r="D2693" s="154">
        <v>2090.4</v>
      </c>
      <c r="E2693" s="231">
        <v>44860</v>
      </c>
      <c r="F2693" s="154">
        <v>2090.4</v>
      </c>
      <c r="G2693" s="197">
        <f>Tabla111[[#This Row],[Importe]]-Tabla111[[#This Row],[Pagado]]</f>
        <v>0</v>
      </c>
      <c r="H2693" s="153" t="s">
        <v>10</v>
      </c>
    </row>
    <row r="2694" spans="1:8" x14ac:dyDescent="0.25">
      <c r="A2694" s="73">
        <v>44859</v>
      </c>
      <c r="B2694" s="74" t="s">
        <v>34329</v>
      </c>
      <c r="C2694" s="75" t="s">
        <v>31</v>
      </c>
      <c r="D2694" s="81">
        <v>844.2</v>
      </c>
      <c r="E2694" s="230">
        <v>44859</v>
      </c>
      <c r="F2694" s="81">
        <v>844.2</v>
      </c>
      <c r="G2694" s="197">
        <f>Tabla111[[#This Row],[Importe]]-Tabla111[[#This Row],[Pagado]]</f>
        <v>0</v>
      </c>
      <c r="H2694" s="75" t="s">
        <v>10</v>
      </c>
    </row>
    <row r="2695" spans="1:8" x14ac:dyDescent="0.25">
      <c r="A2695" s="148">
        <v>44859</v>
      </c>
      <c r="B2695" s="149" t="s">
        <v>34330</v>
      </c>
      <c r="C2695" s="153" t="s">
        <v>5345</v>
      </c>
      <c r="D2695" s="154">
        <v>2987.4</v>
      </c>
      <c r="E2695" s="231">
        <v>44860</v>
      </c>
      <c r="F2695" s="154">
        <v>2987.4</v>
      </c>
      <c r="G2695" s="197">
        <f>Tabla111[[#This Row],[Importe]]-Tabla111[[#This Row],[Pagado]]</f>
        <v>0</v>
      </c>
      <c r="H2695" s="153" t="s">
        <v>10</v>
      </c>
    </row>
    <row r="2696" spans="1:8" x14ac:dyDescent="0.25">
      <c r="A2696" s="73">
        <v>44859</v>
      </c>
      <c r="B2696" s="74" t="s">
        <v>34331</v>
      </c>
      <c r="C2696" s="75" t="s">
        <v>280</v>
      </c>
      <c r="D2696" s="81">
        <v>1458.6</v>
      </c>
      <c r="E2696" s="230">
        <v>44860</v>
      </c>
      <c r="F2696" s="81">
        <v>1458.6</v>
      </c>
      <c r="G2696" s="197">
        <f>Tabla111[[#This Row],[Importe]]-Tabla111[[#This Row],[Pagado]]</f>
        <v>0</v>
      </c>
      <c r="H2696" s="75" t="s">
        <v>10</v>
      </c>
    </row>
    <row r="2697" spans="1:8" x14ac:dyDescent="0.25">
      <c r="A2697" s="148">
        <v>44859</v>
      </c>
      <c r="B2697" s="149" t="s">
        <v>34332</v>
      </c>
      <c r="C2697" s="153" t="s">
        <v>10819</v>
      </c>
      <c r="D2697" s="154">
        <v>1583.4</v>
      </c>
      <c r="E2697" s="231">
        <v>44860</v>
      </c>
      <c r="F2697" s="154">
        <v>1583.4</v>
      </c>
      <c r="G2697" s="197">
        <f>Tabla111[[#This Row],[Importe]]-Tabla111[[#This Row],[Pagado]]</f>
        <v>0</v>
      </c>
      <c r="H2697" s="153" t="s">
        <v>10</v>
      </c>
    </row>
    <row r="2698" spans="1:8" x14ac:dyDescent="0.25">
      <c r="A2698" s="73">
        <v>44860</v>
      </c>
      <c r="B2698" s="74" t="s">
        <v>34333</v>
      </c>
      <c r="C2698" s="75" t="s">
        <v>887</v>
      </c>
      <c r="D2698" s="81">
        <v>14920.9</v>
      </c>
      <c r="E2698" s="230">
        <v>44861</v>
      </c>
      <c r="F2698" s="81">
        <v>14920.9</v>
      </c>
      <c r="G2698" s="197">
        <f>Tabla111[[#This Row],[Importe]]-Tabla111[[#This Row],[Pagado]]</f>
        <v>0</v>
      </c>
      <c r="H2698" s="75" t="s">
        <v>10</v>
      </c>
    </row>
    <row r="2699" spans="1:8" x14ac:dyDescent="0.25">
      <c r="A2699" s="148">
        <v>44860</v>
      </c>
      <c r="B2699" s="149" t="s">
        <v>34334</v>
      </c>
      <c r="C2699" s="153" t="s">
        <v>12</v>
      </c>
      <c r="D2699" s="154">
        <v>17111.95</v>
      </c>
      <c r="E2699" s="231">
        <v>44860</v>
      </c>
      <c r="F2699" s="154">
        <v>17111.95</v>
      </c>
      <c r="G2699" s="197">
        <f>Tabla111[[#This Row],[Importe]]-Tabla111[[#This Row],[Pagado]]</f>
        <v>0</v>
      </c>
      <c r="H2699" s="153" t="s">
        <v>10</v>
      </c>
    </row>
    <row r="2700" spans="1:8" x14ac:dyDescent="0.25">
      <c r="A2700" s="73">
        <v>44860</v>
      </c>
      <c r="B2700" s="74" t="s">
        <v>34335</v>
      </c>
      <c r="C2700" s="75" t="s">
        <v>475</v>
      </c>
      <c r="D2700" s="81">
        <v>78846.7</v>
      </c>
      <c r="E2700" s="230">
        <v>44861</v>
      </c>
      <c r="F2700" s="81">
        <v>78846.7</v>
      </c>
      <c r="G2700" s="197">
        <f>Tabla111[[#This Row],[Importe]]-Tabla111[[#This Row],[Pagado]]</f>
        <v>0</v>
      </c>
      <c r="H2700" s="75" t="s">
        <v>10</v>
      </c>
    </row>
    <row r="2701" spans="1:8" x14ac:dyDescent="0.25">
      <c r="A2701" s="148">
        <v>44860</v>
      </c>
      <c r="B2701" s="149" t="s">
        <v>34336</v>
      </c>
      <c r="C2701" s="153" t="s">
        <v>18</v>
      </c>
      <c r="D2701" s="154">
        <v>2067</v>
      </c>
      <c r="E2701" s="231">
        <v>44860</v>
      </c>
      <c r="F2701" s="154">
        <v>2067</v>
      </c>
      <c r="G2701" s="197">
        <f>Tabla111[[#This Row],[Importe]]-Tabla111[[#This Row],[Pagado]]</f>
        <v>0</v>
      </c>
      <c r="H2701" s="153" t="s">
        <v>10</v>
      </c>
    </row>
    <row r="2702" spans="1:8" x14ac:dyDescent="0.25">
      <c r="A2702" s="73">
        <v>44860</v>
      </c>
      <c r="B2702" s="74" t="s">
        <v>34337</v>
      </c>
      <c r="C2702" s="75" t="s">
        <v>348</v>
      </c>
      <c r="D2702" s="81">
        <v>5170.8</v>
      </c>
      <c r="E2702" s="230">
        <v>44860</v>
      </c>
      <c r="F2702" s="81">
        <v>5170.8</v>
      </c>
      <c r="G2702" s="197">
        <f>Tabla111[[#This Row],[Importe]]-Tabla111[[#This Row],[Pagado]]</f>
        <v>0</v>
      </c>
      <c r="H2702" s="75" t="s">
        <v>10</v>
      </c>
    </row>
    <row r="2703" spans="1:8" x14ac:dyDescent="0.25">
      <c r="A2703" s="148">
        <v>44860</v>
      </c>
      <c r="B2703" s="149" t="s">
        <v>34338</v>
      </c>
      <c r="C2703" s="153" t="s">
        <v>20</v>
      </c>
      <c r="D2703" s="154">
        <v>2133.9</v>
      </c>
      <c r="E2703" s="231">
        <v>44860</v>
      </c>
      <c r="F2703" s="154">
        <v>2133.9</v>
      </c>
      <c r="G2703" s="197">
        <f>Tabla111[[#This Row],[Importe]]-Tabla111[[#This Row],[Pagado]]</f>
        <v>0</v>
      </c>
      <c r="H2703" s="153" t="s">
        <v>10</v>
      </c>
    </row>
    <row r="2704" spans="1:8" x14ac:dyDescent="0.25">
      <c r="A2704" s="73">
        <v>44860</v>
      </c>
      <c r="B2704" s="74" t="s">
        <v>34339</v>
      </c>
      <c r="C2704" s="75" t="s">
        <v>109</v>
      </c>
      <c r="D2704" s="81">
        <v>6136</v>
      </c>
      <c r="E2704" s="230">
        <v>44861</v>
      </c>
      <c r="F2704" s="81">
        <v>6136</v>
      </c>
      <c r="G2704" s="197">
        <f>Tabla111[[#This Row],[Importe]]-Tabla111[[#This Row],[Pagado]]</f>
        <v>0</v>
      </c>
      <c r="H2704" s="75" t="s">
        <v>10</v>
      </c>
    </row>
    <row r="2705" spans="1:8" x14ac:dyDescent="0.25">
      <c r="A2705" s="148">
        <v>44860</v>
      </c>
      <c r="B2705" s="149" t="s">
        <v>34340</v>
      </c>
      <c r="C2705" s="153" t="s">
        <v>326</v>
      </c>
      <c r="D2705" s="154">
        <v>8189.9</v>
      </c>
      <c r="E2705" s="231">
        <v>44861</v>
      </c>
      <c r="F2705" s="154">
        <v>8189.9</v>
      </c>
      <c r="G2705" s="197">
        <f>Tabla111[[#This Row],[Importe]]-Tabla111[[#This Row],[Pagado]]</f>
        <v>0</v>
      </c>
      <c r="H2705" s="153" t="s">
        <v>10</v>
      </c>
    </row>
    <row r="2706" spans="1:8" x14ac:dyDescent="0.25">
      <c r="A2706" s="73">
        <v>44860</v>
      </c>
      <c r="B2706" s="74" t="s">
        <v>34341</v>
      </c>
      <c r="C2706" s="75" t="s">
        <v>111</v>
      </c>
      <c r="D2706" s="81">
        <v>6142.5</v>
      </c>
      <c r="E2706" s="230">
        <v>44861</v>
      </c>
      <c r="F2706" s="81">
        <v>6142.5</v>
      </c>
      <c r="G2706" s="197">
        <f>Tabla111[[#This Row],[Importe]]-Tabla111[[#This Row],[Pagado]]</f>
        <v>0</v>
      </c>
      <c r="H2706" s="75" t="s">
        <v>10</v>
      </c>
    </row>
    <row r="2707" spans="1:8" x14ac:dyDescent="0.25">
      <c r="A2707" s="148">
        <v>44860</v>
      </c>
      <c r="B2707" s="149" t="s">
        <v>34342</v>
      </c>
      <c r="C2707" s="153" t="s">
        <v>105</v>
      </c>
      <c r="D2707" s="154">
        <v>14932.8</v>
      </c>
      <c r="E2707" s="231">
        <v>44861</v>
      </c>
      <c r="F2707" s="154">
        <v>14932.8</v>
      </c>
      <c r="G2707" s="197">
        <f>Tabla111[[#This Row],[Importe]]-Tabla111[[#This Row],[Pagado]]</f>
        <v>0</v>
      </c>
      <c r="H2707" s="153" t="s">
        <v>10</v>
      </c>
    </row>
    <row r="2708" spans="1:8" x14ac:dyDescent="0.25">
      <c r="A2708" s="73">
        <v>44860</v>
      </c>
      <c r="B2708" s="74" t="s">
        <v>34343</v>
      </c>
      <c r="C2708" s="75" t="s">
        <v>75</v>
      </c>
      <c r="D2708" s="81">
        <v>4017</v>
      </c>
      <c r="E2708" s="230">
        <v>44860</v>
      </c>
      <c r="F2708" s="81">
        <v>4017</v>
      </c>
      <c r="G2708" s="197">
        <f>Tabla111[[#This Row],[Importe]]-Tabla111[[#This Row],[Pagado]]</f>
        <v>0</v>
      </c>
      <c r="H2708" s="75" t="s">
        <v>10</v>
      </c>
    </row>
    <row r="2709" spans="1:8" x14ac:dyDescent="0.25">
      <c r="A2709" s="148">
        <v>44860</v>
      </c>
      <c r="B2709" s="149" t="s">
        <v>34344</v>
      </c>
      <c r="C2709" s="153" t="s">
        <v>97</v>
      </c>
      <c r="D2709" s="154">
        <v>7355.6</v>
      </c>
      <c r="E2709" s="231">
        <v>44861</v>
      </c>
      <c r="F2709" s="154">
        <v>7355.6</v>
      </c>
      <c r="G2709" s="197">
        <f>Tabla111[[#This Row],[Importe]]-Tabla111[[#This Row],[Pagado]]</f>
        <v>0</v>
      </c>
      <c r="H2709" s="153" t="s">
        <v>10</v>
      </c>
    </row>
    <row r="2710" spans="1:8" x14ac:dyDescent="0.25">
      <c r="A2710" s="73">
        <v>44860</v>
      </c>
      <c r="B2710" s="74" t="s">
        <v>34345</v>
      </c>
      <c r="C2710" s="75" t="s">
        <v>64</v>
      </c>
      <c r="D2710" s="81">
        <v>4621.5</v>
      </c>
      <c r="E2710" s="230">
        <v>44862</v>
      </c>
      <c r="F2710" s="81">
        <v>4621.5</v>
      </c>
      <c r="G2710" s="197">
        <f>Tabla111[[#This Row],[Importe]]-Tabla111[[#This Row],[Pagado]]</f>
        <v>0</v>
      </c>
      <c r="H2710" s="75" t="s">
        <v>10</v>
      </c>
    </row>
    <row r="2711" spans="1:8" x14ac:dyDescent="0.25">
      <c r="A2711" s="148">
        <v>44860</v>
      </c>
      <c r="B2711" s="149" t="s">
        <v>34346</v>
      </c>
      <c r="C2711" s="153" t="s">
        <v>99</v>
      </c>
      <c r="D2711" s="154">
        <v>2638.6</v>
      </c>
      <c r="E2711" s="231">
        <v>44860</v>
      </c>
      <c r="F2711" s="154">
        <v>2638.6</v>
      </c>
      <c r="G2711" s="197">
        <f>Tabla111[[#This Row],[Importe]]-Tabla111[[#This Row],[Pagado]]</f>
        <v>0</v>
      </c>
      <c r="H2711" s="153" t="s">
        <v>10</v>
      </c>
    </row>
    <row r="2712" spans="1:8" x14ac:dyDescent="0.25">
      <c r="A2712" s="73">
        <v>44860</v>
      </c>
      <c r="B2712" s="74" t="s">
        <v>34347</v>
      </c>
      <c r="C2712" s="75" t="s">
        <v>22</v>
      </c>
      <c r="D2712" s="81">
        <v>27616.9</v>
      </c>
      <c r="E2712" s="230">
        <v>44861</v>
      </c>
      <c r="F2712" s="81">
        <v>27616.9</v>
      </c>
      <c r="G2712" s="197">
        <f>Tabla111[[#This Row],[Importe]]-Tabla111[[#This Row],[Pagado]]</f>
        <v>0</v>
      </c>
      <c r="H2712" s="75" t="s">
        <v>10</v>
      </c>
    </row>
    <row r="2713" spans="1:8" x14ac:dyDescent="0.25">
      <c r="A2713" s="148">
        <v>44860</v>
      </c>
      <c r="B2713" s="149" t="s">
        <v>34348</v>
      </c>
      <c r="C2713" s="153" t="s">
        <v>93</v>
      </c>
      <c r="D2713" s="154">
        <v>8267</v>
      </c>
      <c r="E2713" s="231">
        <v>44862</v>
      </c>
      <c r="F2713" s="154">
        <v>8267</v>
      </c>
      <c r="G2713" s="197">
        <f>Tabla111[[#This Row],[Importe]]-Tabla111[[#This Row],[Pagado]]</f>
        <v>0</v>
      </c>
      <c r="H2713" s="153" t="s">
        <v>10</v>
      </c>
    </row>
    <row r="2714" spans="1:8" x14ac:dyDescent="0.25">
      <c r="A2714" s="73">
        <v>44860</v>
      </c>
      <c r="B2714" s="74" t="s">
        <v>34349</v>
      </c>
      <c r="C2714" s="75" t="s">
        <v>2151</v>
      </c>
      <c r="D2714" s="81">
        <v>16409.400000000001</v>
      </c>
      <c r="E2714" s="230">
        <v>44860</v>
      </c>
      <c r="F2714" s="81">
        <v>16409.400000000001</v>
      </c>
      <c r="G2714" s="197">
        <f>Tabla111[[#This Row],[Importe]]-Tabla111[[#This Row],[Pagado]]</f>
        <v>0</v>
      </c>
      <c r="H2714" s="75" t="s">
        <v>10</v>
      </c>
    </row>
    <row r="2715" spans="1:8" x14ac:dyDescent="0.25">
      <c r="A2715" s="148">
        <v>44860</v>
      </c>
      <c r="B2715" s="149" t="s">
        <v>34350</v>
      </c>
      <c r="C2715" s="153" t="s">
        <v>89</v>
      </c>
      <c r="D2715" s="154">
        <v>7378</v>
      </c>
      <c r="E2715" s="231">
        <v>44861</v>
      </c>
      <c r="F2715" s="154">
        <v>7378</v>
      </c>
      <c r="G2715" s="197">
        <f>Tabla111[[#This Row],[Importe]]-Tabla111[[#This Row],[Pagado]]</f>
        <v>0</v>
      </c>
      <c r="H2715" s="153" t="s">
        <v>10</v>
      </c>
    </row>
    <row r="2716" spans="1:8" x14ac:dyDescent="0.25">
      <c r="A2716" s="73">
        <v>44860</v>
      </c>
      <c r="B2716" s="74" t="s">
        <v>34351</v>
      </c>
      <c r="C2716" s="75" t="s">
        <v>473</v>
      </c>
      <c r="D2716" s="81">
        <v>6377.2</v>
      </c>
      <c r="E2716" s="230">
        <v>44860</v>
      </c>
      <c r="F2716" s="81">
        <v>6377.2</v>
      </c>
      <c r="G2716" s="197">
        <f>Tabla111[[#This Row],[Importe]]-Tabla111[[#This Row],[Pagado]]</f>
        <v>0</v>
      </c>
      <c r="H2716" s="75" t="s">
        <v>10</v>
      </c>
    </row>
    <row r="2717" spans="1:8" x14ac:dyDescent="0.25">
      <c r="A2717" s="148">
        <v>44860</v>
      </c>
      <c r="B2717" s="149" t="s">
        <v>34352</v>
      </c>
      <c r="C2717" s="153" t="s">
        <v>9</v>
      </c>
      <c r="D2717" s="154">
        <v>5930</v>
      </c>
      <c r="E2717" s="231">
        <v>44860</v>
      </c>
      <c r="F2717" s="154">
        <v>5930</v>
      </c>
      <c r="G2717" s="197">
        <f>Tabla111[[#This Row],[Importe]]-Tabla111[[#This Row],[Pagado]]</f>
        <v>0</v>
      </c>
      <c r="H2717" s="153" t="s">
        <v>10</v>
      </c>
    </row>
    <row r="2718" spans="1:8" x14ac:dyDescent="0.25">
      <c r="A2718" s="73">
        <v>44860</v>
      </c>
      <c r="B2718" s="74" t="s">
        <v>34353</v>
      </c>
      <c r="C2718" s="75" t="s">
        <v>31</v>
      </c>
      <c r="D2718" s="81">
        <v>6232.2</v>
      </c>
      <c r="E2718" s="230">
        <v>44860</v>
      </c>
      <c r="F2718" s="81">
        <v>6232.2</v>
      </c>
      <c r="G2718" s="197">
        <f>Tabla111[[#This Row],[Importe]]-Tabla111[[#This Row],[Pagado]]</f>
        <v>0</v>
      </c>
      <c r="H2718" s="75" t="s">
        <v>10</v>
      </c>
    </row>
    <row r="2719" spans="1:8" x14ac:dyDescent="0.25">
      <c r="A2719" s="148">
        <v>44860</v>
      </c>
      <c r="B2719" s="149" t="s">
        <v>34354</v>
      </c>
      <c r="C2719" s="153" t="s">
        <v>16</v>
      </c>
      <c r="D2719" s="154">
        <v>5947.8</v>
      </c>
      <c r="E2719" s="231">
        <v>44860</v>
      </c>
      <c r="F2719" s="154">
        <v>5947.8</v>
      </c>
      <c r="G2719" s="197">
        <f>Tabla111[[#This Row],[Importe]]-Tabla111[[#This Row],[Pagado]]</f>
        <v>0</v>
      </c>
      <c r="H2719" s="153" t="s">
        <v>10</v>
      </c>
    </row>
    <row r="2720" spans="1:8" x14ac:dyDescent="0.25">
      <c r="A2720" s="73">
        <v>44860</v>
      </c>
      <c r="B2720" s="74" t="s">
        <v>34355</v>
      </c>
      <c r="C2720" s="75" t="s">
        <v>312</v>
      </c>
      <c r="D2720" s="81">
        <v>5145.2</v>
      </c>
      <c r="E2720" s="230">
        <v>44860</v>
      </c>
      <c r="F2720" s="81">
        <v>5145.2</v>
      </c>
      <c r="G2720" s="197">
        <f>Tabla111[[#This Row],[Importe]]-Tabla111[[#This Row],[Pagado]]</f>
        <v>0</v>
      </c>
      <c r="H2720" s="75" t="s">
        <v>10</v>
      </c>
    </row>
    <row r="2721" spans="1:8" x14ac:dyDescent="0.25">
      <c r="A2721" s="148">
        <v>44860</v>
      </c>
      <c r="B2721" s="149" t="s">
        <v>34356</v>
      </c>
      <c r="C2721" s="153" t="s">
        <v>87</v>
      </c>
      <c r="D2721" s="154">
        <v>3157</v>
      </c>
      <c r="E2721" s="231">
        <v>44860</v>
      </c>
      <c r="F2721" s="154">
        <v>3157</v>
      </c>
      <c r="G2721" s="197">
        <f>Tabla111[[#This Row],[Importe]]-Tabla111[[#This Row],[Pagado]]</f>
        <v>0</v>
      </c>
      <c r="H2721" s="153" t="s">
        <v>10</v>
      </c>
    </row>
    <row r="2722" spans="1:8" x14ac:dyDescent="0.25">
      <c r="A2722" s="73">
        <v>44860</v>
      </c>
      <c r="B2722" s="74" t="s">
        <v>34357</v>
      </c>
      <c r="C2722" s="75" t="s">
        <v>414</v>
      </c>
      <c r="D2722" s="81">
        <v>24726</v>
      </c>
      <c r="E2722" s="230">
        <v>44870</v>
      </c>
      <c r="F2722" s="81">
        <v>24726</v>
      </c>
      <c r="G2722" s="197">
        <f>Tabla111[[#This Row],[Importe]]-Tabla111[[#This Row],[Pagado]]</f>
        <v>0</v>
      </c>
      <c r="H2722" s="75" t="s">
        <v>10</v>
      </c>
    </row>
    <row r="2723" spans="1:8" x14ac:dyDescent="0.25">
      <c r="A2723" s="148">
        <v>44860</v>
      </c>
      <c r="B2723" s="149" t="s">
        <v>34358</v>
      </c>
      <c r="C2723" s="153" t="s">
        <v>131</v>
      </c>
      <c r="D2723" s="154">
        <v>5148</v>
      </c>
      <c r="E2723" s="231">
        <v>44860</v>
      </c>
      <c r="F2723" s="154">
        <v>5148</v>
      </c>
      <c r="G2723" s="197">
        <f>Tabla111[[#This Row],[Importe]]-Tabla111[[#This Row],[Pagado]]</f>
        <v>0</v>
      </c>
      <c r="H2723" s="153" t="s">
        <v>10</v>
      </c>
    </row>
    <row r="2724" spans="1:8" x14ac:dyDescent="0.25">
      <c r="A2724" s="73">
        <v>44860</v>
      </c>
      <c r="B2724" s="74" t="s">
        <v>34359</v>
      </c>
      <c r="C2724" s="75" t="s">
        <v>34360</v>
      </c>
      <c r="D2724" s="81">
        <v>0</v>
      </c>
      <c r="E2724" s="232" t="s">
        <v>189</v>
      </c>
      <c r="F2724" s="81">
        <v>0</v>
      </c>
      <c r="G2724" s="197">
        <f>Tabla111[[#This Row],[Importe]]-Tabla111[[#This Row],[Pagado]]</f>
        <v>0</v>
      </c>
      <c r="H2724" s="75" t="s">
        <v>189</v>
      </c>
    </row>
    <row r="2725" spans="1:8" x14ac:dyDescent="0.25">
      <c r="A2725" s="148">
        <v>44860</v>
      </c>
      <c r="B2725" s="149" t="s">
        <v>34361</v>
      </c>
      <c r="C2725" s="153" t="s">
        <v>83</v>
      </c>
      <c r="D2725" s="154">
        <v>13078.6</v>
      </c>
      <c r="E2725" s="231">
        <v>44860</v>
      </c>
      <c r="F2725" s="154">
        <v>13078.6</v>
      </c>
      <c r="G2725" s="197">
        <f>Tabla111[[#This Row],[Importe]]-Tabla111[[#This Row],[Pagado]]</f>
        <v>0</v>
      </c>
      <c r="H2725" s="153" t="s">
        <v>10</v>
      </c>
    </row>
    <row r="2726" spans="1:8" x14ac:dyDescent="0.25">
      <c r="A2726" s="73">
        <v>44860</v>
      </c>
      <c r="B2726" s="74" t="s">
        <v>34362</v>
      </c>
      <c r="C2726" s="75" t="s">
        <v>2166</v>
      </c>
      <c r="D2726" s="81">
        <v>5276.2</v>
      </c>
      <c r="E2726" s="230">
        <v>44860</v>
      </c>
      <c r="F2726" s="81">
        <v>5276.2</v>
      </c>
      <c r="G2726" s="197">
        <f>Tabla111[[#This Row],[Importe]]-Tabla111[[#This Row],[Pagado]]</f>
        <v>0</v>
      </c>
      <c r="H2726" s="75" t="s">
        <v>10</v>
      </c>
    </row>
    <row r="2727" spans="1:8" x14ac:dyDescent="0.25">
      <c r="A2727" s="148">
        <v>44860</v>
      </c>
      <c r="B2727" s="149" t="s">
        <v>34363</v>
      </c>
      <c r="C2727" s="153" t="s">
        <v>146</v>
      </c>
      <c r="D2727" s="154">
        <v>4834.8</v>
      </c>
      <c r="E2727" s="231">
        <v>44860</v>
      </c>
      <c r="F2727" s="154">
        <v>4834.8</v>
      </c>
      <c r="G2727" s="197">
        <f>Tabla111[[#This Row],[Importe]]-Tabla111[[#This Row],[Pagado]]</f>
        <v>0</v>
      </c>
      <c r="H2727" s="153" t="s">
        <v>10</v>
      </c>
    </row>
    <row r="2728" spans="1:8" x14ac:dyDescent="0.25">
      <c r="A2728" s="73">
        <v>44860</v>
      </c>
      <c r="B2728" s="74" t="s">
        <v>34364</v>
      </c>
      <c r="C2728" s="75" t="s">
        <v>45</v>
      </c>
      <c r="D2728" s="81">
        <v>11539.2</v>
      </c>
      <c r="E2728" s="230">
        <v>44860</v>
      </c>
      <c r="F2728" s="81">
        <v>11539.2</v>
      </c>
      <c r="G2728" s="197">
        <f>Tabla111[[#This Row],[Importe]]-Tabla111[[#This Row],[Pagado]]</f>
        <v>0</v>
      </c>
      <c r="H2728" s="75" t="s">
        <v>10</v>
      </c>
    </row>
    <row r="2729" spans="1:8" x14ac:dyDescent="0.25">
      <c r="A2729" s="148">
        <v>44860</v>
      </c>
      <c r="B2729" s="149" t="s">
        <v>34365</v>
      </c>
      <c r="C2729" s="153" t="s">
        <v>49</v>
      </c>
      <c r="D2729" s="154">
        <v>4729.8</v>
      </c>
      <c r="E2729" s="231">
        <v>44860</v>
      </c>
      <c r="F2729" s="154">
        <v>4729.8</v>
      </c>
      <c r="G2729" s="197">
        <f>Tabla111[[#This Row],[Importe]]-Tabla111[[#This Row],[Pagado]]</f>
        <v>0</v>
      </c>
      <c r="H2729" s="153" t="s">
        <v>10</v>
      </c>
    </row>
    <row r="2730" spans="1:8" x14ac:dyDescent="0.25">
      <c r="A2730" s="73">
        <v>44860</v>
      </c>
      <c r="B2730" s="74" t="s">
        <v>34366</v>
      </c>
      <c r="C2730" s="75" t="s">
        <v>664</v>
      </c>
      <c r="D2730" s="81">
        <v>2993</v>
      </c>
      <c r="E2730" s="230">
        <v>44860</v>
      </c>
      <c r="F2730" s="81">
        <v>2993</v>
      </c>
      <c r="G2730" s="197">
        <f>Tabla111[[#This Row],[Importe]]-Tabla111[[#This Row],[Pagado]]</f>
        <v>0</v>
      </c>
      <c r="H2730" s="75" t="s">
        <v>10</v>
      </c>
    </row>
    <row r="2731" spans="1:8" x14ac:dyDescent="0.25">
      <c r="A2731" s="148">
        <v>44860</v>
      </c>
      <c r="B2731" s="149" t="s">
        <v>34367</v>
      </c>
      <c r="C2731" s="153" t="s">
        <v>27</v>
      </c>
      <c r="D2731" s="154">
        <v>1319.3</v>
      </c>
      <c r="E2731" s="231">
        <v>44860</v>
      </c>
      <c r="F2731" s="154">
        <v>1319.3</v>
      </c>
      <c r="G2731" s="197">
        <f>Tabla111[[#This Row],[Importe]]-Tabla111[[#This Row],[Pagado]]</f>
        <v>0</v>
      </c>
      <c r="H2731" s="153" t="s">
        <v>10</v>
      </c>
    </row>
    <row r="2732" spans="1:8" x14ac:dyDescent="0.25">
      <c r="A2732" s="73">
        <v>44860</v>
      </c>
      <c r="B2732" s="74" t="s">
        <v>34368</v>
      </c>
      <c r="C2732" s="75" t="s">
        <v>34369</v>
      </c>
      <c r="D2732" s="81">
        <v>0</v>
      </c>
      <c r="E2732" s="232" t="s">
        <v>189</v>
      </c>
      <c r="F2732" s="81">
        <v>0</v>
      </c>
      <c r="G2732" s="197">
        <f>Tabla111[[#This Row],[Importe]]-Tabla111[[#This Row],[Pagado]]</f>
        <v>0</v>
      </c>
      <c r="H2732" s="75" t="s">
        <v>189</v>
      </c>
    </row>
    <row r="2733" spans="1:8" x14ac:dyDescent="0.25">
      <c r="A2733" s="148">
        <v>44860</v>
      </c>
      <c r="B2733" s="149" t="s">
        <v>34370</v>
      </c>
      <c r="C2733" s="153" t="s">
        <v>34371</v>
      </c>
      <c r="D2733" s="154">
        <v>0</v>
      </c>
      <c r="E2733" s="233" t="s">
        <v>189</v>
      </c>
      <c r="F2733" s="154">
        <v>0</v>
      </c>
      <c r="G2733" s="197">
        <f>Tabla111[[#This Row],[Importe]]-Tabla111[[#This Row],[Pagado]]</f>
        <v>0</v>
      </c>
      <c r="H2733" s="153" t="s">
        <v>189</v>
      </c>
    </row>
    <row r="2734" spans="1:8" x14ac:dyDescent="0.25">
      <c r="A2734" s="73">
        <v>44860</v>
      </c>
      <c r="B2734" s="74" t="s">
        <v>34372</v>
      </c>
      <c r="C2734" s="75" t="s">
        <v>14944</v>
      </c>
      <c r="D2734" s="81">
        <v>2894.2</v>
      </c>
      <c r="E2734" s="230">
        <v>44860</v>
      </c>
      <c r="F2734" s="81">
        <v>2894.2</v>
      </c>
      <c r="G2734" s="197">
        <f>Tabla111[[#This Row],[Importe]]-Tabla111[[#This Row],[Pagado]]</f>
        <v>0</v>
      </c>
      <c r="H2734" s="75" t="s">
        <v>10</v>
      </c>
    </row>
    <row r="2735" spans="1:8" x14ac:dyDescent="0.25">
      <c r="A2735" s="148">
        <v>44860</v>
      </c>
      <c r="B2735" s="149" t="s">
        <v>34373</v>
      </c>
      <c r="C2735" s="153" t="s">
        <v>450</v>
      </c>
      <c r="D2735" s="154">
        <v>7869.4</v>
      </c>
      <c r="E2735" s="231">
        <v>44860</v>
      </c>
      <c r="F2735" s="154">
        <v>7869.4</v>
      </c>
      <c r="G2735" s="197">
        <f>Tabla111[[#This Row],[Importe]]-Tabla111[[#This Row],[Pagado]]</f>
        <v>0</v>
      </c>
      <c r="H2735" s="153" t="s">
        <v>10</v>
      </c>
    </row>
    <row r="2736" spans="1:8" x14ac:dyDescent="0.25">
      <c r="A2736" s="73">
        <v>44860</v>
      </c>
      <c r="B2736" s="74" t="s">
        <v>34374</v>
      </c>
      <c r="C2736" s="75" t="s">
        <v>2383</v>
      </c>
      <c r="D2736" s="81">
        <v>4260</v>
      </c>
      <c r="E2736" s="230">
        <v>44860</v>
      </c>
      <c r="F2736" s="81">
        <v>4260</v>
      </c>
      <c r="G2736" s="197">
        <f>Tabla111[[#This Row],[Importe]]-Tabla111[[#This Row],[Pagado]]</f>
        <v>0</v>
      </c>
      <c r="H2736" s="75" t="s">
        <v>10</v>
      </c>
    </row>
    <row r="2737" spans="1:8" x14ac:dyDescent="0.25">
      <c r="A2737" s="148">
        <v>44860</v>
      </c>
      <c r="B2737" s="149" t="s">
        <v>34375</v>
      </c>
      <c r="C2737" s="153" t="s">
        <v>230</v>
      </c>
      <c r="D2737" s="154">
        <v>6173</v>
      </c>
      <c r="E2737" s="231">
        <v>44860</v>
      </c>
      <c r="F2737" s="154">
        <v>6173</v>
      </c>
      <c r="G2737" s="197">
        <f>Tabla111[[#This Row],[Importe]]-Tabla111[[#This Row],[Pagado]]</f>
        <v>0</v>
      </c>
      <c r="H2737" s="153" t="s">
        <v>10</v>
      </c>
    </row>
    <row r="2738" spans="1:8" x14ac:dyDescent="0.25">
      <c r="A2738" s="73">
        <v>44860</v>
      </c>
      <c r="B2738" s="74" t="s">
        <v>34376</v>
      </c>
      <c r="C2738" s="75" t="s">
        <v>24284</v>
      </c>
      <c r="D2738" s="81">
        <v>1228.4000000000001</v>
      </c>
      <c r="E2738" s="230">
        <v>44860</v>
      </c>
      <c r="F2738" s="81">
        <v>1228.4000000000001</v>
      </c>
      <c r="G2738" s="197">
        <f>Tabla111[[#This Row],[Importe]]-Tabla111[[#This Row],[Pagado]]</f>
        <v>0</v>
      </c>
      <c r="H2738" s="75" t="s">
        <v>10</v>
      </c>
    </row>
    <row r="2739" spans="1:8" x14ac:dyDescent="0.25">
      <c r="A2739" s="148">
        <v>44860</v>
      </c>
      <c r="B2739" s="149" t="s">
        <v>34377</v>
      </c>
      <c r="C2739" s="153" t="s">
        <v>142</v>
      </c>
      <c r="D2739" s="154">
        <v>144593.79999999999</v>
      </c>
      <c r="E2739" s="231" t="s">
        <v>4813</v>
      </c>
      <c r="F2739" s="154">
        <v>0</v>
      </c>
      <c r="G2739" s="197">
        <f>Tabla111[[#This Row],[Importe]]-Tabla111[[#This Row],[Pagado]]</f>
        <v>144593.79999999999</v>
      </c>
      <c r="H2739" s="153" t="s">
        <v>4814</v>
      </c>
    </row>
    <row r="2740" spans="1:8" x14ac:dyDescent="0.25">
      <c r="A2740" s="73">
        <v>44860</v>
      </c>
      <c r="B2740" s="74" t="s">
        <v>34378</v>
      </c>
      <c r="C2740" s="75" t="s">
        <v>79</v>
      </c>
      <c r="D2740" s="81">
        <v>9820.2000000000007</v>
      </c>
      <c r="E2740" s="230">
        <v>44860</v>
      </c>
      <c r="F2740" s="81">
        <v>9820.2000000000007</v>
      </c>
      <c r="G2740" s="197">
        <f>Tabla111[[#This Row],[Importe]]-Tabla111[[#This Row],[Pagado]]</f>
        <v>0</v>
      </c>
      <c r="H2740" s="75" t="s">
        <v>10</v>
      </c>
    </row>
    <row r="2741" spans="1:8" x14ac:dyDescent="0.25">
      <c r="A2741" s="148">
        <v>44860</v>
      </c>
      <c r="B2741" s="149" t="s">
        <v>34379</v>
      </c>
      <c r="C2741" s="153" t="s">
        <v>127</v>
      </c>
      <c r="D2741" s="154">
        <v>1652</v>
      </c>
      <c r="E2741" s="231">
        <v>44860</v>
      </c>
      <c r="F2741" s="154">
        <v>1652</v>
      </c>
      <c r="G2741" s="197">
        <f>Tabla111[[#This Row],[Importe]]-Tabla111[[#This Row],[Pagado]]</f>
        <v>0</v>
      </c>
      <c r="H2741" s="153" t="s">
        <v>10</v>
      </c>
    </row>
    <row r="2742" spans="1:8" x14ac:dyDescent="0.25">
      <c r="A2742" s="73">
        <v>44860</v>
      </c>
      <c r="B2742" s="74" t="s">
        <v>34380</v>
      </c>
      <c r="C2742" s="75" t="s">
        <v>140</v>
      </c>
      <c r="D2742" s="81">
        <v>568</v>
      </c>
      <c r="E2742" s="230">
        <v>44860</v>
      </c>
      <c r="F2742" s="81">
        <v>568</v>
      </c>
      <c r="G2742" s="197">
        <f>Tabla111[[#This Row],[Importe]]-Tabla111[[#This Row],[Pagado]]</f>
        <v>0</v>
      </c>
      <c r="H2742" s="75" t="s">
        <v>10</v>
      </c>
    </row>
    <row r="2743" spans="1:8" x14ac:dyDescent="0.25">
      <c r="A2743" s="148">
        <v>44860</v>
      </c>
      <c r="B2743" s="149" t="s">
        <v>34381</v>
      </c>
      <c r="C2743" s="153" t="s">
        <v>31323</v>
      </c>
      <c r="D2743" s="154">
        <v>4176</v>
      </c>
      <c r="E2743" s="231">
        <v>44860</v>
      </c>
      <c r="F2743" s="154">
        <v>4176</v>
      </c>
      <c r="G2743" s="197">
        <f>Tabla111[[#This Row],[Importe]]-Tabla111[[#This Row],[Pagado]]</f>
        <v>0</v>
      </c>
      <c r="H2743" s="153" t="s">
        <v>10</v>
      </c>
    </row>
    <row r="2744" spans="1:8" x14ac:dyDescent="0.25">
      <c r="A2744" s="73">
        <v>44860</v>
      </c>
      <c r="B2744" s="74" t="s">
        <v>34382</v>
      </c>
      <c r="C2744" s="75" t="s">
        <v>804</v>
      </c>
      <c r="D2744" s="81">
        <v>18731</v>
      </c>
      <c r="E2744" s="230">
        <v>44860</v>
      </c>
      <c r="F2744" s="81">
        <v>18731</v>
      </c>
      <c r="G2744" s="197">
        <f>Tabla111[[#This Row],[Importe]]-Tabla111[[#This Row],[Pagado]]</f>
        <v>0</v>
      </c>
      <c r="H2744" s="75" t="s">
        <v>10</v>
      </c>
    </row>
    <row r="2745" spans="1:8" x14ac:dyDescent="0.25">
      <c r="A2745" s="148">
        <v>44860</v>
      </c>
      <c r="B2745" s="149" t="s">
        <v>34383</v>
      </c>
      <c r="C2745" s="153" t="s">
        <v>357</v>
      </c>
      <c r="D2745" s="154">
        <v>4658.8</v>
      </c>
      <c r="E2745" s="231">
        <v>44860</v>
      </c>
      <c r="F2745" s="154">
        <v>4658.8</v>
      </c>
      <c r="G2745" s="197">
        <f>Tabla111[[#This Row],[Importe]]-Tabla111[[#This Row],[Pagado]]</f>
        <v>0</v>
      </c>
      <c r="H2745" s="153" t="s">
        <v>10</v>
      </c>
    </row>
    <row r="2746" spans="1:8" x14ac:dyDescent="0.25">
      <c r="A2746" s="73">
        <v>44860</v>
      </c>
      <c r="B2746" s="74" t="s">
        <v>34384</v>
      </c>
      <c r="C2746" s="75" t="s">
        <v>206</v>
      </c>
      <c r="D2746" s="81">
        <v>23183.4</v>
      </c>
      <c r="E2746" s="230">
        <v>44864</v>
      </c>
      <c r="F2746" s="81">
        <v>23183.4</v>
      </c>
      <c r="G2746" s="197">
        <f>Tabla111[[#This Row],[Importe]]-Tabla111[[#This Row],[Pagado]]</f>
        <v>0</v>
      </c>
      <c r="H2746" s="75" t="s">
        <v>10</v>
      </c>
    </row>
    <row r="2747" spans="1:8" x14ac:dyDescent="0.25">
      <c r="A2747" s="148">
        <v>44860</v>
      </c>
      <c r="B2747" s="149" t="s">
        <v>34385</v>
      </c>
      <c r="C2747" s="153" t="s">
        <v>154</v>
      </c>
      <c r="D2747" s="154">
        <v>41871.9</v>
      </c>
      <c r="E2747" s="231">
        <v>44864</v>
      </c>
      <c r="F2747" s="154">
        <v>41871.9</v>
      </c>
      <c r="G2747" s="197">
        <f>Tabla111[[#This Row],[Importe]]-Tabla111[[#This Row],[Pagado]]</f>
        <v>0</v>
      </c>
      <c r="H2747" s="153" t="s">
        <v>10</v>
      </c>
    </row>
    <row r="2748" spans="1:8" x14ac:dyDescent="0.25">
      <c r="A2748" s="73">
        <v>44860</v>
      </c>
      <c r="B2748" s="74" t="s">
        <v>34386</v>
      </c>
      <c r="C2748" s="75" t="s">
        <v>218</v>
      </c>
      <c r="D2748" s="81">
        <v>14941.4</v>
      </c>
      <c r="E2748" s="230">
        <v>44864</v>
      </c>
      <c r="F2748" s="81">
        <v>14941.4</v>
      </c>
      <c r="G2748" s="197">
        <f>Tabla111[[#This Row],[Importe]]-Tabla111[[#This Row],[Pagado]]</f>
        <v>0</v>
      </c>
      <c r="H2748" s="75" t="s">
        <v>10</v>
      </c>
    </row>
    <row r="2749" spans="1:8" x14ac:dyDescent="0.25">
      <c r="A2749" s="148">
        <v>44860</v>
      </c>
      <c r="B2749" s="149" t="s">
        <v>34387</v>
      </c>
      <c r="C2749" s="153" t="s">
        <v>212</v>
      </c>
      <c r="D2749" s="154">
        <v>62960.2</v>
      </c>
      <c r="E2749" s="231">
        <v>44864</v>
      </c>
      <c r="F2749" s="154">
        <v>62960.2</v>
      </c>
      <c r="G2749" s="197">
        <f>Tabla111[[#This Row],[Importe]]-Tabla111[[#This Row],[Pagado]]</f>
        <v>0</v>
      </c>
      <c r="H2749" s="153" t="s">
        <v>10</v>
      </c>
    </row>
    <row r="2750" spans="1:8" x14ac:dyDescent="0.25">
      <c r="A2750" s="73">
        <v>44860</v>
      </c>
      <c r="B2750" s="74" t="s">
        <v>34388</v>
      </c>
      <c r="C2750" s="75" t="s">
        <v>204</v>
      </c>
      <c r="D2750" s="81">
        <v>2361.8000000000002</v>
      </c>
      <c r="E2750" s="230">
        <v>44860</v>
      </c>
      <c r="F2750" s="81">
        <v>2361.8000000000002</v>
      </c>
      <c r="G2750" s="197">
        <f>Tabla111[[#This Row],[Importe]]-Tabla111[[#This Row],[Pagado]]</f>
        <v>0</v>
      </c>
      <c r="H2750" s="75" t="s">
        <v>10</v>
      </c>
    </row>
    <row r="2751" spans="1:8" x14ac:dyDescent="0.25">
      <c r="A2751" s="148">
        <v>44860</v>
      </c>
      <c r="B2751" s="149" t="s">
        <v>34389</v>
      </c>
      <c r="C2751" s="153" t="s">
        <v>53</v>
      </c>
      <c r="D2751" s="154">
        <v>2560</v>
      </c>
      <c r="E2751" s="231">
        <v>44860</v>
      </c>
      <c r="F2751" s="154">
        <v>2560</v>
      </c>
      <c r="G2751" s="197">
        <f>Tabla111[[#This Row],[Importe]]-Tabla111[[#This Row],[Pagado]]</f>
        <v>0</v>
      </c>
      <c r="H2751" s="153" t="s">
        <v>10</v>
      </c>
    </row>
    <row r="2752" spans="1:8" x14ac:dyDescent="0.25">
      <c r="A2752" s="73">
        <v>44860</v>
      </c>
      <c r="B2752" s="74" t="s">
        <v>34390</v>
      </c>
      <c r="C2752" s="75" t="s">
        <v>216</v>
      </c>
      <c r="D2752" s="81">
        <v>1383.8</v>
      </c>
      <c r="E2752" s="230">
        <v>44860</v>
      </c>
      <c r="F2752" s="81">
        <v>1383.8</v>
      </c>
      <c r="G2752" s="197">
        <f>Tabla111[[#This Row],[Importe]]-Tabla111[[#This Row],[Pagado]]</f>
        <v>0</v>
      </c>
      <c r="H2752" s="75" t="s">
        <v>10</v>
      </c>
    </row>
    <row r="2753" spans="1:8" x14ac:dyDescent="0.25">
      <c r="A2753" s="148">
        <v>44860</v>
      </c>
      <c r="B2753" s="149" t="s">
        <v>34391</v>
      </c>
      <c r="C2753" s="153" t="s">
        <v>216</v>
      </c>
      <c r="D2753" s="154">
        <v>532.79999999999995</v>
      </c>
      <c r="E2753" s="231">
        <v>44860</v>
      </c>
      <c r="F2753" s="154">
        <v>532.79999999999995</v>
      </c>
      <c r="G2753" s="197">
        <f>Tabla111[[#This Row],[Importe]]-Tabla111[[#This Row],[Pagado]]</f>
        <v>0</v>
      </c>
      <c r="H2753" s="153" t="s">
        <v>10</v>
      </c>
    </row>
    <row r="2754" spans="1:8" x14ac:dyDescent="0.25">
      <c r="A2754" s="73">
        <v>44860</v>
      </c>
      <c r="B2754" s="74" t="s">
        <v>34392</v>
      </c>
      <c r="C2754" s="75" t="s">
        <v>10190</v>
      </c>
      <c r="D2754" s="81">
        <v>22115.4</v>
      </c>
      <c r="E2754" s="230">
        <v>44860</v>
      </c>
      <c r="F2754" s="81">
        <v>22115.4</v>
      </c>
      <c r="G2754" s="197">
        <f>Tabla111[[#This Row],[Importe]]-Tabla111[[#This Row],[Pagado]]</f>
        <v>0</v>
      </c>
      <c r="H2754" s="75" t="s">
        <v>10</v>
      </c>
    </row>
    <row r="2755" spans="1:8" x14ac:dyDescent="0.25">
      <c r="A2755" s="148">
        <v>44860</v>
      </c>
      <c r="B2755" s="149" t="s">
        <v>34393</v>
      </c>
      <c r="C2755" s="153" t="s">
        <v>28087</v>
      </c>
      <c r="D2755" s="154">
        <v>4407.13</v>
      </c>
      <c r="E2755" s="231">
        <v>44866</v>
      </c>
      <c r="F2755" s="154">
        <v>4407.13</v>
      </c>
      <c r="G2755" s="197">
        <f>Tabla111[[#This Row],[Importe]]-Tabla111[[#This Row],[Pagado]]</f>
        <v>0</v>
      </c>
      <c r="H2755" s="153" t="s">
        <v>10</v>
      </c>
    </row>
    <row r="2756" spans="1:8" x14ac:dyDescent="0.25">
      <c r="A2756" s="73">
        <v>44860</v>
      </c>
      <c r="B2756" s="74" t="s">
        <v>34394</v>
      </c>
      <c r="C2756" s="75" t="s">
        <v>56</v>
      </c>
      <c r="D2756" s="81">
        <v>8016.6</v>
      </c>
      <c r="E2756" s="230">
        <v>44860</v>
      </c>
      <c r="F2756" s="81">
        <v>8016.6</v>
      </c>
      <c r="G2756" s="197">
        <f>Tabla111[[#This Row],[Importe]]-Tabla111[[#This Row],[Pagado]]</f>
        <v>0</v>
      </c>
      <c r="H2756" s="75" t="s">
        <v>10</v>
      </c>
    </row>
    <row r="2757" spans="1:8" x14ac:dyDescent="0.25">
      <c r="A2757" s="148">
        <v>44860</v>
      </c>
      <c r="B2757" s="149" t="s">
        <v>34395</v>
      </c>
      <c r="C2757" s="153" t="s">
        <v>24</v>
      </c>
      <c r="D2757" s="154">
        <v>3121</v>
      </c>
      <c r="E2757" s="231">
        <v>44860</v>
      </c>
      <c r="F2757" s="154">
        <v>3121</v>
      </c>
      <c r="G2757" s="197">
        <f>Tabla111[[#This Row],[Importe]]-Tabla111[[#This Row],[Pagado]]</f>
        <v>0</v>
      </c>
      <c r="H2757" s="153" t="s">
        <v>10</v>
      </c>
    </row>
    <row r="2758" spans="1:8" x14ac:dyDescent="0.25">
      <c r="A2758" s="73">
        <v>44860</v>
      </c>
      <c r="B2758" s="74" t="s">
        <v>34396</v>
      </c>
      <c r="C2758" s="75" t="s">
        <v>6252</v>
      </c>
      <c r="D2758" s="81">
        <v>0</v>
      </c>
      <c r="E2758" s="232" t="s">
        <v>189</v>
      </c>
      <c r="F2758" s="81">
        <v>0</v>
      </c>
      <c r="G2758" s="197">
        <f>Tabla111[[#This Row],[Importe]]-Tabla111[[#This Row],[Pagado]]</f>
        <v>0</v>
      </c>
      <c r="H2758" s="75" t="s">
        <v>189</v>
      </c>
    </row>
    <row r="2759" spans="1:8" x14ac:dyDescent="0.25">
      <c r="A2759" s="148">
        <v>44860</v>
      </c>
      <c r="B2759" s="149" t="s">
        <v>34397</v>
      </c>
      <c r="C2759" s="153" t="s">
        <v>31</v>
      </c>
      <c r="D2759" s="154">
        <v>12642</v>
      </c>
      <c r="E2759" s="231">
        <v>44860</v>
      </c>
      <c r="F2759" s="154">
        <v>12642</v>
      </c>
      <c r="G2759" s="197">
        <f>Tabla111[[#This Row],[Importe]]-Tabla111[[#This Row],[Pagado]]</f>
        <v>0</v>
      </c>
      <c r="H2759" s="153" t="s">
        <v>10</v>
      </c>
    </row>
    <row r="2760" spans="1:8" x14ac:dyDescent="0.25">
      <c r="A2760" s="73">
        <v>44860</v>
      </c>
      <c r="B2760" s="74" t="s">
        <v>34398</v>
      </c>
      <c r="C2760" s="75" t="s">
        <v>135</v>
      </c>
      <c r="D2760" s="81">
        <v>1208</v>
      </c>
      <c r="E2760" s="230">
        <v>44860</v>
      </c>
      <c r="F2760" s="81">
        <v>1208</v>
      </c>
      <c r="G2760" s="197">
        <f>Tabla111[[#This Row],[Importe]]-Tabla111[[#This Row],[Pagado]]</f>
        <v>0</v>
      </c>
      <c r="H2760" s="75" t="s">
        <v>10</v>
      </c>
    </row>
    <row r="2761" spans="1:8" x14ac:dyDescent="0.25">
      <c r="A2761" s="148">
        <v>44860</v>
      </c>
      <c r="B2761" s="149" t="s">
        <v>34399</v>
      </c>
      <c r="C2761" s="153" t="s">
        <v>296</v>
      </c>
      <c r="D2761" s="154">
        <v>640</v>
      </c>
      <c r="E2761" s="231">
        <v>44860</v>
      </c>
      <c r="F2761" s="154">
        <v>640</v>
      </c>
      <c r="G2761" s="197">
        <f>Tabla111[[#This Row],[Importe]]-Tabla111[[#This Row],[Pagado]]</f>
        <v>0</v>
      </c>
      <c r="H2761" s="153" t="s">
        <v>10</v>
      </c>
    </row>
    <row r="2762" spans="1:8" x14ac:dyDescent="0.25">
      <c r="A2762" s="73">
        <v>44860</v>
      </c>
      <c r="B2762" s="74" t="s">
        <v>34400</v>
      </c>
      <c r="C2762" s="75" t="s">
        <v>1265</v>
      </c>
      <c r="D2762" s="81">
        <v>554.4</v>
      </c>
      <c r="E2762" s="230">
        <v>44860</v>
      </c>
      <c r="F2762" s="81">
        <v>554.4</v>
      </c>
      <c r="G2762" s="197">
        <f>Tabla111[[#This Row],[Importe]]-Tabla111[[#This Row],[Pagado]]</f>
        <v>0</v>
      </c>
      <c r="H2762" s="75" t="s">
        <v>10</v>
      </c>
    </row>
    <row r="2763" spans="1:8" x14ac:dyDescent="0.25">
      <c r="A2763" s="148">
        <v>44860</v>
      </c>
      <c r="B2763" s="149" t="s">
        <v>34401</v>
      </c>
      <c r="C2763" s="153" t="s">
        <v>11383</v>
      </c>
      <c r="D2763" s="154">
        <v>36261.9</v>
      </c>
      <c r="E2763" s="231">
        <v>44860</v>
      </c>
      <c r="F2763" s="154">
        <v>36261.9</v>
      </c>
      <c r="G2763" s="197">
        <f>Tabla111[[#This Row],[Importe]]-Tabla111[[#This Row],[Pagado]]</f>
        <v>0</v>
      </c>
      <c r="H2763" s="153" t="s">
        <v>10</v>
      </c>
    </row>
    <row r="2764" spans="1:8" x14ac:dyDescent="0.25">
      <c r="A2764" s="73">
        <v>44860</v>
      </c>
      <c r="B2764" s="74" t="s">
        <v>34402</v>
      </c>
      <c r="C2764" s="75" t="s">
        <v>698</v>
      </c>
      <c r="D2764" s="81">
        <v>10499.8</v>
      </c>
      <c r="E2764" s="230">
        <v>44860</v>
      </c>
      <c r="F2764" s="81">
        <v>10499.8</v>
      </c>
      <c r="G2764" s="197">
        <f>Tabla111[[#This Row],[Importe]]-Tabla111[[#This Row],[Pagado]]</f>
        <v>0</v>
      </c>
      <c r="H2764" s="75" t="s">
        <v>10</v>
      </c>
    </row>
    <row r="2765" spans="1:8" x14ac:dyDescent="0.25">
      <c r="A2765" s="148">
        <v>44860</v>
      </c>
      <c r="B2765" s="149" t="s">
        <v>34403</v>
      </c>
      <c r="C2765" s="153" t="s">
        <v>31</v>
      </c>
      <c r="D2765" s="154">
        <v>10272</v>
      </c>
      <c r="E2765" s="231">
        <v>44860</v>
      </c>
      <c r="F2765" s="154">
        <v>10272</v>
      </c>
      <c r="G2765" s="197">
        <f>Tabla111[[#This Row],[Importe]]-Tabla111[[#This Row],[Pagado]]</f>
        <v>0</v>
      </c>
      <c r="H2765" s="153" t="s">
        <v>10</v>
      </c>
    </row>
    <row r="2766" spans="1:8" x14ac:dyDescent="0.25">
      <c r="A2766" s="73">
        <v>44860</v>
      </c>
      <c r="B2766" s="74" t="s">
        <v>34404</v>
      </c>
      <c r="C2766" s="75" t="s">
        <v>698</v>
      </c>
      <c r="D2766" s="81">
        <v>520</v>
      </c>
      <c r="E2766" s="230">
        <v>44860</v>
      </c>
      <c r="F2766" s="81">
        <v>520</v>
      </c>
      <c r="G2766" s="197">
        <f>Tabla111[[#This Row],[Importe]]-Tabla111[[#This Row],[Pagado]]</f>
        <v>0</v>
      </c>
      <c r="H2766" s="75" t="s">
        <v>10</v>
      </c>
    </row>
    <row r="2767" spans="1:8" x14ac:dyDescent="0.25">
      <c r="A2767" s="148">
        <v>44860</v>
      </c>
      <c r="B2767" s="149" t="s">
        <v>34405</v>
      </c>
      <c r="C2767" s="153" t="s">
        <v>555</v>
      </c>
      <c r="D2767" s="154">
        <v>41999.519999999997</v>
      </c>
      <c r="E2767" s="231">
        <v>44860</v>
      </c>
      <c r="F2767" s="154">
        <v>41999.519999999997</v>
      </c>
      <c r="G2767" s="197">
        <f>Tabla111[[#This Row],[Importe]]-Tabla111[[#This Row],[Pagado]]</f>
        <v>0</v>
      </c>
      <c r="H2767" s="153" t="s">
        <v>10</v>
      </c>
    </row>
    <row r="2768" spans="1:8" x14ac:dyDescent="0.25">
      <c r="A2768" s="73">
        <v>44860</v>
      </c>
      <c r="B2768" s="74" t="s">
        <v>34406</v>
      </c>
      <c r="C2768" s="75" t="s">
        <v>9827</v>
      </c>
      <c r="D2768" s="81">
        <v>3707.4</v>
      </c>
      <c r="E2768" s="230">
        <v>44860</v>
      </c>
      <c r="F2768" s="81">
        <v>3707.4</v>
      </c>
      <c r="G2768" s="197">
        <f>Tabla111[[#This Row],[Importe]]-Tabla111[[#This Row],[Pagado]]</f>
        <v>0</v>
      </c>
      <c r="H2768" s="75" t="s">
        <v>10</v>
      </c>
    </row>
    <row r="2769" spans="1:8" x14ac:dyDescent="0.25">
      <c r="A2769" s="148">
        <v>44860</v>
      </c>
      <c r="B2769" s="149" t="s">
        <v>34407</v>
      </c>
      <c r="C2769" s="153" t="s">
        <v>1237</v>
      </c>
      <c r="D2769" s="154">
        <v>52844.7</v>
      </c>
      <c r="E2769" s="231">
        <v>44861</v>
      </c>
      <c r="F2769" s="154">
        <v>52844.7</v>
      </c>
      <c r="G2769" s="197">
        <f>Tabla111[[#This Row],[Importe]]-Tabla111[[#This Row],[Pagado]]</f>
        <v>0</v>
      </c>
      <c r="H2769" s="153" t="s">
        <v>10</v>
      </c>
    </row>
    <row r="2770" spans="1:8" x14ac:dyDescent="0.25">
      <c r="A2770" s="73">
        <v>44860</v>
      </c>
      <c r="B2770" s="74" t="s">
        <v>34408</v>
      </c>
      <c r="C2770" s="75" t="s">
        <v>587</v>
      </c>
      <c r="D2770" s="81">
        <v>9199.56</v>
      </c>
      <c r="E2770" s="230">
        <v>44860</v>
      </c>
      <c r="F2770" s="81">
        <v>9199.56</v>
      </c>
      <c r="G2770" s="197">
        <f>Tabla111[[#This Row],[Importe]]-Tabla111[[#This Row],[Pagado]]</f>
        <v>0</v>
      </c>
      <c r="H2770" s="75" t="s">
        <v>10</v>
      </c>
    </row>
    <row r="2771" spans="1:8" x14ac:dyDescent="0.25">
      <c r="A2771" s="148">
        <v>44860</v>
      </c>
      <c r="B2771" s="149" t="s">
        <v>34409</v>
      </c>
      <c r="C2771" s="153" t="s">
        <v>419</v>
      </c>
      <c r="D2771" s="154">
        <v>4096.3999999999996</v>
      </c>
      <c r="E2771" s="231">
        <v>44860</v>
      </c>
      <c r="F2771" s="154">
        <v>4096.3999999999996</v>
      </c>
      <c r="G2771" s="197">
        <f>Tabla111[[#This Row],[Importe]]-Tabla111[[#This Row],[Pagado]]</f>
        <v>0</v>
      </c>
      <c r="H2771" s="153" t="s">
        <v>10</v>
      </c>
    </row>
    <row r="2772" spans="1:8" x14ac:dyDescent="0.25">
      <c r="A2772" s="73">
        <v>44860</v>
      </c>
      <c r="B2772" s="74" t="s">
        <v>34410</v>
      </c>
      <c r="C2772" s="75" t="s">
        <v>196</v>
      </c>
      <c r="D2772" s="81">
        <v>123939.98</v>
      </c>
      <c r="E2772" s="230">
        <v>44862</v>
      </c>
      <c r="F2772" s="81">
        <v>123939.98</v>
      </c>
      <c r="G2772" s="197">
        <f>Tabla111[[#This Row],[Importe]]-Tabla111[[#This Row],[Pagado]]</f>
        <v>0</v>
      </c>
      <c r="H2772" s="75" t="s">
        <v>10</v>
      </c>
    </row>
    <row r="2773" spans="1:8" x14ac:dyDescent="0.25">
      <c r="A2773" s="148">
        <v>44860</v>
      </c>
      <c r="B2773" s="149" t="s">
        <v>34411</v>
      </c>
      <c r="C2773" s="153" t="s">
        <v>31</v>
      </c>
      <c r="D2773" s="154">
        <v>606.79999999999995</v>
      </c>
      <c r="E2773" s="231">
        <v>44860</v>
      </c>
      <c r="F2773" s="154">
        <v>606.79999999999995</v>
      </c>
      <c r="G2773" s="197">
        <f>Tabla111[[#This Row],[Importe]]-Tabla111[[#This Row],[Pagado]]</f>
        <v>0</v>
      </c>
      <c r="H2773" s="153" t="s">
        <v>10</v>
      </c>
    </row>
    <row r="2774" spans="1:8" x14ac:dyDescent="0.25">
      <c r="A2774" s="73">
        <v>44860</v>
      </c>
      <c r="B2774" s="74" t="s">
        <v>34412</v>
      </c>
      <c r="C2774" s="75" t="s">
        <v>214</v>
      </c>
      <c r="D2774" s="81">
        <v>1872.2</v>
      </c>
      <c r="E2774" s="230">
        <v>44860</v>
      </c>
      <c r="F2774" s="81">
        <v>1872.2</v>
      </c>
      <c r="G2774" s="197">
        <f>Tabla111[[#This Row],[Importe]]-Tabla111[[#This Row],[Pagado]]</f>
        <v>0</v>
      </c>
      <c r="H2774" s="75" t="s">
        <v>10</v>
      </c>
    </row>
    <row r="2775" spans="1:8" x14ac:dyDescent="0.25">
      <c r="A2775" s="148">
        <v>44860</v>
      </c>
      <c r="B2775" s="149" t="s">
        <v>34413</v>
      </c>
      <c r="C2775" s="153" t="s">
        <v>2139</v>
      </c>
      <c r="D2775" s="154">
        <v>3659.4</v>
      </c>
      <c r="E2775" s="231">
        <v>44860</v>
      </c>
      <c r="F2775" s="154">
        <v>3659.4</v>
      </c>
      <c r="G2775" s="197">
        <f>Tabla111[[#This Row],[Importe]]-Tabla111[[#This Row],[Pagado]]</f>
        <v>0</v>
      </c>
      <c r="H2775" s="153" t="s">
        <v>10</v>
      </c>
    </row>
    <row r="2776" spans="1:8" x14ac:dyDescent="0.25">
      <c r="A2776" s="73">
        <v>44860</v>
      </c>
      <c r="B2776" s="74" t="s">
        <v>34414</v>
      </c>
      <c r="C2776" s="75" t="s">
        <v>16</v>
      </c>
      <c r="D2776" s="81">
        <v>3565.8</v>
      </c>
      <c r="E2776" s="230">
        <v>44860</v>
      </c>
      <c r="F2776" s="81">
        <v>3565.8</v>
      </c>
      <c r="G2776" s="197">
        <f>Tabla111[[#This Row],[Importe]]-Tabla111[[#This Row],[Pagado]]</f>
        <v>0</v>
      </c>
      <c r="H2776" s="75" t="s">
        <v>10</v>
      </c>
    </row>
    <row r="2777" spans="1:8" x14ac:dyDescent="0.25">
      <c r="A2777" s="148">
        <v>44860</v>
      </c>
      <c r="B2777" s="149" t="s">
        <v>34415</v>
      </c>
      <c r="C2777" s="153" t="s">
        <v>442</v>
      </c>
      <c r="D2777" s="154">
        <v>37612.5</v>
      </c>
      <c r="E2777" s="231">
        <v>44860</v>
      </c>
      <c r="F2777" s="154">
        <v>37612.5</v>
      </c>
      <c r="G2777" s="197">
        <f>Tabla111[[#This Row],[Importe]]-Tabla111[[#This Row],[Pagado]]</f>
        <v>0</v>
      </c>
      <c r="H2777" s="153" t="s">
        <v>10</v>
      </c>
    </row>
    <row r="2778" spans="1:8" x14ac:dyDescent="0.25">
      <c r="A2778" s="73">
        <v>44860</v>
      </c>
      <c r="B2778" s="74" t="s">
        <v>34416</v>
      </c>
      <c r="C2778" s="75" t="s">
        <v>31</v>
      </c>
      <c r="D2778" s="81">
        <v>6091.2</v>
      </c>
      <c r="E2778" s="230">
        <v>44860</v>
      </c>
      <c r="F2778" s="81">
        <v>6091.2</v>
      </c>
      <c r="G2778" s="197">
        <f>Tabla111[[#This Row],[Importe]]-Tabla111[[#This Row],[Pagado]]</f>
        <v>0</v>
      </c>
      <c r="H2778" s="75" t="s">
        <v>10</v>
      </c>
    </row>
    <row r="2779" spans="1:8" x14ac:dyDescent="0.25">
      <c r="A2779" s="148">
        <v>44860</v>
      </c>
      <c r="B2779" s="149" t="s">
        <v>34417</v>
      </c>
      <c r="C2779" s="153" t="s">
        <v>133</v>
      </c>
      <c r="D2779" s="154">
        <v>25201</v>
      </c>
      <c r="E2779" s="231">
        <v>44877</v>
      </c>
      <c r="F2779" s="154">
        <v>25201</v>
      </c>
      <c r="G2779" s="197">
        <f>Tabla111[[#This Row],[Importe]]-Tabla111[[#This Row],[Pagado]]</f>
        <v>0</v>
      </c>
      <c r="H2779" s="153" t="s">
        <v>10</v>
      </c>
    </row>
    <row r="2780" spans="1:8" x14ac:dyDescent="0.25">
      <c r="A2780" s="73">
        <v>44860</v>
      </c>
      <c r="B2780" s="74" t="s">
        <v>34418</v>
      </c>
      <c r="C2780" s="75" t="s">
        <v>173</v>
      </c>
      <c r="D2780" s="81">
        <v>50004</v>
      </c>
      <c r="E2780" s="230">
        <v>45225</v>
      </c>
      <c r="F2780" s="81">
        <v>50004</v>
      </c>
      <c r="G2780" s="197">
        <f>Tabla111[[#This Row],[Importe]]-Tabla111[[#This Row],[Pagado]]</f>
        <v>0</v>
      </c>
      <c r="H2780" s="75" t="s">
        <v>10</v>
      </c>
    </row>
    <row r="2781" spans="1:8" x14ac:dyDescent="0.25">
      <c r="A2781" s="148">
        <v>44860</v>
      </c>
      <c r="B2781" s="149" t="s">
        <v>34419</v>
      </c>
      <c r="C2781" s="153" t="s">
        <v>10157</v>
      </c>
      <c r="D2781" s="154">
        <v>16541.5</v>
      </c>
      <c r="E2781" s="231">
        <v>44862</v>
      </c>
      <c r="F2781" s="154">
        <v>16541.5</v>
      </c>
      <c r="G2781" s="197">
        <f>Tabla111[[#This Row],[Importe]]-Tabla111[[#This Row],[Pagado]]</f>
        <v>0</v>
      </c>
      <c r="H2781" s="153" t="s">
        <v>10</v>
      </c>
    </row>
    <row r="2782" spans="1:8" x14ac:dyDescent="0.25">
      <c r="A2782" s="73">
        <v>44860</v>
      </c>
      <c r="B2782" s="74" t="s">
        <v>34420</v>
      </c>
      <c r="C2782" s="75" t="s">
        <v>1644</v>
      </c>
      <c r="D2782" s="81">
        <v>17482.599999999999</v>
      </c>
      <c r="E2782" s="230">
        <v>44861</v>
      </c>
      <c r="F2782" s="81">
        <v>17482.599999999999</v>
      </c>
      <c r="G2782" s="197">
        <f>Tabla111[[#This Row],[Importe]]-Tabla111[[#This Row],[Pagado]]</f>
        <v>0</v>
      </c>
      <c r="H2782" s="75" t="s">
        <v>10</v>
      </c>
    </row>
    <row r="2783" spans="1:8" x14ac:dyDescent="0.25">
      <c r="A2783" s="148">
        <v>44860</v>
      </c>
      <c r="B2783" s="149" t="s">
        <v>34421</v>
      </c>
      <c r="C2783" s="153" t="s">
        <v>1378</v>
      </c>
      <c r="D2783" s="154">
        <v>97275</v>
      </c>
      <c r="E2783" s="231">
        <v>44861</v>
      </c>
      <c r="F2783" s="154">
        <v>97275</v>
      </c>
      <c r="G2783" s="197">
        <f>Tabla111[[#This Row],[Importe]]-Tabla111[[#This Row],[Pagado]]</f>
        <v>0</v>
      </c>
      <c r="H2783" s="153" t="s">
        <v>10</v>
      </c>
    </row>
    <row r="2784" spans="1:8" x14ac:dyDescent="0.25">
      <c r="A2784" s="73">
        <v>44860</v>
      </c>
      <c r="B2784" s="74" t="s">
        <v>34422</v>
      </c>
      <c r="C2784" s="75" t="s">
        <v>448</v>
      </c>
      <c r="D2784" s="81">
        <v>15405</v>
      </c>
      <c r="E2784" s="230">
        <v>44860</v>
      </c>
      <c r="F2784" s="81">
        <v>15405</v>
      </c>
      <c r="G2784" s="197">
        <f>Tabla111[[#This Row],[Importe]]-Tabla111[[#This Row],[Pagado]]</f>
        <v>0</v>
      </c>
      <c r="H2784" s="75" t="s">
        <v>10</v>
      </c>
    </row>
    <row r="2785" spans="1:8" x14ac:dyDescent="0.25">
      <c r="A2785" s="148">
        <v>44860</v>
      </c>
      <c r="B2785" s="149" t="s">
        <v>34423</v>
      </c>
      <c r="C2785" s="153" t="s">
        <v>58</v>
      </c>
      <c r="D2785" s="154">
        <v>1583.4</v>
      </c>
      <c r="E2785" s="231">
        <v>44860</v>
      </c>
      <c r="F2785" s="154">
        <v>1583.4</v>
      </c>
      <c r="G2785" s="197">
        <f>Tabla111[[#This Row],[Importe]]-Tabla111[[#This Row],[Pagado]]</f>
        <v>0</v>
      </c>
      <c r="H2785" s="153" t="s">
        <v>10</v>
      </c>
    </row>
    <row r="2786" spans="1:8" x14ac:dyDescent="0.25">
      <c r="A2786" s="73">
        <v>44860</v>
      </c>
      <c r="B2786" s="74" t="s">
        <v>34424</v>
      </c>
      <c r="C2786" s="75" t="s">
        <v>402</v>
      </c>
      <c r="D2786" s="81">
        <v>13490.3</v>
      </c>
      <c r="E2786" s="230">
        <v>44866</v>
      </c>
      <c r="F2786" s="81">
        <v>13490.3</v>
      </c>
      <c r="G2786" s="197">
        <f>Tabla111[[#This Row],[Importe]]-Tabla111[[#This Row],[Pagado]]</f>
        <v>0</v>
      </c>
      <c r="H2786" s="75" t="s">
        <v>10</v>
      </c>
    </row>
    <row r="2787" spans="1:8" x14ac:dyDescent="0.25">
      <c r="A2787" s="148">
        <v>44860</v>
      </c>
      <c r="B2787" s="149" t="s">
        <v>34425</v>
      </c>
      <c r="C2787" s="153" t="s">
        <v>400</v>
      </c>
      <c r="D2787" s="154">
        <v>8613</v>
      </c>
      <c r="E2787" s="231">
        <v>44866</v>
      </c>
      <c r="F2787" s="154">
        <v>8613</v>
      </c>
      <c r="G2787" s="197">
        <f>Tabla111[[#This Row],[Importe]]-Tabla111[[#This Row],[Pagado]]</f>
        <v>0</v>
      </c>
      <c r="H2787" s="153" t="s">
        <v>10</v>
      </c>
    </row>
    <row r="2788" spans="1:8" x14ac:dyDescent="0.25">
      <c r="A2788" s="73">
        <v>44860</v>
      </c>
      <c r="B2788" s="74" t="s">
        <v>34426</v>
      </c>
      <c r="C2788" s="75" t="s">
        <v>612</v>
      </c>
      <c r="D2788" s="81">
        <v>300</v>
      </c>
      <c r="E2788" s="230">
        <v>44860</v>
      </c>
      <c r="F2788" s="81">
        <v>300</v>
      </c>
      <c r="G2788" s="197">
        <f>Tabla111[[#This Row],[Importe]]-Tabla111[[#This Row],[Pagado]]</f>
        <v>0</v>
      </c>
      <c r="H2788" s="75" t="s">
        <v>10</v>
      </c>
    </row>
    <row r="2789" spans="1:8" x14ac:dyDescent="0.25">
      <c r="A2789" s="148">
        <v>44860</v>
      </c>
      <c r="B2789" s="149" t="s">
        <v>34427</v>
      </c>
      <c r="C2789" s="153" t="s">
        <v>19637</v>
      </c>
      <c r="D2789" s="154">
        <v>4097.3</v>
      </c>
      <c r="E2789" s="231">
        <v>44866</v>
      </c>
      <c r="F2789" s="154">
        <v>4097.3</v>
      </c>
      <c r="G2789" s="197">
        <f>Tabla111[[#This Row],[Importe]]-Tabla111[[#This Row],[Pagado]]</f>
        <v>0</v>
      </c>
      <c r="H2789" s="153" t="s">
        <v>10</v>
      </c>
    </row>
    <row r="2790" spans="1:8" x14ac:dyDescent="0.25">
      <c r="A2790" s="73">
        <v>44860</v>
      </c>
      <c r="B2790" s="74" t="s">
        <v>34428</v>
      </c>
      <c r="C2790" s="75" t="s">
        <v>18</v>
      </c>
      <c r="D2790" s="81">
        <v>2090.4</v>
      </c>
      <c r="E2790" s="230">
        <v>44861</v>
      </c>
      <c r="F2790" s="81">
        <v>2090.4</v>
      </c>
      <c r="G2790" s="197">
        <f>Tabla111[[#This Row],[Importe]]-Tabla111[[#This Row],[Pagado]]</f>
        <v>0</v>
      </c>
      <c r="H2790" s="75" t="s">
        <v>10</v>
      </c>
    </row>
    <row r="2791" spans="1:8" x14ac:dyDescent="0.25">
      <c r="A2791" s="148">
        <v>44860</v>
      </c>
      <c r="B2791" s="149" t="s">
        <v>34429</v>
      </c>
      <c r="C2791" s="153" t="s">
        <v>9577</v>
      </c>
      <c r="D2791" s="154">
        <v>27709.599999999999</v>
      </c>
      <c r="E2791" s="231">
        <v>44861</v>
      </c>
      <c r="F2791" s="154">
        <v>27709.599999999999</v>
      </c>
      <c r="G2791" s="197">
        <f>Tabla111[[#This Row],[Importe]]-Tabla111[[#This Row],[Pagado]]</f>
        <v>0</v>
      </c>
      <c r="H2791" s="153" t="s">
        <v>10</v>
      </c>
    </row>
    <row r="2792" spans="1:8" x14ac:dyDescent="0.25">
      <c r="A2792" s="73">
        <v>44860</v>
      </c>
      <c r="B2792" s="74" t="s">
        <v>34430</v>
      </c>
      <c r="C2792" s="75" t="s">
        <v>1362</v>
      </c>
      <c r="D2792" s="81">
        <v>5215.2</v>
      </c>
      <c r="E2792" s="230">
        <v>44861</v>
      </c>
      <c r="F2792" s="81">
        <v>5215.2</v>
      </c>
      <c r="G2792" s="197">
        <f>Tabla111[[#This Row],[Importe]]-Tabla111[[#This Row],[Pagado]]</f>
        <v>0</v>
      </c>
      <c r="H2792" s="75" t="s">
        <v>10</v>
      </c>
    </row>
    <row r="2793" spans="1:8" x14ac:dyDescent="0.25">
      <c r="A2793" s="148">
        <v>44860</v>
      </c>
      <c r="B2793" s="149" t="s">
        <v>34431</v>
      </c>
      <c r="C2793" s="153" t="s">
        <v>34432</v>
      </c>
      <c r="D2793" s="154">
        <v>0</v>
      </c>
      <c r="E2793" s="233" t="s">
        <v>189</v>
      </c>
      <c r="F2793" s="154">
        <v>0</v>
      </c>
      <c r="G2793" s="197">
        <f>Tabla111[[#This Row],[Importe]]-Tabla111[[#This Row],[Pagado]]</f>
        <v>0</v>
      </c>
      <c r="H2793" s="153" t="s">
        <v>189</v>
      </c>
    </row>
    <row r="2794" spans="1:8" x14ac:dyDescent="0.25">
      <c r="A2794" s="73">
        <v>44860</v>
      </c>
      <c r="B2794" s="74" t="s">
        <v>34433</v>
      </c>
      <c r="C2794" s="75" t="s">
        <v>296</v>
      </c>
      <c r="D2794" s="81">
        <v>1325.5</v>
      </c>
      <c r="E2794" s="230">
        <v>44860</v>
      </c>
      <c r="F2794" s="81">
        <v>1325.5</v>
      </c>
      <c r="G2794" s="197">
        <f>Tabla111[[#This Row],[Importe]]-Tabla111[[#This Row],[Pagado]]</f>
        <v>0</v>
      </c>
      <c r="H2794" s="75" t="s">
        <v>10</v>
      </c>
    </row>
    <row r="2795" spans="1:8" x14ac:dyDescent="0.25">
      <c r="A2795" s="148">
        <v>44860</v>
      </c>
      <c r="B2795" s="149" t="s">
        <v>34434</v>
      </c>
      <c r="C2795" s="153" t="s">
        <v>31</v>
      </c>
      <c r="D2795" s="154">
        <v>11832</v>
      </c>
      <c r="E2795" s="231">
        <v>44860</v>
      </c>
      <c r="F2795" s="154">
        <v>11832</v>
      </c>
      <c r="G2795" s="197">
        <f>Tabla111[[#This Row],[Importe]]-Tabla111[[#This Row],[Pagado]]</f>
        <v>0</v>
      </c>
      <c r="H2795" s="153" t="s">
        <v>10</v>
      </c>
    </row>
    <row r="2796" spans="1:8" x14ac:dyDescent="0.25">
      <c r="A2796" s="73">
        <v>44860</v>
      </c>
      <c r="B2796" s="74" t="s">
        <v>34435</v>
      </c>
      <c r="C2796" s="75" t="s">
        <v>396</v>
      </c>
      <c r="D2796" s="81">
        <v>9696.2000000000007</v>
      </c>
      <c r="E2796" s="230">
        <v>44866</v>
      </c>
      <c r="F2796" s="81">
        <v>9696.2000000000007</v>
      </c>
      <c r="G2796" s="197">
        <f>Tabla111[[#This Row],[Importe]]-Tabla111[[#This Row],[Pagado]]</f>
        <v>0</v>
      </c>
      <c r="H2796" s="75" t="s">
        <v>10</v>
      </c>
    </row>
    <row r="2797" spans="1:8" x14ac:dyDescent="0.25">
      <c r="A2797" s="148">
        <v>44860</v>
      </c>
      <c r="B2797" s="149" t="s">
        <v>34436</v>
      </c>
      <c r="C2797" s="153" t="s">
        <v>107</v>
      </c>
      <c r="D2797" s="154">
        <v>10051.6</v>
      </c>
      <c r="E2797" s="231">
        <v>44861</v>
      </c>
      <c r="F2797" s="154">
        <v>10051.6</v>
      </c>
      <c r="G2797" s="197">
        <f>Tabla111[[#This Row],[Importe]]-Tabla111[[#This Row],[Pagado]]</f>
        <v>0</v>
      </c>
      <c r="H2797" s="153" t="s">
        <v>10</v>
      </c>
    </row>
    <row r="2798" spans="1:8" x14ac:dyDescent="0.25">
      <c r="A2798" s="73">
        <v>44860</v>
      </c>
      <c r="B2798" s="74" t="s">
        <v>34437</v>
      </c>
      <c r="C2798" s="75" t="s">
        <v>284</v>
      </c>
      <c r="D2798" s="81">
        <v>6186.4</v>
      </c>
      <c r="E2798" s="230">
        <v>44861</v>
      </c>
      <c r="F2798" s="81">
        <v>6186.4</v>
      </c>
      <c r="G2798" s="197">
        <f>Tabla111[[#This Row],[Importe]]-Tabla111[[#This Row],[Pagado]]</f>
        <v>0</v>
      </c>
      <c r="H2798" s="75" t="s">
        <v>10</v>
      </c>
    </row>
    <row r="2799" spans="1:8" x14ac:dyDescent="0.25">
      <c r="A2799" s="148">
        <v>44860</v>
      </c>
      <c r="B2799" s="149" t="s">
        <v>34438</v>
      </c>
      <c r="C2799" s="153" t="s">
        <v>9993</v>
      </c>
      <c r="D2799" s="154">
        <v>30500.13</v>
      </c>
      <c r="E2799" s="231">
        <v>44860</v>
      </c>
      <c r="F2799" s="154">
        <v>30500.13</v>
      </c>
      <c r="G2799" s="197">
        <f>Tabla111[[#This Row],[Importe]]-Tabla111[[#This Row],[Pagado]]</f>
        <v>0</v>
      </c>
      <c r="H2799" s="153" t="s">
        <v>10</v>
      </c>
    </row>
    <row r="2800" spans="1:8" x14ac:dyDescent="0.25">
      <c r="A2800" s="73">
        <v>44860</v>
      </c>
      <c r="B2800" s="74" t="s">
        <v>34439</v>
      </c>
      <c r="C2800" s="75" t="s">
        <v>280</v>
      </c>
      <c r="D2800" s="81">
        <v>1272.8</v>
      </c>
      <c r="E2800" s="230">
        <v>44861</v>
      </c>
      <c r="F2800" s="81">
        <v>1272.8</v>
      </c>
      <c r="G2800" s="197">
        <f>Tabla111[[#This Row],[Importe]]-Tabla111[[#This Row],[Pagado]]</f>
        <v>0</v>
      </c>
      <c r="H2800" s="75" t="s">
        <v>10</v>
      </c>
    </row>
    <row r="2801" spans="1:8" x14ac:dyDescent="0.25">
      <c r="A2801" s="148">
        <v>44860</v>
      </c>
      <c r="B2801" s="149" t="s">
        <v>34440</v>
      </c>
      <c r="C2801" s="153" t="s">
        <v>31</v>
      </c>
      <c r="D2801" s="154">
        <v>4370</v>
      </c>
      <c r="E2801" s="231">
        <v>44860</v>
      </c>
      <c r="F2801" s="154">
        <v>4370</v>
      </c>
      <c r="G2801" s="197">
        <f>Tabla111[[#This Row],[Importe]]-Tabla111[[#This Row],[Pagado]]</f>
        <v>0</v>
      </c>
      <c r="H2801" s="153" t="s">
        <v>10</v>
      </c>
    </row>
    <row r="2802" spans="1:8" x14ac:dyDescent="0.25">
      <c r="A2802" s="73">
        <v>44860</v>
      </c>
      <c r="B2802" s="74" t="s">
        <v>34441</v>
      </c>
      <c r="C2802" s="75" t="s">
        <v>15306</v>
      </c>
      <c r="D2802" s="81">
        <v>6217.3</v>
      </c>
      <c r="E2802" s="230">
        <v>44860</v>
      </c>
      <c r="F2802" s="81">
        <v>6217.3</v>
      </c>
      <c r="G2802" s="197">
        <f>Tabla111[[#This Row],[Importe]]-Tabla111[[#This Row],[Pagado]]</f>
        <v>0</v>
      </c>
      <c r="H2802" s="75" t="s">
        <v>10</v>
      </c>
    </row>
    <row r="2803" spans="1:8" x14ac:dyDescent="0.25">
      <c r="A2803" s="148">
        <v>44860</v>
      </c>
      <c r="B2803" s="149" t="s">
        <v>34442</v>
      </c>
      <c r="C2803" s="153" t="s">
        <v>282</v>
      </c>
      <c r="D2803" s="154">
        <v>1998</v>
      </c>
      <c r="E2803" s="231">
        <v>44861</v>
      </c>
      <c r="F2803" s="154">
        <v>1998</v>
      </c>
      <c r="G2803" s="197">
        <f>Tabla111[[#This Row],[Importe]]-Tabla111[[#This Row],[Pagado]]</f>
        <v>0</v>
      </c>
      <c r="H2803" s="153" t="s">
        <v>10</v>
      </c>
    </row>
    <row r="2804" spans="1:8" x14ac:dyDescent="0.25">
      <c r="A2804" s="73">
        <v>44860</v>
      </c>
      <c r="B2804" s="74" t="s">
        <v>34443</v>
      </c>
      <c r="C2804" s="75" t="s">
        <v>10819</v>
      </c>
      <c r="D2804" s="81">
        <v>1990.6</v>
      </c>
      <c r="E2804" s="230">
        <v>44861</v>
      </c>
      <c r="F2804" s="81">
        <v>1990.6</v>
      </c>
      <c r="G2804" s="197">
        <f>Tabla111[[#This Row],[Importe]]-Tabla111[[#This Row],[Pagado]]</f>
        <v>0</v>
      </c>
      <c r="H2804" s="75" t="s">
        <v>10</v>
      </c>
    </row>
    <row r="2805" spans="1:8" x14ac:dyDescent="0.25">
      <c r="A2805" s="148">
        <v>44860</v>
      </c>
      <c r="B2805" s="149" t="s">
        <v>34444</v>
      </c>
      <c r="C2805" s="153" t="s">
        <v>10840</v>
      </c>
      <c r="D2805" s="154">
        <v>11840</v>
      </c>
      <c r="E2805" s="231">
        <v>44865</v>
      </c>
      <c r="F2805" s="154">
        <v>11840</v>
      </c>
      <c r="G2805" s="197">
        <f>Tabla111[[#This Row],[Importe]]-Tabla111[[#This Row],[Pagado]]</f>
        <v>0</v>
      </c>
      <c r="H2805" s="153" t="s">
        <v>10</v>
      </c>
    </row>
    <row r="2806" spans="1:8" x14ac:dyDescent="0.25">
      <c r="A2806" s="73">
        <v>44860</v>
      </c>
      <c r="B2806" s="74" t="s">
        <v>34445</v>
      </c>
      <c r="C2806" s="75" t="s">
        <v>1421</v>
      </c>
      <c r="D2806" s="81">
        <v>67265.600000000006</v>
      </c>
      <c r="E2806" s="230">
        <v>44860</v>
      </c>
      <c r="F2806" s="81">
        <v>67265.600000000006</v>
      </c>
      <c r="G2806" s="197">
        <f>Tabla111[[#This Row],[Importe]]-Tabla111[[#This Row],[Pagado]]</f>
        <v>0</v>
      </c>
      <c r="H2806" s="75" t="s">
        <v>10</v>
      </c>
    </row>
    <row r="2807" spans="1:8" x14ac:dyDescent="0.25">
      <c r="A2807" s="148">
        <v>44860</v>
      </c>
      <c r="B2807" s="149" t="s">
        <v>34446</v>
      </c>
      <c r="C2807" s="153" t="s">
        <v>2377</v>
      </c>
      <c r="D2807" s="154">
        <v>32000.25</v>
      </c>
      <c r="E2807" s="231">
        <v>44860</v>
      </c>
      <c r="F2807" s="154">
        <v>32000.25</v>
      </c>
      <c r="G2807" s="197">
        <f>Tabla111[[#This Row],[Importe]]-Tabla111[[#This Row],[Pagado]]</f>
        <v>0</v>
      </c>
      <c r="H2807" s="153" t="s">
        <v>10</v>
      </c>
    </row>
    <row r="2808" spans="1:8" x14ac:dyDescent="0.25">
      <c r="A2808" s="73">
        <v>44860</v>
      </c>
      <c r="B2808" s="74" t="s">
        <v>34447</v>
      </c>
      <c r="C2808" s="75" t="s">
        <v>31</v>
      </c>
      <c r="D2808" s="81">
        <v>2824</v>
      </c>
      <c r="E2808" s="230">
        <v>44860</v>
      </c>
      <c r="F2808" s="81">
        <v>2824</v>
      </c>
      <c r="G2808" s="197">
        <f>Tabla111[[#This Row],[Importe]]-Tabla111[[#This Row],[Pagado]]</f>
        <v>0</v>
      </c>
      <c r="H2808" s="75" t="s">
        <v>10</v>
      </c>
    </row>
    <row r="2809" spans="1:8" x14ac:dyDescent="0.25">
      <c r="A2809" s="148">
        <v>44860</v>
      </c>
      <c r="B2809" s="149" t="s">
        <v>34448</v>
      </c>
      <c r="C2809" s="153" t="s">
        <v>14944</v>
      </c>
      <c r="D2809" s="154">
        <v>1432.6</v>
      </c>
      <c r="E2809" s="231">
        <v>44860</v>
      </c>
      <c r="F2809" s="154">
        <v>1432.6</v>
      </c>
      <c r="G2809" s="197">
        <f>Tabla111[[#This Row],[Importe]]-Tabla111[[#This Row],[Pagado]]</f>
        <v>0</v>
      </c>
      <c r="H2809" s="153" t="s">
        <v>10</v>
      </c>
    </row>
    <row r="2810" spans="1:8" x14ac:dyDescent="0.25">
      <c r="A2810" s="73">
        <v>44860</v>
      </c>
      <c r="B2810" s="74" t="s">
        <v>34449</v>
      </c>
      <c r="C2810" s="75" t="s">
        <v>1339</v>
      </c>
      <c r="D2810" s="81">
        <v>5196.8999999999996</v>
      </c>
      <c r="E2810" s="230">
        <v>44860</v>
      </c>
      <c r="F2810" s="81">
        <v>5196.8999999999996</v>
      </c>
      <c r="G2810" s="197">
        <f>Tabla111[[#This Row],[Importe]]-Tabla111[[#This Row],[Pagado]]</f>
        <v>0</v>
      </c>
      <c r="H2810" s="75" t="s">
        <v>10</v>
      </c>
    </row>
    <row r="2811" spans="1:8" x14ac:dyDescent="0.25">
      <c r="A2811" s="148">
        <v>44860</v>
      </c>
      <c r="B2811" s="149" t="s">
        <v>34450</v>
      </c>
      <c r="C2811" s="153" t="s">
        <v>1237</v>
      </c>
      <c r="D2811" s="154">
        <v>53494.5</v>
      </c>
      <c r="E2811" s="231">
        <v>44861</v>
      </c>
      <c r="F2811" s="154">
        <v>53494.5</v>
      </c>
      <c r="G2811" s="197">
        <f>Tabla111[[#This Row],[Importe]]-Tabla111[[#This Row],[Pagado]]</f>
        <v>0</v>
      </c>
      <c r="H2811" s="153" t="s">
        <v>10</v>
      </c>
    </row>
    <row r="2812" spans="1:8" x14ac:dyDescent="0.25">
      <c r="A2812" s="73">
        <v>44860</v>
      </c>
      <c r="B2812" s="74" t="s">
        <v>34451</v>
      </c>
      <c r="C2812" s="75" t="s">
        <v>53</v>
      </c>
      <c r="D2812" s="81">
        <v>2910.1</v>
      </c>
      <c r="E2812" s="230">
        <v>44860</v>
      </c>
      <c r="F2812" s="81">
        <v>2910.1</v>
      </c>
      <c r="G2812" s="197">
        <f>Tabla111[[#This Row],[Importe]]-Tabla111[[#This Row],[Pagado]]</f>
        <v>0</v>
      </c>
      <c r="H2812" s="75" t="s">
        <v>10</v>
      </c>
    </row>
    <row r="2813" spans="1:8" x14ac:dyDescent="0.25">
      <c r="A2813" s="148">
        <v>44860</v>
      </c>
      <c r="B2813" s="149" t="s">
        <v>34452</v>
      </c>
      <c r="C2813" s="153" t="s">
        <v>261</v>
      </c>
      <c r="D2813" s="154">
        <v>51761.7</v>
      </c>
      <c r="E2813" s="231">
        <v>44861</v>
      </c>
      <c r="F2813" s="154">
        <v>51761.7</v>
      </c>
      <c r="G2813" s="197">
        <f>Tabla111[[#This Row],[Importe]]-Tabla111[[#This Row],[Pagado]]</f>
        <v>0</v>
      </c>
      <c r="H2813" s="153" t="s">
        <v>10</v>
      </c>
    </row>
    <row r="2814" spans="1:8" x14ac:dyDescent="0.25">
      <c r="A2814" s="73">
        <v>44860</v>
      </c>
      <c r="B2814" s="74" t="s">
        <v>34453</v>
      </c>
      <c r="C2814" s="75" t="s">
        <v>296</v>
      </c>
      <c r="D2814" s="81">
        <v>1184</v>
      </c>
      <c r="E2814" s="230">
        <v>44860</v>
      </c>
      <c r="F2814" s="81">
        <v>1184</v>
      </c>
      <c r="G2814" s="197">
        <f>Tabla111[[#This Row],[Importe]]-Tabla111[[#This Row],[Pagado]]</f>
        <v>0</v>
      </c>
      <c r="H2814" s="75" t="s">
        <v>10</v>
      </c>
    </row>
    <row r="2815" spans="1:8" x14ac:dyDescent="0.25">
      <c r="A2815" s="148">
        <v>44860</v>
      </c>
      <c r="B2815" s="149" t="s">
        <v>34454</v>
      </c>
      <c r="C2815" s="153" t="s">
        <v>31</v>
      </c>
      <c r="D2815" s="154">
        <v>85</v>
      </c>
      <c r="E2815" s="231">
        <v>44860</v>
      </c>
      <c r="F2815" s="154">
        <v>85</v>
      </c>
      <c r="G2815" s="197">
        <f>Tabla111[[#This Row],[Importe]]-Tabla111[[#This Row],[Pagado]]</f>
        <v>0</v>
      </c>
      <c r="H2815" s="153" t="s">
        <v>10</v>
      </c>
    </row>
    <row r="2816" spans="1:8" x14ac:dyDescent="0.25">
      <c r="A2816" s="73">
        <v>44860</v>
      </c>
      <c r="B2816" s="74" t="s">
        <v>34455</v>
      </c>
      <c r="C2816" s="75" t="s">
        <v>610</v>
      </c>
      <c r="D2816" s="81">
        <v>24798</v>
      </c>
      <c r="E2816" s="230">
        <v>44860</v>
      </c>
      <c r="F2816" s="81">
        <v>24798</v>
      </c>
      <c r="G2816" s="197">
        <f>Tabla111[[#This Row],[Importe]]-Tabla111[[#This Row],[Pagado]]</f>
        <v>0</v>
      </c>
      <c r="H2816" s="75" t="s">
        <v>10</v>
      </c>
    </row>
    <row r="2817" spans="1:8" x14ac:dyDescent="0.25">
      <c r="A2817" s="148">
        <v>44861</v>
      </c>
      <c r="B2817" s="149" t="s">
        <v>34456</v>
      </c>
      <c r="C2817" s="153" t="s">
        <v>887</v>
      </c>
      <c r="D2817" s="154">
        <v>15651.2</v>
      </c>
      <c r="E2817" s="231">
        <v>44862</v>
      </c>
      <c r="F2817" s="154">
        <v>15651.2</v>
      </c>
      <c r="G2817" s="197">
        <f>Tabla111[[#This Row],[Importe]]-Tabla111[[#This Row],[Pagado]]</f>
        <v>0</v>
      </c>
      <c r="H2817" s="153" t="s">
        <v>10</v>
      </c>
    </row>
    <row r="2818" spans="1:8" x14ac:dyDescent="0.25">
      <c r="A2818" s="73">
        <v>44861</v>
      </c>
      <c r="B2818" s="74" t="s">
        <v>34457</v>
      </c>
      <c r="C2818" s="75" t="s">
        <v>475</v>
      </c>
      <c r="D2818" s="81">
        <v>73832.5</v>
      </c>
      <c r="E2818" s="230" t="s">
        <v>34458</v>
      </c>
      <c r="F2818" s="81">
        <f>72832.5+1000</f>
        <v>73832.5</v>
      </c>
      <c r="G2818" s="197">
        <f>Tabla111[[#This Row],[Importe]]-Tabla111[[#This Row],[Pagado]]</f>
        <v>0</v>
      </c>
      <c r="H2818" s="75" t="s">
        <v>10</v>
      </c>
    </row>
    <row r="2819" spans="1:8" x14ac:dyDescent="0.25">
      <c r="A2819" s="148">
        <v>44861</v>
      </c>
      <c r="B2819" s="149" t="s">
        <v>34459</v>
      </c>
      <c r="C2819" s="153" t="s">
        <v>12</v>
      </c>
      <c r="D2819" s="154">
        <v>36613.050000000003</v>
      </c>
      <c r="E2819" s="231">
        <v>44861</v>
      </c>
      <c r="F2819" s="154">
        <v>36613.050000000003</v>
      </c>
      <c r="G2819" s="197">
        <f>Tabla111[[#This Row],[Importe]]-Tabla111[[#This Row],[Pagado]]</f>
        <v>0</v>
      </c>
      <c r="H2819" s="153" t="s">
        <v>10</v>
      </c>
    </row>
    <row r="2820" spans="1:8" x14ac:dyDescent="0.25">
      <c r="A2820" s="73">
        <v>44861</v>
      </c>
      <c r="B2820" s="74" t="s">
        <v>34460</v>
      </c>
      <c r="C2820" s="75" t="s">
        <v>1187</v>
      </c>
      <c r="D2820" s="81">
        <v>2145</v>
      </c>
      <c r="E2820" s="230">
        <v>44861</v>
      </c>
      <c r="F2820" s="81">
        <v>2145</v>
      </c>
      <c r="G2820" s="197">
        <f>Tabla111[[#This Row],[Importe]]-Tabla111[[#This Row],[Pagado]]</f>
        <v>0</v>
      </c>
      <c r="H2820" s="75" t="s">
        <v>10</v>
      </c>
    </row>
    <row r="2821" spans="1:8" x14ac:dyDescent="0.25">
      <c r="A2821" s="148">
        <v>44861</v>
      </c>
      <c r="B2821" s="149" t="s">
        <v>34461</v>
      </c>
      <c r="C2821" s="153" t="s">
        <v>109</v>
      </c>
      <c r="D2821" s="154">
        <v>5479.5</v>
      </c>
      <c r="E2821" s="231">
        <v>44862</v>
      </c>
      <c r="F2821" s="154">
        <v>5479.5</v>
      </c>
      <c r="G2821" s="197">
        <f>Tabla111[[#This Row],[Importe]]-Tabla111[[#This Row],[Pagado]]</f>
        <v>0</v>
      </c>
      <c r="H2821" s="153" t="s">
        <v>10</v>
      </c>
    </row>
    <row r="2822" spans="1:8" x14ac:dyDescent="0.25">
      <c r="A2822" s="73">
        <v>44861</v>
      </c>
      <c r="B2822" s="74" t="s">
        <v>34462</v>
      </c>
      <c r="C2822" s="75" t="s">
        <v>60</v>
      </c>
      <c r="D2822" s="81">
        <v>5642</v>
      </c>
      <c r="E2822" s="230">
        <v>44863</v>
      </c>
      <c r="F2822" s="81">
        <v>5642</v>
      </c>
      <c r="G2822" s="197">
        <f>Tabla111[[#This Row],[Importe]]-Tabla111[[#This Row],[Pagado]]</f>
        <v>0</v>
      </c>
      <c r="H2822" s="75" t="s">
        <v>10</v>
      </c>
    </row>
    <row r="2823" spans="1:8" x14ac:dyDescent="0.25">
      <c r="A2823" s="148">
        <v>44861</v>
      </c>
      <c r="B2823" s="149" t="s">
        <v>34463</v>
      </c>
      <c r="C2823" s="153" t="s">
        <v>64</v>
      </c>
      <c r="D2823" s="154">
        <v>4628</v>
      </c>
      <c r="E2823" s="231">
        <v>44862</v>
      </c>
      <c r="F2823" s="154">
        <v>4628</v>
      </c>
      <c r="G2823" s="197">
        <f>Tabla111[[#This Row],[Importe]]-Tabla111[[#This Row],[Pagado]]</f>
        <v>0</v>
      </c>
      <c r="H2823" s="153" t="s">
        <v>10</v>
      </c>
    </row>
    <row r="2824" spans="1:8" x14ac:dyDescent="0.25">
      <c r="A2824" s="73">
        <v>44861</v>
      </c>
      <c r="B2824" s="74" t="s">
        <v>34464</v>
      </c>
      <c r="C2824" s="75" t="s">
        <v>114</v>
      </c>
      <c r="D2824" s="81">
        <v>5681</v>
      </c>
      <c r="E2824" s="230">
        <v>44863</v>
      </c>
      <c r="F2824" s="81">
        <v>5681</v>
      </c>
      <c r="G2824" s="197">
        <f>Tabla111[[#This Row],[Importe]]-Tabla111[[#This Row],[Pagado]]</f>
        <v>0</v>
      </c>
      <c r="H2824" s="75" t="s">
        <v>10</v>
      </c>
    </row>
    <row r="2825" spans="1:8" x14ac:dyDescent="0.25">
      <c r="A2825" s="148">
        <v>44861</v>
      </c>
      <c r="B2825" s="149" t="s">
        <v>34465</v>
      </c>
      <c r="C2825" s="153" t="s">
        <v>348</v>
      </c>
      <c r="D2825" s="154">
        <v>8266.4</v>
      </c>
      <c r="E2825" s="231">
        <v>44861</v>
      </c>
      <c r="F2825" s="154">
        <v>8266.4</v>
      </c>
      <c r="G2825" s="197">
        <f>Tabla111[[#This Row],[Importe]]-Tabla111[[#This Row],[Pagado]]</f>
        <v>0</v>
      </c>
      <c r="H2825" s="153" t="s">
        <v>10</v>
      </c>
    </row>
    <row r="2826" spans="1:8" x14ac:dyDescent="0.25">
      <c r="A2826" s="73">
        <v>44861</v>
      </c>
      <c r="B2826" s="74" t="s">
        <v>34466</v>
      </c>
      <c r="C2826" s="75" t="s">
        <v>95</v>
      </c>
      <c r="D2826" s="81">
        <v>29122.2</v>
      </c>
      <c r="E2826" s="230">
        <v>44861</v>
      </c>
      <c r="F2826" s="81">
        <v>29122.2</v>
      </c>
      <c r="G2826" s="197">
        <f>Tabla111[[#This Row],[Importe]]-Tabla111[[#This Row],[Pagado]]</f>
        <v>0</v>
      </c>
      <c r="H2826" s="75" t="s">
        <v>10</v>
      </c>
    </row>
    <row r="2827" spans="1:8" x14ac:dyDescent="0.25">
      <c r="A2827" s="148">
        <v>44861</v>
      </c>
      <c r="B2827" s="149" t="s">
        <v>34467</v>
      </c>
      <c r="C2827" s="153" t="s">
        <v>105</v>
      </c>
      <c r="D2827" s="154">
        <v>8780.9</v>
      </c>
      <c r="E2827" s="231">
        <v>44862</v>
      </c>
      <c r="F2827" s="154">
        <v>8780.9</v>
      </c>
      <c r="G2827" s="197">
        <f>Tabla111[[#This Row],[Importe]]-Tabla111[[#This Row],[Pagado]]</f>
        <v>0</v>
      </c>
      <c r="H2827" s="153" t="s">
        <v>10</v>
      </c>
    </row>
    <row r="2828" spans="1:8" x14ac:dyDescent="0.25">
      <c r="A2828" s="73">
        <v>44861</v>
      </c>
      <c r="B2828" s="74" t="s">
        <v>34468</v>
      </c>
      <c r="C2828" s="75" t="s">
        <v>111</v>
      </c>
      <c r="D2828" s="81">
        <v>1500.4</v>
      </c>
      <c r="E2828" s="230">
        <v>44862</v>
      </c>
      <c r="F2828" s="81">
        <v>1500.4</v>
      </c>
      <c r="G2828" s="197">
        <f>Tabla111[[#This Row],[Importe]]-Tabla111[[#This Row],[Pagado]]</f>
        <v>0</v>
      </c>
      <c r="H2828" s="75" t="s">
        <v>10</v>
      </c>
    </row>
    <row r="2829" spans="1:8" x14ac:dyDescent="0.25">
      <c r="A2829" s="148">
        <v>44861</v>
      </c>
      <c r="B2829" s="149" t="s">
        <v>34469</v>
      </c>
      <c r="C2829" s="153" t="s">
        <v>2151</v>
      </c>
      <c r="D2829" s="154">
        <v>22059.9</v>
      </c>
      <c r="E2829" s="231">
        <v>44861</v>
      </c>
      <c r="F2829" s="154">
        <v>22059.9</v>
      </c>
      <c r="G2829" s="197">
        <f>Tabla111[[#This Row],[Importe]]-Tabla111[[#This Row],[Pagado]]</f>
        <v>0</v>
      </c>
      <c r="H2829" s="153" t="s">
        <v>10</v>
      </c>
    </row>
    <row r="2830" spans="1:8" x14ac:dyDescent="0.25">
      <c r="A2830" s="73">
        <v>44861</v>
      </c>
      <c r="B2830" s="74" t="s">
        <v>34470</v>
      </c>
      <c r="C2830" s="75" t="s">
        <v>89</v>
      </c>
      <c r="D2830" s="81">
        <v>11761.4</v>
      </c>
      <c r="E2830" s="230">
        <v>44862</v>
      </c>
      <c r="F2830" s="81">
        <v>11761.4</v>
      </c>
      <c r="G2830" s="197">
        <f>Tabla111[[#This Row],[Importe]]-Tabla111[[#This Row],[Pagado]]</f>
        <v>0</v>
      </c>
      <c r="H2830" s="75" t="s">
        <v>10</v>
      </c>
    </row>
    <row r="2831" spans="1:8" x14ac:dyDescent="0.25">
      <c r="A2831" s="148">
        <v>44861</v>
      </c>
      <c r="B2831" s="149" t="s">
        <v>34471</v>
      </c>
      <c r="C2831" s="153" t="s">
        <v>481</v>
      </c>
      <c r="D2831" s="154">
        <v>684</v>
      </c>
      <c r="E2831" s="231">
        <v>44861</v>
      </c>
      <c r="F2831" s="154">
        <v>684</v>
      </c>
      <c r="G2831" s="197">
        <f>Tabla111[[#This Row],[Importe]]-Tabla111[[#This Row],[Pagado]]</f>
        <v>0</v>
      </c>
      <c r="H2831" s="153" t="s">
        <v>10</v>
      </c>
    </row>
    <row r="2832" spans="1:8" x14ac:dyDescent="0.25">
      <c r="A2832" s="73">
        <v>44861</v>
      </c>
      <c r="B2832" s="74" t="s">
        <v>34472</v>
      </c>
      <c r="C2832" s="75" t="s">
        <v>83</v>
      </c>
      <c r="D2832" s="81">
        <v>9416.2999999999993</v>
      </c>
      <c r="E2832" s="230">
        <v>44861</v>
      </c>
      <c r="F2832" s="81">
        <v>9416.2999999999993</v>
      </c>
      <c r="G2832" s="197">
        <f>Tabla111[[#This Row],[Importe]]-Tabla111[[#This Row],[Pagado]]</f>
        <v>0</v>
      </c>
      <c r="H2832" s="75" t="s">
        <v>10</v>
      </c>
    </row>
    <row r="2833" spans="1:8" x14ac:dyDescent="0.25">
      <c r="A2833" s="148">
        <v>44861</v>
      </c>
      <c r="B2833" s="149" t="s">
        <v>34473</v>
      </c>
      <c r="C2833" s="153" t="s">
        <v>87</v>
      </c>
      <c r="D2833" s="154">
        <v>3017.4</v>
      </c>
      <c r="E2833" s="231">
        <v>44861</v>
      </c>
      <c r="F2833" s="154">
        <v>3017.4</v>
      </c>
      <c r="G2833" s="197">
        <f>Tabla111[[#This Row],[Importe]]-Tabla111[[#This Row],[Pagado]]</f>
        <v>0</v>
      </c>
      <c r="H2833" s="153" t="s">
        <v>10</v>
      </c>
    </row>
    <row r="2834" spans="1:8" x14ac:dyDescent="0.25">
      <c r="A2834" s="73">
        <v>44861</v>
      </c>
      <c r="B2834" s="74" t="s">
        <v>34474</v>
      </c>
      <c r="C2834" s="75" t="s">
        <v>22</v>
      </c>
      <c r="D2834" s="81">
        <v>38478.1</v>
      </c>
      <c r="E2834" s="230">
        <v>44862</v>
      </c>
      <c r="F2834" s="81">
        <v>38478.1</v>
      </c>
      <c r="G2834" s="197">
        <f>Tabla111[[#This Row],[Importe]]-Tabla111[[#This Row],[Pagado]]</f>
        <v>0</v>
      </c>
      <c r="H2834" s="75" t="s">
        <v>10</v>
      </c>
    </row>
    <row r="2835" spans="1:8" x14ac:dyDescent="0.25">
      <c r="A2835" s="148">
        <v>44861</v>
      </c>
      <c r="B2835" s="149" t="s">
        <v>34475</v>
      </c>
      <c r="C2835" s="153" t="s">
        <v>22</v>
      </c>
      <c r="D2835" s="154">
        <v>4829.2</v>
      </c>
      <c r="E2835" s="231">
        <v>44862</v>
      </c>
      <c r="F2835" s="154">
        <v>4829.2</v>
      </c>
      <c r="G2835" s="197">
        <f>Tabla111[[#This Row],[Importe]]-Tabla111[[#This Row],[Pagado]]</f>
        <v>0</v>
      </c>
      <c r="H2835" s="153" t="s">
        <v>10</v>
      </c>
    </row>
    <row r="2836" spans="1:8" x14ac:dyDescent="0.25">
      <c r="A2836" s="73">
        <v>44861</v>
      </c>
      <c r="B2836" s="74" t="s">
        <v>34476</v>
      </c>
      <c r="C2836" s="75" t="s">
        <v>97</v>
      </c>
      <c r="D2836" s="81">
        <v>5239.3999999999996</v>
      </c>
      <c r="E2836" s="230">
        <v>44862</v>
      </c>
      <c r="F2836" s="81">
        <v>5239.3999999999996</v>
      </c>
      <c r="G2836" s="197">
        <f>Tabla111[[#This Row],[Importe]]-Tabla111[[#This Row],[Pagado]]</f>
        <v>0</v>
      </c>
      <c r="H2836" s="75" t="s">
        <v>10</v>
      </c>
    </row>
    <row r="2837" spans="1:8" x14ac:dyDescent="0.25">
      <c r="A2837" s="148">
        <v>44861</v>
      </c>
      <c r="B2837" s="149" t="s">
        <v>34477</v>
      </c>
      <c r="C2837" s="153" t="s">
        <v>99</v>
      </c>
      <c r="D2837" s="154">
        <v>5466.5</v>
      </c>
      <c r="E2837" s="231">
        <v>44862</v>
      </c>
      <c r="F2837" s="154">
        <v>5466.5</v>
      </c>
      <c r="G2837" s="197">
        <f>Tabla111[[#This Row],[Importe]]-Tabla111[[#This Row],[Pagado]]</f>
        <v>0</v>
      </c>
      <c r="H2837" s="153" t="s">
        <v>10</v>
      </c>
    </row>
    <row r="2838" spans="1:8" x14ac:dyDescent="0.25">
      <c r="A2838" s="73">
        <v>44861</v>
      </c>
      <c r="B2838" s="74" t="s">
        <v>34478</v>
      </c>
      <c r="C2838" s="75" t="s">
        <v>9</v>
      </c>
      <c r="D2838" s="81">
        <v>8976.2999999999993</v>
      </c>
      <c r="E2838" s="230">
        <v>44861</v>
      </c>
      <c r="F2838" s="81">
        <v>8976.2999999999993</v>
      </c>
      <c r="G2838" s="197">
        <f>Tabla111[[#This Row],[Importe]]-Tabla111[[#This Row],[Pagado]]</f>
        <v>0</v>
      </c>
      <c r="H2838" s="75" t="s">
        <v>10</v>
      </c>
    </row>
    <row r="2839" spans="1:8" x14ac:dyDescent="0.25">
      <c r="A2839" s="148">
        <v>44861</v>
      </c>
      <c r="B2839" s="149" t="s">
        <v>34479</v>
      </c>
      <c r="C2839" s="153" t="s">
        <v>97</v>
      </c>
      <c r="D2839" s="154">
        <v>2800.8</v>
      </c>
      <c r="E2839" s="231">
        <v>44862</v>
      </c>
      <c r="F2839" s="154">
        <v>2800.8</v>
      </c>
      <c r="G2839" s="197">
        <f>Tabla111[[#This Row],[Importe]]-Tabla111[[#This Row],[Pagado]]</f>
        <v>0</v>
      </c>
      <c r="H2839" s="153" t="s">
        <v>10</v>
      </c>
    </row>
    <row r="2840" spans="1:8" x14ac:dyDescent="0.25">
      <c r="A2840" s="73">
        <v>44861</v>
      </c>
      <c r="B2840" s="74" t="s">
        <v>34480</v>
      </c>
      <c r="C2840" s="75" t="s">
        <v>131</v>
      </c>
      <c r="D2840" s="81">
        <v>4632.3999999999996</v>
      </c>
      <c r="E2840" s="230">
        <v>44861</v>
      </c>
      <c r="F2840" s="81">
        <v>4632.3999999999996</v>
      </c>
      <c r="G2840" s="197">
        <f>Tabla111[[#This Row],[Importe]]-Tabla111[[#This Row],[Pagado]]</f>
        <v>0</v>
      </c>
      <c r="H2840" s="75" t="s">
        <v>10</v>
      </c>
    </row>
    <row r="2841" spans="1:8" x14ac:dyDescent="0.25">
      <c r="A2841" s="148">
        <v>44861</v>
      </c>
      <c r="B2841" s="149" t="s">
        <v>34481</v>
      </c>
      <c r="C2841" s="153" t="s">
        <v>53</v>
      </c>
      <c r="D2841" s="154">
        <v>1968.4</v>
      </c>
      <c r="E2841" s="231">
        <v>44861</v>
      </c>
      <c r="F2841" s="154">
        <v>1968.4</v>
      </c>
      <c r="G2841" s="197">
        <f>Tabla111[[#This Row],[Importe]]-Tabla111[[#This Row],[Pagado]]</f>
        <v>0</v>
      </c>
      <c r="H2841" s="153" t="s">
        <v>10</v>
      </c>
    </row>
    <row r="2842" spans="1:8" x14ac:dyDescent="0.25">
      <c r="A2842" s="73">
        <v>44861</v>
      </c>
      <c r="B2842" s="74" t="s">
        <v>34482</v>
      </c>
      <c r="C2842" s="75" t="s">
        <v>382</v>
      </c>
      <c r="D2842" s="81">
        <v>4230</v>
      </c>
      <c r="E2842" s="230">
        <v>44861</v>
      </c>
      <c r="F2842" s="81">
        <v>4230</v>
      </c>
      <c r="G2842" s="197">
        <f>Tabla111[[#This Row],[Importe]]-Tabla111[[#This Row],[Pagado]]</f>
        <v>0</v>
      </c>
      <c r="H2842" s="75" t="s">
        <v>10</v>
      </c>
    </row>
    <row r="2843" spans="1:8" x14ac:dyDescent="0.25">
      <c r="A2843" s="148">
        <v>44861</v>
      </c>
      <c r="B2843" s="149" t="s">
        <v>34483</v>
      </c>
      <c r="C2843" s="153" t="s">
        <v>647</v>
      </c>
      <c r="D2843" s="154">
        <v>6554.4</v>
      </c>
      <c r="E2843" s="231">
        <v>44861</v>
      </c>
      <c r="F2843" s="154">
        <v>6554.4</v>
      </c>
      <c r="G2843" s="197">
        <f>Tabla111[[#This Row],[Importe]]-Tabla111[[#This Row],[Pagado]]</f>
        <v>0</v>
      </c>
      <c r="H2843" s="153" t="s">
        <v>10</v>
      </c>
    </row>
    <row r="2844" spans="1:8" x14ac:dyDescent="0.25">
      <c r="A2844" s="73">
        <v>44861</v>
      </c>
      <c r="B2844" s="74" t="s">
        <v>34484</v>
      </c>
      <c r="C2844" s="75" t="s">
        <v>107</v>
      </c>
      <c r="D2844" s="81">
        <v>10744.4</v>
      </c>
      <c r="E2844" s="230">
        <v>44861</v>
      </c>
      <c r="F2844" s="81">
        <v>10744.4</v>
      </c>
      <c r="G2844" s="197">
        <f>Tabla111[[#This Row],[Importe]]-Tabla111[[#This Row],[Pagado]]</f>
        <v>0</v>
      </c>
      <c r="H2844" s="75" t="s">
        <v>10</v>
      </c>
    </row>
    <row r="2845" spans="1:8" x14ac:dyDescent="0.25">
      <c r="A2845" s="148">
        <v>44861</v>
      </c>
      <c r="B2845" s="149" t="s">
        <v>34485</v>
      </c>
      <c r="C2845" s="153" t="s">
        <v>31</v>
      </c>
      <c r="D2845" s="154">
        <v>11432.5</v>
      </c>
      <c r="E2845" s="231">
        <v>44861</v>
      </c>
      <c r="F2845" s="154">
        <v>11432.5</v>
      </c>
      <c r="G2845" s="197">
        <f>Tabla111[[#This Row],[Importe]]-Tabla111[[#This Row],[Pagado]]</f>
        <v>0</v>
      </c>
      <c r="H2845" s="153" t="s">
        <v>10</v>
      </c>
    </row>
    <row r="2846" spans="1:8" x14ac:dyDescent="0.25">
      <c r="A2846" s="73">
        <v>44861</v>
      </c>
      <c r="B2846" s="74" t="s">
        <v>34486</v>
      </c>
      <c r="C2846" s="75" t="s">
        <v>151</v>
      </c>
      <c r="D2846" s="81">
        <v>21069.8</v>
      </c>
      <c r="E2846" s="230">
        <v>44861</v>
      </c>
      <c r="F2846" s="81">
        <v>21069.8</v>
      </c>
      <c r="G2846" s="197">
        <f>Tabla111[[#This Row],[Importe]]-Tabla111[[#This Row],[Pagado]]</f>
        <v>0</v>
      </c>
      <c r="H2846" s="75" t="s">
        <v>10</v>
      </c>
    </row>
    <row r="2847" spans="1:8" x14ac:dyDescent="0.25">
      <c r="A2847" s="148">
        <v>44861</v>
      </c>
      <c r="B2847" s="149" t="s">
        <v>34487</v>
      </c>
      <c r="C2847" s="153" t="s">
        <v>16</v>
      </c>
      <c r="D2847" s="154">
        <v>3254.5</v>
      </c>
      <c r="E2847" s="231">
        <v>44861</v>
      </c>
      <c r="F2847" s="154">
        <v>3254.5</v>
      </c>
      <c r="G2847" s="197">
        <f>Tabla111[[#This Row],[Importe]]-Tabla111[[#This Row],[Pagado]]</f>
        <v>0</v>
      </c>
      <c r="H2847" s="153" t="s">
        <v>10</v>
      </c>
    </row>
    <row r="2848" spans="1:8" x14ac:dyDescent="0.25">
      <c r="A2848" s="73">
        <v>44861</v>
      </c>
      <c r="B2848" s="74" t="s">
        <v>34488</v>
      </c>
      <c r="C2848" s="75" t="s">
        <v>31</v>
      </c>
      <c r="D2848" s="81">
        <v>668.8</v>
      </c>
      <c r="E2848" s="230">
        <v>44861</v>
      </c>
      <c r="F2848" s="81">
        <v>668.8</v>
      </c>
      <c r="G2848" s="197">
        <f>Tabla111[[#This Row],[Importe]]-Tabla111[[#This Row],[Pagado]]</f>
        <v>0</v>
      </c>
      <c r="H2848" s="75" t="s">
        <v>10</v>
      </c>
    </row>
    <row r="2849" spans="1:8" x14ac:dyDescent="0.25">
      <c r="A2849" s="148">
        <v>44861</v>
      </c>
      <c r="B2849" s="149" t="s">
        <v>34489</v>
      </c>
      <c r="C2849" s="153" t="s">
        <v>520</v>
      </c>
      <c r="D2849" s="154">
        <v>4974.6000000000004</v>
      </c>
      <c r="E2849" s="231">
        <v>44861</v>
      </c>
      <c r="F2849" s="154">
        <v>4974.6000000000004</v>
      </c>
      <c r="G2849" s="197">
        <f>Tabla111[[#This Row],[Importe]]-Tabla111[[#This Row],[Pagado]]</f>
        <v>0</v>
      </c>
      <c r="H2849" s="153" t="s">
        <v>10</v>
      </c>
    </row>
    <row r="2850" spans="1:8" x14ac:dyDescent="0.25">
      <c r="A2850" s="73">
        <v>44861</v>
      </c>
      <c r="B2850" s="74" t="s">
        <v>34490</v>
      </c>
      <c r="C2850" s="75" t="s">
        <v>319</v>
      </c>
      <c r="D2850" s="81">
        <v>7926.4</v>
      </c>
      <c r="E2850" s="230">
        <v>44861</v>
      </c>
      <c r="F2850" s="81">
        <v>7926.4</v>
      </c>
      <c r="G2850" s="197">
        <f>Tabla111[[#This Row],[Importe]]-Tabla111[[#This Row],[Pagado]]</f>
        <v>0</v>
      </c>
      <c r="H2850" s="75" t="s">
        <v>10</v>
      </c>
    </row>
    <row r="2851" spans="1:8" x14ac:dyDescent="0.25">
      <c r="A2851" s="148">
        <v>44861</v>
      </c>
      <c r="B2851" s="149" t="s">
        <v>34491</v>
      </c>
      <c r="C2851" s="153" t="s">
        <v>157</v>
      </c>
      <c r="D2851" s="154">
        <v>7991.8</v>
      </c>
      <c r="E2851" s="231">
        <v>44861</v>
      </c>
      <c r="F2851" s="154">
        <v>7991.8</v>
      </c>
      <c r="G2851" s="197">
        <f>Tabla111[[#This Row],[Importe]]-Tabla111[[#This Row],[Pagado]]</f>
        <v>0</v>
      </c>
      <c r="H2851" s="153" t="s">
        <v>10</v>
      </c>
    </row>
    <row r="2852" spans="1:8" x14ac:dyDescent="0.25">
      <c r="A2852" s="73">
        <v>44861</v>
      </c>
      <c r="B2852" s="74" t="s">
        <v>34492</v>
      </c>
      <c r="C2852" s="75" t="s">
        <v>966</v>
      </c>
      <c r="D2852" s="81">
        <v>4092</v>
      </c>
      <c r="E2852" s="230">
        <v>44861</v>
      </c>
      <c r="F2852" s="81">
        <v>4092</v>
      </c>
      <c r="G2852" s="197">
        <f>Tabla111[[#This Row],[Importe]]-Tabla111[[#This Row],[Pagado]]</f>
        <v>0</v>
      </c>
      <c r="H2852" s="75" t="s">
        <v>10</v>
      </c>
    </row>
    <row r="2853" spans="1:8" x14ac:dyDescent="0.25">
      <c r="A2853" s="148">
        <v>44861</v>
      </c>
      <c r="B2853" s="149" t="s">
        <v>34493</v>
      </c>
      <c r="C2853" s="153" t="s">
        <v>222</v>
      </c>
      <c r="D2853" s="154">
        <v>11417.5</v>
      </c>
      <c r="E2853" s="231">
        <v>44861</v>
      </c>
      <c r="F2853" s="154">
        <v>11417.5</v>
      </c>
      <c r="G2853" s="197">
        <f>Tabla111[[#This Row],[Importe]]-Tabla111[[#This Row],[Pagado]]</f>
        <v>0</v>
      </c>
      <c r="H2853" s="153" t="s">
        <v>10</v>
      </c>
    </row>
    <row r="2854" spans="1:8" x14ac:dyDescent="0.25">
      <c r="A2854" s="73">
        <v>44861</v>
      </c>
      <c r="B2854" s="74" t="s">
        <v>34494</v>
      </c>
      <c r="C2854" s="75" t="s">
        <v>146</v>
      </c>
      <c r="D2854" s="81">
        <v>5322.2</v>
      </c>
      <c r="E2854" s="230">
        <v>44861</v>
      </c>
      <c r="F2854" s="81">
        <v>5322.2</v>
      </c>
      <c r="G2854" s="197">
        <f>Tabla111[[#This Row],[Importe]]-Tabla111[[#This Row],[Pagado]]</f>
        <v>0</v>
      </c>
      <c r="H2854" s="75" t="s">
        <v>10</v>
      </c>
    </row>
    <row r="2855" spans="1:8" x14ac:dyDescent="0.25">
      <c r="A2855" s="148">
        <v>44861</v>
      </c>
      <c r="B2855" s="149" t="s">
        <v>34495</v>
      </c>
      <c r="C2855" s="153" t="s">
        <v>159</v>
      </c>
      <c r="D2855" s="154">
        <v>2275.4</v>
      </c>
      <c r="E2855" s="231">
        <v>44861</v>
      </c>
      <c r="F2855" s="154">
        <v>2275.4</v>
      </c>
      <c r="G2855" s="197">
        <f>Tabla111[[#This Row],[Importe]]-Tabla111[[#This Row],[Pagado]]</f>
        <v>0</v>
      </c>
      <c r="H2855" s="153" t="s">
        <v>10</v>
      </c>
    </row>
    <row r="2856" spans="1:8" x14ac:dyDescent="0.25">
      <c r="A2856" s="73">
        <v>44861</v>
      </c>
      <c r="B2856" s="74" t="s">
        <v>34496</v>
      </c>
      <c r="C2856" s="75" t="s">
        <v>333</v>
      </c>
      <c r="D2856" s="81">
        <v>1238.26</v>
      </c>
      <c r="E2856" s="230">
        <v>44861</v>
      </c>
      <c r="F2856" s="81">
        <v>1238.26</v>
      </c>
      <c r="G2856" s="197">
        <f>Tabla111[[#This Row],[Importe]]-Tabla111[[#This Row],[Pagado]]</f>
        <v>0</v>
      </c>
      <c r="H2856" s="75" t="s">
        <v>10</v>
      </c>
    </row>
    <row r="2857" spans="1:8" x14ac:dyDescent="0.25">
      <c r="A2857" s="148">
        <v>44861</v>
      </c>
      <c r="B2857" s="149" t="s">
        <v>34497</v>
      </c>
      <c r="C2857" s="153" t="s">
        <v>129</v>
      </c>
      <c r="D2857" s="154">
        <v>2731.6</v>
      </c>
      <c r="E2857" s="231">
        <v>44861</v>
      </c>
      <c r="F2857" s="154">
        <v>2731.6</v>
      </c>
      <c r="G2857" s="197">
        <f>Tabla111[[#This Row],[Importe]]-Tabla111[[#This Row],[Pagado]]</f>
        <v>0</v>
      </c>
      <c r="H2857" s="153" t="s">
        <v>10</v>
      </c>
    </row>
    <row r="2858" spans="1:8" x14ac:dyDescent="0.25">
      <c r="A2858" s="73">
        <v>44861</v>
      </c>
      <c r="B2858" s="74" t="s">
        <v>34498</v>
      </c>
      <c r="C2858" s="75" t="s">
        <v>339</v>
      </c>
      <c r="D2858" s="81">
        <v>590.4</v>
      </c>
      <c r="E2858" s="230">
        <v>44861</v>
      </c>
      <c r="F2858" s="81">
        <v>590.4</v>
      </c>
      <c r="G2858" s="197">
        <f>Tabla111[[#This Row],[Importe]]-Tabla111[[#This Row],[Pagado]]</f>
        <v>0</v>
      </c>
      <c r="H2858" s="75" t="s">
        <v>10</v>
      </c>
    </row>
    <row r="2859" spans="1:8" x14ac:dyDescent="0.25">
      <c r="A2859" s="148">
        <v>44861</v>
      </c>
      <c r="B2859" s="149" t="s">
        <v>34499</v>
      </c>
      <c r="C2859" s="153" t="s">
        <v>140</v>
      </c>
      <c r="D2859" s="154">
        <v>981</v>
      </c>
      <c r="E2859" s="231">
        <v>44861</v>
      </c>
      <c r="F2859" s="154">
        <v>981</v>
      </c>
      <c r="G2859" s="197">
        <f>Tabla111[[#This Row],[Importe]]-Tabla111[[#This Row],[Pagado]]</f>
        <v>0</v>
      </c>
      <c r="H2859" s="153" t="s">
        <v>10</v>
      </c>
    </row>
    <row r="2860" spans="1:8" x14ac:dyDescent="0.25">
      <c r="A2860" s="73">
        <v>44861</v>
      </c>
      <c r="B2860" s="74" t="s">
        <v>34500</v>
      </c>
      <c r="C2860" s="75" t="s">
        <v>45</v>
      </c>
      <c r="D2860" s="81">
        <v>9517</v>
      </c>
      <c r="E2860" s="230">
        <v>44861</v>
      </c>
      <c r="F2860" s="81">
        <v>9517</v>
      </c>
      <c r="G2860" s="197">
        <f>Tabla111[[#This Row],[Importe]]-Tabla111[[#This Row],[Pagado]]</f>
        <v>0</v>
      </c>
      <c r="H2860" s="75" t="s">
        <v>10</v>
      </c>
    </row>
    <row r="2861" spans="1:8" x14ac:dyDescent="0.25">
      <c r="A2861" s="148">
        <v>44861</v>
      </c>
      <c r="B2861" s="149" t="s">
        <v>34501</v>
      </c>
      <c r="C2861" s="153" t="s">
        <v>79</v>
      </c>
      <c r="D2861" s="154">
        <v>12839</v>
      </c>
      <c r="E2861" s="231">
        <v>44861</v>
      </c>
      <c r="F2861" s="154">
        <v>12839</v>
      </c>
      <c r="G2861" s="197">
        <f>Tabla111[[#This Row],[Importe]]-Tabla111[[#This Row],[Pagado]]</f>
        <v>0</v>
      </c>
      <c r="H2861" s="153" t="s">
        <v>10</v>
      </c>
    </row>
    <row r="2862" spans="1:8" x14ac:dyDescent="0.25">
      <c r="A2862" s="73">
        <v>44861</v>
      </c>
      <c r="B2862" s="74" t="s">
        <v>34502</v>
      </c>
      <c r="C2862" s="75" t="s">
        <v>127</v>
      </c>
      <c r="D2862" s="81">
        <v>6026.8</v>
      </c>
      <c r="E2862" s="230">
        <v>44861</v>
      </c>
      <c r="F2862" s="81">
        <v>6026.8</v>
      </c>
      <c r="G2862" s="197">
        <f>Tabla111[[#This Row],[Importe]]-Tabla111[[#This Row],[Pagado]]</f>
        <v>0</v>
      </c>
      <c r="H2862" s="75" t="s">
        <v>10</v>
      </c>
    </row>
    <row r="2863" spans="1:8" x14ac:dyDescent="0.25">
      <c r="A2863" s="148">
        <v>44861</v>
      </c>
      <c r="B2863" s="149" t="s">
        <v>34503</v>
      </c>
      <c r="C2863" s="153" t="s">
        <v>31</v>
      </c>
      <c r="D2863" s="154">
        <v>2628.6</v>
      </c>
      <c r="E2863" s="231">
        <v>44861</v>
      </c>
      <c r="F2863" s="154">
        <v>2628.6</v>
      </c>
      <c r="G2863" s="197">
        <f>Tabla111[[#This Row],[Importe]]-Tabla111[[#This Row],[Pagado]]</f>
        <v>0</v>
      </c>
      <c r="H2863" s="153" t="s">
        <v>10</v>
      </c>
    </row>
    <row r="2864" spans="1:8" x14ac:dyDescent="0.25">
      <c r="A2864" s="73">
        <v>44861</v>
      </c>
      <c r="B2864" s="74" t="s">
        <v>34504</v>
      </c>
      <c r="C2864" s="75" t="s">
        <v>214</v>
      </c>
      <c r="D2864" s="81">
        <v>407</v>
      </c>
      <c r="E2864" s="230">
        <v>44861</v>
      </c>
      <c r="F2864" s="81">
        <v>407</v>
      </c>
      <c r="G2864" s="197">
        <f>Tabla111[[#This Row],[Importe]]-Tabla111[[#This Row],[Pagado]]</f>
        <v>0</v>
      </c>
      <c r="H2864" s="75" t="s">
        <v>10</v>
      </c>
    </row>
    <row r="2865" spans="1:8" x14ac:dyDescent="0.25">
      <c r="A2865" s="148">
        <v>44861</v>
      </c>
      <c r="B2865" s="149" t="s">
        <v>34505</v>
      </c>
      <c r="C2865" s="153" t="s">
        <v>473</v>
      </c>
      <c r="D2865" s="154">
        <v>6769.9</v>
      </c>
      <c r="E2865" s="231">
        <v>44861</v>
      </c>
      <c r="F2865" s="154">
        <v>6769.9</v>
      </c>
      <c r="G2865" s="197">
        <f>Tabla111[[#This Row],[Importe]]-Tabla111[[#This Row],[Pagado]]</f>
        <v>0</v>
      </c>
      <c r="H2865" s="153" t="s">
        <v>10</v>
      </c>
    </row>
    <row r="2866" spans="1:8" x14ac:dyDescent="0.25">
      <c r="A2866" s="73">
        <v>44861</v>
      </c>
      <c r="B2866" s="74" t="s">
        <v>34506</v>
      </c>
      <c r="C2866" s="75" t="s">
        <v>56</v>
      </c>
      <c r="D2866" s="81">
        <v>6396.8</v>
      </c>
      <c r="E2866" s="230">
        <v>44861</v>
      </c>
      <c r="F2866" s="81">
        <v>6396.8</v>
      </c>
      <c r="G2866" s="197">
        <f>Tabla111[[#This Row],[Importe]]-Tabla111[[#This Row],[Pagado]]</f>
        <v>0</v>
      </c>
      <c r="H2866" s="75" t="s">
        <v>10</v>
      </c>
    </row>
    <row r="2867" spans="1:8" x14ac:dyDescent="0.25">
      <c r="A2867" s="148">
        <v>44861</v>
      </c>
      <c r="B2867" s="149" t="s">
        <v>34507</v>
      </c>
      <c r="C2867" s="153" t="s">
        <v>33</v>
      </c>
      <c r="D2867" s="154">
        <v>24763.200000000001</v>
      </c>
      <c r="E2867" s="231">
        <v>44861</v>
      </c>
      <c r="F2867" s="154">
        <v>24763.200000000001</v>
      </c>
      <c r="G2867" s="197">
        <f>Tabla111[[#This Row],[Importe]]-Tabla111[[#This Row],[Pagado]]</f>
        <v>0</v>
      </c>
      <c r="H2867" s="153" t="s">
        <v>10</v>
      </c>
    </row>
    <row r="2868" spans="1:8" x14ac:dyDescent="0.25">
      <c r="A2868" s="73">
        <v>44861</v>
      </c>
      <c r="B2868" s="74" t="s">
        <v>34508</v>
      </c>
      <c r="C2868" s="75" t="s">
        <v>45</v>
      </c>
      <c r="D2868" s="81">
        <v>3774.56</v>
      </c>
      <c r="E2868" s="230">
        <v>44861</v>
      </c>
      <c r="F2868" s="81">
        <v>3774.56</v>
      </c>
      <c r="G2868" s="197">
        <f>Tabla111[[#This Row],[Importe]]-Tabla111[[#This Row],[Pagado]]</f>
        <v>0</v>
      </c>
      <c r="H2868" s="75" t="s">
        <v>10</v>
      </c>
    </row>
    <row r="2869" spans="1:8" x14ac:dyDescent="0.25">
      <c r="A2869" s="148">
        <v>44861</v>
      </c>
      <c r="B2869" s="149" t="s">
        <v>34509</v>
      </c>
      <c r="C2869" s="153" t="s">
        <v>75</v>
      </c>
      <c r="D2869" s="154">
        <v>984.2</v>
      </c>
      <c r="E2869" s="231">
        <v>44861</v>
      </c>
      <c r="F2869" s="154">
        <v>984.2</v>
      </c>
      <c r="G2869" s="197">
        <f>Tabla111[[#This Row],[Importe]]-Tabla111[[#This Row],[Pagado]]</f>
        <v>0</v>
      </c>
      <c r="H2869" s="153" t="s">
        <v>10</v>
      </c>
    </row>
    <row r="2870" spans="1:8" x14ac:dyDescent="0.25">
      <c r="A2870" s="73">
        <v>44861</v>
      </c>
      <c r="B2870" s="74" t="s">
        <v>34510</v>
      </c>
      <c r="C2870" s="75" t="s">
        <v>49</v>
      </c>
      <c r="D2870" s="81">
        <v>3453</v>
      </c>
      <c r="E2870" s="230">
        <v>44861</v>
      </c>
      <c r="F2870" s="81">
        <v>3453</v>
      </c>
      <c r="G2870" s="197">
        <f>Tabla111[[#This Row],[Importe]]-Tabla111[[#This Row],[Pagado]]</f>
        <v>0</v>
      </c>
      <c r="H2870" s="75" t="s">
        <v>10</v>
      </c>
    </row>
    <row r="2871" spans="1:8" x14ac:dyDescent="0.25">
      <c r="A2871" s="148">
        <v>44861</v>
      </c>
      <c r="B2871" s="149" t="s">
        <v>34511</v>
      </c>
      <c r="C2871" s="153" t="s">
        <v>75</v>
      </c>
      <c r="D2871" s="154">
        <v>7400</v>
      </c>
      <c r="E2871" s="231">
        <v>44861</v>
      </c>
      <c r="F2871" s="154">
        <v>7400</v>
      </c>
      <c r="G2871" s="197">
        <f>Tabla111[[#This Row],[Importe]]-Tabla111[[#This Row],[Pagado]]</f>
        <v>0</v>
      </c>
      <c r="H2871" s="153" t="s">
        <v>10</v>
      </c>
    </row>
    <row r="2872" spans="1:8" x14ac:dyDescent="0.25">
      <c r="A2872" s="73">
        <v>44861</v>
      </c>
      <c r="B2872" s="74" t="s">
        <v>34512</v>
      </c>
      <c r="C2872" s="75" t="s">
        <v>58</v>
      </c>
      <c r="D2872" s="81">
        <v>3267.4</v>
      </c>
      <c r="E2872" s="230">
        <v>44861</v>
      </c>
      <c r="F2872" s="81">
        <v>3267.4</v>
      </c>
      <c r="G2872" s="197">
        <f>Tabla111[[#This Row],[Importe]]-Tabla111[[#This Row],[Pagado]]</f>
        <v>0</v>
      </c>
      <c r="H2872" s="75" t="s">
        <v>10</v>
      </c>
    </row>
    <row r="2873" spans="1:8" x14ac:dyDescent="0.25">
      <c r="A2873" s="148">
        <v>44861</v>
      </c>
      <c r="B2873" s="149" t="s">
        <v>34513</v>
      </c>
      <c r="C2873" s="153" t="s">
        <v>228</v>
      </c>
      <c r="D2873" s="154">
        <v>6364</v>
      </c>
      <c r="E2873" s="231">
        <v>44861</v>
      </c>
      <c r="F2873" s="154">
        <v>6364</v>
      </c>
      <c r="G2873" s="197">
        <f>Tabla111[[#This Row],[Importe]]-Tabla111[[#This Row],[Pagado]]</f>
        <v>0</v>
      </c>
      <c r="H2873" s="153" t="s">
        <v>10</v>
      </c>
    </row>
    <row r="2874" spans="1:8" x14ac:dyDescent="0.25">
      <c r="A2874" s="73">
        <v>44861</v>
      </c>
      <c r="B2874" s="74" t="s">
        <v>34514</v>
      </c>
      <c r="C2874" s="75" t="s">
        <v>228</v>
      </c>
      <c r="D2874" s="81">
        <v>1964.4</v>
      </c>
      <c r="E2874" s="230">
        <v>44861</v>
      </c>
      <c r="F2874" s="81">
        <v>1964.4</v>
      </c>
      <c r="G2874" s="197">
        <f>Tabla111[[#This Row],[Importe]]-Tabla111[[#This Row],[Pagado]]</f>
        <v>0</v>
      </c>
      <c r="H2874" s="75" t="s">
        <v>10</v>
      </c>
    </row>
    <row r="2875" spans="1:8" x14ac:dyDescent="0.25">
      <c r="A2875" s="148">
        <v>44861</v>
      </c>
      <c r="B2875" s="149" t="s">
        <v>34515</v>
      </c>
      <c r="C2875" s="153" t="s">
        <v>698</v>
      </c>
      <c r="D2875" s="154">
        <v>8475.7000000000007</v>
      </c>
      <c r="E2875" s="231">
        <v>44861</v>
      </c>
      <c r="F2875" s="154">
        <v>8475.7000000000007</v>
      </c>
      <c r="G2875" s="197">
        <f>Tabla111[[#This Row],[Importe]]-Tabla111[[#This Row],[Pagado]]</f>
        <v>0</v>
      </c>
      <c r="H2875" s="153" t="s">
        <v>10</v>
      </c>
    </row>
    <row r="2876" spans="1:8" x14ac:dyDescent="0.25">
      <c r="A2876" s="73">
        <v>44861</v>
      </c>
      <c r="B2876" s="74" t="s">
        <v>34516</v>
      </c>
      <c r="C2876" s="75" t="s">
        <v>191</v>
      </c>
      <c r="D2876" s="81">
        <v>2121.6</v>
      </c>
      <c r="E2876" s="230">
        <v>44861</v>
      </c>
      <c r="F2876" s="81">
        <v>2121.6</v>
      </c>
      <c r="G2876" s="197">
        <f>Tabla111[[#This Row],[Importe]]-Tabla111[[#This Row],[Pagado]]</f>
        <v>0</v>
      </c>
      <c r="H2876" s="75" t="s">
        <v>10</v>
      </c>
    </row>
    <row r="2877" spans="1:8" x14ac:dyDescent="0.25">
      <c r="A2877" s="148">
        <v>44861</v>
      </c>
      <c r="B2877" s="149" t="s">
        <v>34517</v>
      </c>
      <c r="C2877" s="153" t="s">
        <v>24</v>
      </c>
      <c r="D2877" s="154">
        <v>5554</v>
      </c>
      <c r="E2877" s="231">
        <v>44861</v>
      </c>
      <c r="F2877" s="154">
        <v>5554</v>
      </c>
      <c r="G2877" s="197">
        <f>Tabla111[[#This Row],[Importe]]-Tabla111[[#This Row],[Pagado]]</f>
        <v>0</v>
      </c>
      <c r="H2877" s="153" t="s">
        <v>10</v>
      </c>
    </row>
    <row r="2878" spans="1:8" x14ac:dyDescent="0.25">
      <c r="A2878" s="73">
        <v>44861</v>
      </c>
      <c r="B2878" s="74" t="s">
        <v>34518</v>
      </c>
      <c r="C2878" s="75" t="s">
        <v>24284</v>
      </c>
      <c r="D2878" s="81">
        <v>1272.8</v>
      </c>
      <c r="E2878" s="230">
        <v>44861</v>
      </c>
      <c r="F2878" s="81">
        <v>1272.8</v>
      </c>
      <c r="G2878" s="197">
        <f>Tabla111[[#This Row],[Importe]]-Tabla111[[#This Row],[Pagado]]</f>
        <v>0</v>
      </c>
      <c r="H2878" s="75" t="s">
        <v>10</v>
      </c>
    </row>
    <row r="2879" spans="1:8" x14ac:dyDescent="0.25">
      <c r="A2879" s="148">
        <v>44861</v>
      </c>
      <c r="B2879" s="149" t="s">
        <v>34519</v>
      </c>
      <c r="C2879" s="153" t="s">
        <v>31</v>
      </c>
      <c r="D2879" s="154">
        <v>20271.599999999999</v>
      </c>
      <c r="E2879" s="231">
        <v>44861</v>
      </c>
      <c r="F2879" s="154">
        <v>20271.599999999999</v>
      </c>
      <c r="G2879" s="197">
        <f>Tabla111[[#This Row],[Importe]]-Tabla111[[#This Row],[Pagado]]</f>
        <v>0</v>
      </c>
      <c r="H2879" s="153" t="s">
        <v>10</v>
      </c>
    </row>
    <row r="2880" spans="1:8" x14ac:dyDescent="0.25">
      <c r="A2880" s="73">
        <v>44861</v>
      </c>
      <c r="B2880" s="74" t="s">
        <v>34520</v>
      </c>
      <c r="C2880" s="75" t="s">
        <v>35</v>
      </c>
      <c r="D2880" s="81">
        <v>4901.6000000000004</v>
      </c>
      <c r="E2880" s="230">
        <v>44861</v>
      </c>
      <c r="F2880" s="81">
        <v>4901.6000000000004</v>
      </c>
      <c r="G2880" s="197">
        <f>Tabla111[[#This Row],[Importe]]-Tabla111[[#This Row],[Pagado]]</f>
        <v>0</v>
      </c>
      <c r="H2880" s="75" t="s">
        <v>10</v>
      </c>
    </row>
    <row r="2881" spans="1:8" x14ac:dyDescent="0.25">
      <c r="A2881" s="148">
        <v>44861</v>
      </c>
      <c r="B2881" s="149" t="s">
        <v>34521</v>
      </c>
      <c r="C2881" s="153" t="s">
        <v>875</v>
      </c>
      <c r="D2881" s="154">
        <v>51683.61</v>
      </c>
      <c r="E2881" s="231">
        <v>44861</v>
      </c>
      <c r="F2881" s="154">
        <v>51683.61</v>
      </c>
      <c r="G2881" s="197">
        <f>Tabla111[[#This Row],[Importe]]-Tabla111[[#This Row],[Pagado]]</f>
        <v>0</v>
      </c>
      <c r="H2881" s="153" t="s">
        <v>10</v>
      </c>
    </row>
    <row r="2882" spans="1:8" x14ac:dyDescent="0.25">
      <c r="A2882" s="73">
        <v>44861</v>
      </c>
      <c r="B2882" s="74" t="s">
        <v>34522</v>
      </c>
      <c r="C2882" s="75" t="s">
        <v>216</v>
      </c>
      <c r="D2882" s="81">
        <v>1598.4</v>
      </c>
      <c r="E2882" s="230">
        <v>44861</v>
      </c>
      <c r="F2882" s="81">
        <v>1598.4</v>
      </c>
      <c r="G2882" s="197">
        <f>Tabla111[[#This Row],[Importe]]-Tabla111[[#This Row],[Pagado]]</f>
        <v>0</v>
      </c>
      <c r="H2882" s="75" t="s">
        <v>10</v>
      </c>
    </row>
    <row r="2883" spans="1:8" x14ac:dyDescent="0.25">
      <c r="A2883" s="148">
        <v>44861</v>
      </c>
      <c r="B2883" s="149" t="s">
        <v>34523</v>
      </c>
      <c r="C2883" s="153" t="s">
        <v>9827</v>
      </c>
      <c r="D2883" s="154">
        <v>3922</v>
      </c>
      <c r="E2883" s="231">
        <v>44861</v>
      </c>
      <c r="F2883" s="154">
        <v>3922</v>
      </c>
      <c r="G2883" s="197">
        <f>Tabla111[[#This Row],[Importe]]-Tabla111[[#This Row],[Pagado]]</f>
        <v>0</v>
      </c>
      <c r="H2883" s="153" t="s">
        <v>10</v>
      </c>
    </row>
    <row r="2884" spans="1:8" x14ac:dyDescent="0.25">
      <c r="A2884" s="73">
        <v>44861</v>
      </c>
      <c r="B2884" s="74" t="s">
        <v>34524</v>
      </c>
      <c r="C2884" s="75" t="s">
        <v>11383</v>
      </c>
      <c r="D2884" s="81">
        <v>3868.4</v>
      </c>
      <c r="E2884" s="230">
        <v>44861</v>
      </c>
      <c r="F2884" s="81">
        <v>3868.4</v>
      </c>
      <c r="G2884" s="197">
        <f>Tabla111[[#This Row],[Importe]]-Tabla111[[#This Row],[Pagado]]</f>
        <v>0</v>
      </c>
      <c r="H2884" s="75" t="s">
        <v>10</v>
      </c>
    </row>
    <row r="2885" spans="1:8" x14ac:dyDescent="0.25">
      <c r="A2885" s="148">
        <v>44861</v>
      </c>
      <c r="B2885" s="149" t="s">
        <v>34525</v>
      </c>
      <c r="C2885" s="153" t="s">
        <v>142</v>
      </c>
      <c r="D2885" s="154">
        <v>89553.91</v>
      </c>
      <c r="E2885" s="231" t="s">
        <v>4813</v>
      </c>
      <c r="F2885" s="154">
        <v>0</v>
      </c>
      <c r="G2885" s="197">
        <f>Tabla111[[#This Row],[Importe]]-Tabla111[[#This Row],[Pagado]]</f>
        <v>89553.91</v>
      </c>
      <c r="H2885" s="153" t="s">
        <v>4814</v>
      </c>
    </row>
    <row r="2886" spans="1:8" x14ac:dyDescent="0.25">
      <c r="A2886" s="73">
        <v>44861</v>
      </c>
      <c r="B2886" s="74" t="s">
        <v>34526</v>
      </c>
      <c r="C2886" s="75" t="s">
        <v>419</v>
      </c>
      <c r="D2886" s="81">
        <v>6641.5</v>
      </c>
      <c r="E2886" s="230">
        <v>44861</v>
      </c>
      <c r="F2886" s="81">
        <v>6641.5</v>
      </c>
      <c r="G2886" s="197">
        <f>Tabla111[[#This Row],[Importe]]-Tabla111[[#This Row],[Pagado]]</f>
        <v>0</v>
      </c>
      <c r="H2886" s="75" t="s">
        <v>10</v>
      </c>
    </row>
    <row r="2887" spans="1:8" x14ac:dyDescent="0.25">
      <c r="A2887" s="148">
        <v>44861</v>
      </c>
      <c r="B2887" s="149" t="s">
        <v>34527</v>
      </c>
      <c r="C2887" s="153" t="s">
        <v>9673</v>
      </c>
      <c r="D2887" s="154">
        <v>4094.4</v>
      </c>
      <c r="E2887" s="231">
        <v>44861</v>
      </c>
      <c r="F2887" s="154">
        <v>4094.4</v>
      </c>
      <c r="G2887" s="197">
        <f>Tabla111[[#This Row],[Importe]]-Tabla111[[#This Row],[Pagado]]</f>
        <v>0</v>
      </c>
      <c r="H2887" s="153" t="s">
        <v>10</v>
      </c>
    </row>
    <row r="2888" spans="1:8" x14ac:dyDescent="0.25">
      <c r="A2888" s="73">
        <v>44861</v>
      </c>
      <c r="B2888" s="74" t="s">
        <v>34528</v>
      </c>
      <c r="C2888" s="75" t="s">
        <v>29</v>
      </c>
      <c r="D2888" s="81">
        <v>3877.6</v>
      </c>
      <c r="E2888" s="230">
        <v>44861</v>
      </c>
      <c r="F2888" s="81">
        <v>3877.6</v>
      </c>
      <c r="G2888" s="197">
        <f>Tabla111[[#This Row],[Importe]]-Tabla111[[#This Row],[Pagado]]</f>
        <v>0</v>
      </c>
      <c r="H2888" s="75" t="s">
        <v>10</v>
      </c>
    </row>
    <row r="2889" spans="1:8" x14ac:dyDescent="0.25">
      <c r="A2889" s="148">
        <v>44861</v>
      </c>
      <c r="B2889" s="149" t="s">
        <v>34529</v>
      </c>
      <c r="C2889" s="153" t="s">
        <v>1558</v>
      </c>
      <c r="D2889" s="154">
        <v>4856.3999999999996</v>
      </c>
      <c r="E2889" s="231">
        <v>44861</v>
      </c>
      <c r="F2889" s="154">
        <v>4856.3999999999996</v>
      </c>
      <c r="G2889" s="197">
        <f>Tabla111[[#This Row],[Importe]]-Tabla111[[#This Row],[Pagado]]</f>
        <v>0</v>
      </c>
      <c r="H2889" s="153" t="s">
        <v>10</v>
      </c>
    </row>
    <row r="2890" spans="1:8" x14ac:dyDescent="0.25">
      <c r="A2890" s="73">
        <v>44861</v>
      </c>
      <c r="B2890" s="74" t="s">
        <v>34530</v>
      </c>
      <c r="C2890" s="75" t="s">
        <v>226</v>
      </c>
      <c r="D2890" s="81">
        <v>13987.5</v>
      </c>
      <c r="E2890" s="230">
        <v>44861</v>
      </c>
      <c r="F2890" s="81">
        <v>13987.5</v>
      </c>
      <c r="G2890" s="197">
        <f>Tabla111[[#This Row],[Importe]]-Tabla111[[#This Row],[Pagado]]</f>
        <v>0</v>
      </c>
      <c r="H2890" s="75" t="s">
        <v>10</v>
      </c>
    </row>
    <row r="2891" spans="1:8" x14ac:dyDescent="0.25">
      <c r="A2891" s="148">
        <v>44861</v>
      </c>
      <c r="B2891" s="149" t="s">
        <v>34531</v>
      </c>
      <c r="C2891" s="153" t="s">
        <v>670</v>
      </c>
      <c r="D2891" s="154">
        <v>5713.5</v>
      </c>
      <c r="E2891" s="231">
        <v>44861</v>
      </c>
      <c r="F2891" s="154">
        <v>5713.5</v>
      </c>
      <c r="G2891" s="197">
        <f>Tabla111[[#This Row],[Importe]]-Tabla111[[#This Row],[Pagado]]</f>
        <v>0</v>
      </c>
      <c r="H2891" s="153" t="s">
        <v>10</v>
      </c>
    </row>
    <row r="2892" spans="1:8" x14ac:dyDescent="0.25">
      <c r="A2892" s="73">
        <v>44861</v>
      </c>
      <c r="B2892" s="74" t="s">
        <v>34532</v>
      </c>
      <c r="C2892" s="75" t="s">
        <v>296</v>
      </c>
      <c r="D2892" s="81">
        <v>3611.3</v>
      </c>
      <c r="E2892" s="230">
        <v>44861</v>
      </c>
      <c r="F2892" s="81">
        <v>3611.3</v>
      </c>
      <c r="G2892" s="197">
        <f>Tabla111[[#This Row],[Importe]]-Tabla111[[#This Row],[Pagado]]</f>
        <v>0</v>
      </c>
      <c r="H2892" s="75" t="s">
        <v>10</v>
      </c>
    </row>
    <row r="2893" spans="1:8" x14ac:dyDescent="0.25">
      <c r="A2893" s="148">
        <v>44861</v>
      </c>
      <c r="B2893" s="149" t="s">
        <v>34533</v>
      </c>
      <c r="C2893" s="153" t="s">
        <v>2377</v>
      </c>
      <c r="D2893" s="154">
        <v>24000</v>
      </c>
      <c r="E2893" s="231">
        <v>44861</v>
      </c>
      <c r="F2893" s="154">
        <v>24000</v>
      </c>
      <c r="G2893" s="197">
        <f>Tabla111[[#This Row],[Importe]]-Tabla111[[#This Row],[Pagado]]</f>
        <v>0</v>
      </c>
      <c r="H2893" s="153" t="s">
        <v>10</v>
      </c>
    </row>
    <row r="2894" spans="1:8" x14ac:dyDescent="0.25">
      <c r="A2894" s="73">
        <v>44861</v>
      </c>
      <c r="B2894" s="74" t="s">
        <v>34534</v>
      </c>
      <c r="C2894" s="75" t="s">
        <v>67</v>
      </c>
      <c r="D2894" s="81">
        <v>2878.4</v>
      </c>
      <c r="E2894" s="230">
        <v>44861</v>
      </c>
      <c r="F2894" s="81">
        <v>2878.4</v>
      </c>
      <c r="G2894" s="197">
        <f>Tabla111[[#This Row],[Importe]]-Tabla111[[#This Row],[Pagado]]</f>
        <v>0</v>
      </c>
      <c r="H2894" s="75" t="s">
        <v>10</v>
      </c>
    </row>
    <row r="2895" spans="1:8" x14ac:dyDescent="0.25">
      <c r="A2895" s="148">
        <v>44861</v>
      </c>
      <c r="B2895" s="149" t="s">
        <v>34535</v>
      </c>
      <c r="C2895" s="153" t="s">
        <v>19271</v>
      </c>
      <c r="D2895" s="154">
        <v>14175.2</v>
      </c>
      <c r="E2895" s="231">
        <v>44861</v>
      </c>
      <c r="F2895" s="154">
        <v>14175.2</v>
      </c>
      <c r="G2895" s="197">
        <f>Tabla111[[#This Row],[Importe]]-Tabla111[[#This Row],[Pagado]]</f>
        <v>0</v>
      </c>
      <c r="H2895" s="153" t="s">
        <v>10</v>
      </c>
    </row>
    <row r="2896" spans="1:8" x14ac:dyDescent="0.25">
      <c r="A2896" s="73">
        <v>44861</v>
      </c>
      <c r="B2896" s="74" t="s">
        <v>34536</v>
      </c>
      <c r="C2896" s="75" t="s">
        <v>31</v>
      </c>
      <c r="D2896" s="81">
        <v>858.4</v>
      </c>
      <c r="E2896" s="230">
        <v>44861</v>
      </c>
      <c r="F2896" s="81">
        <v>858.4</v>
      </c>
      <c r="G2896" s="197">
        <f>Tabla111[[#This Row],[Importe]]-Tabla111[[#This Row],[Pagado]]</f>
        <v>0</v>
      </c>
      <c r="H2896" s="75" t="s">
        <v>10</v>
      </c>
    </row>
    <row r="2897" spans="1:8" x14ac:dyDescent="0.25">
      <c r="A2897" s="148">
        <v>44861</v>
      </c>
      <c r="B2897" s="149" t="s">
        <v>34537</v>
      </c>
      <c r="C2897" s="153" t="s">
        <v>31</v>
      </c>
      <c r="D2897" s="154">
        <v>446.4</v>
      </c>
      <c r="E2897" s="231">
        <v>44861</v>
      </c>
      <c r="F2897" s="154">
        <v>446.4</v>
      </c>
      <c r="G2897" s="197">
        <f>Tabla111[[#This Row],[Importe]]-Tabla111[[#This Row],[Pagado]]</f>
        <v>0</v>
      </c>
      <c r="H2897" s="153" t="s">
        <v>10</v>
      </c>
    </row>
    <row r="2898" spans="1:8" x14ac:dyDescent="0.25">
      <c r="A2898" s="73">
        <v>44861</v>
      </c>
      <c r="B2898" s="74" t="s">
        <v>34538</v>
      </c>
      <c r="C2898" s="75" t="s">
        <v>214</v>
      </c>
      <c r="D2898" s="81">
        <v>2086.8000000000002</v>
      </c>
      <c r="E2898" s="230">
        <v>44861</v>
      </c>
      <c r="F2898" s="81">
        <v>2086.8000000000002</v>
      </c>
      <c r="G2898" s="197">
        <f>Tabla111[[#This Row],[Importe]]-Tabla111[[#This Row],[Pagado]]</f>
        <v>0</v>
      </c>
      <c r="H2898" s="75" t="s">
        <v>10</v>
      </c>
    </row>
    <row r="2899" spans="1:8" x14ac:dyDescent="0.25">
      <c r="A2899" s="148">
        <v>44861</v>
      </c>
      <c r="B2899" s="149" t="s">
        <v>34539</v>
      </c>
      <c r="C2899" s="153" t="s">
        <v>6252</v>
      </c>
      <c r="D2899" s="154">
        <v>0</v>
      </c>
      <c r="E2899" s="233" t="s">
        <v>189</v>
      </c>
      <c r="F2899" s="154">
        <v>0</v>
      </c>
      <c r="G2899" s="197">
        <f>Tabla111[[#This Row],[Importe]]-Tabla111[[#This Row],[Pagado]]</f>
        <v>0</v>
      </c>
      <c r="H2899" s="153" t="s">
        <v>189</v>
      </c>
    </row>
    <row r="2900" spans="1:8" x14ac:dyDescent="0.25">
      <c r="A2900" s="73">
        <v>44861</v>
      </c>
      <c r="B2900" s="74" t="s">
        <v>34540</v>
      </c>
      <c r="C2900" s="75" t="s">
        <v>31</v>
      </c>
      <c r="D2900" s="81">
        <v>12923.4</v>
      </c>
      <c r="E2900" s="230">
        <v>44861</v>
      </c>
      <c r="F2900" s="81">
        <v>12923.4</v>
      </c>
      <c r="G2900" s="197">
        <f>Tabla111[[#This Row],[Importe]]-Tabla111[[#This Row],[Pagado]]</f>
        <v>0</v>
      </c>
      <c r="H2900" s="75" t="s">
        <v>10</v>
      </c>
    </row>
    <row r="2901" spans="1:8" x14ac:dyDescent="0.25">
      <c r="A2901" s="148">
        <v>44861</v>
      </c>
      <c r="B2901" s="149" t="s">
        <v>34541</v>
      </c>
      <c r="C2901" s="153" t="s">
        <v>296</v>
      </c>
      <c r="D2901" s="154">
        <v>2888</v>
      </c>
      <c r="E2901" s="231">
        <v>44861</v>
      </c>
      <c r="F2901" s="154">
        <v>2888</v>
      </c>
      <c r="G2901" s="197">
        <f>Tabla111[[#This Row],[Importe]]-Tabla111[[#This Row],[Pagado]]</f>
        <v>0</v>
      </c>
      <c r="H2901" s="153" t="s">
        <v>10</v>
      </c>
    </row>
    <row r="2902" spans="1:8" x14ac:dyDescent="0.25">
      <c r="A2902" s="73">
        <v>44861</v>
      </c>
      <c r="B2902" s="74" t="s">
        <v>34542</v>
      </c>
      <c r="C2902" s="75" t="s">
        <v>280</v>
      </c>
      <c r="D2902" s="81">
        <v>703</v>
      </c>
      <c r="E2902" s="230">
        <v>44863</v>
      </c>
      <c r="F2902" s="81">
        <v>703</v>
      </c>
      <c r="G2902" s="197">
        <f>Tabla111[[#This Row],[Importe]]-Tabla111[[#This Row],[Pagado]]</f>
        <v>0</v>
      </c>
      <c r="H2902" s="75" t="s">
        <v>10</v>
      </c>
    </row>
    <row r="2903" spans="1:8" x14ac:dyDescent="0.25">
      <c r="A2903" s="148">
        <v>44861</v>
      </c>
      <c r="B2903" s="149" t="s">
        <v>34543</v>
      </c>
      <c r="C2903" s="153" t="s">
        <v>282</v>
      </c>
      <c r="D2903" s="154">
        <v>2627</v>
      </c>
      <c r="E2903" s="231">
        <v>44863</v>
      </c>
      <c r="F2903" s="154">
        <v>2627</v>
      </c>
      <c r="G2903" s="197">
        <f>Tabla111[[#This Row],[Importe]]-Tabla111[[#This Row],[Pagado]]</f>
        <v>0</v>
      </c>
      <c r="H2903" s="153" t="s">
        <v>10</v>
      </c>
    </row>
    <row r="2904" spans="1:8" x14ac:dyDescent="0.25">
      <c r="A2904" s="73">
        <v>44861</v>
      </c>
      <c r="B2904" s="74" t="s">
        <v>34544</v>
      </c>
      <c r="C2904" s="75" t="s">
        <v>431</v>
      </c>
      <c r="D2904" s="81">
        <v>4092.2</v>
      </c>
      <c r="E2904" s="230">
        <v>44863</v>
      </c>
      <c r="F2904" s="81">
        <v>4092.2</v>
      </c>
      <c r="G2904" s="197">
        <f>Tabla111[[#This Row],[Importe]]-Tabla111[[#This Row],[Pagado]]</f>
        <v>0</v>
      </c>
      <c r="H2904" s="75" t="s">
        <v>10</v>
      </c>
    </row>
    <row r="2905" spans="1:8" x14ac:dyDescent="0.25">
      <c r="A2905" s="148">
        <v>44861</v>
      </c>
      <c r="B2905" s="149" t="s">
        <v>34545</v>
      </c>
      <c r="C2905" s="153" t="s">
        <v>5345</v>
      </c>
      <c r="D2905" s="154">
        <v>2168.1999999999998</v>
      </c>
      <c r="E2905" s="231">
        <v>44863</v>
      </c>
      <c r="F2905" s="154">
        <v>2168.1999999999998</v>
      </c>
      <c r="G2905" s="197">
        <f>Tabla111[[#This Row],[Importe]]-Tabla111[[#This Row],[Pagado]]</f>
        <v>0</v>
      </c>
      <c r="H2905" s="153" t="s">
        <v>10</v>
      </c>
    </row>
    <row r="2906" spans="1:8" x14ac:dyDescent="0.25">
      <c r="A2906" s="73">
        <v>44861</v>
      </c>
      <c r="B2906" s="74" t="s">
        <v>34546</v>
      </c>
      <c r="C2906" s="75" t="s">
        <v>284</v>
      </c>
      <c r="D2906" s="81">
        <v>9035.4</v>
      </c>
      <c r="E2906" s="230">
        <v>44863</v>
      </c>
      <c r="F2906" s="81">
        <v>9035.4</v>
      </c>
      <c r="G2906" s="197">
        <f>Tabla111[[#This Row],[Importe]]-Tabla111[[#This Row],[Pagado]]</f>
        <v>0</v>
      </c>
      <c r="H2906" s="75" t="s">
        <v>10</v>
      </c>
    </row>
    <row r="2907" spans="1:8" x14ac:dyDescent="0.25">
      <c r="A2907" s="148">
        <v>44861</v>
      </c>
      <c r="B2907" s="149" t="s">
        <v>34547</v>
      </c>
      <c r="C2907" s="153" t="s">
        <v>10819</v>
      </c>
      <c r="D2907" s="154">
        <v>1480</v>
      </c>
      <c r="E2907" s="231">
        <v>44863</v>
      </c>
      <c r="F2907" s="154">
        <v>1480</v>
      </c>
      <c r="G2907" s="197">
        <f>Tabla111[[#This Row],[Importe]]-Tabla111[[#This Row],[Pagado]]</f>
        <v>0</v>
      </c>
      <c r="H2907" s="153" t="s">
        <v>10</v>
      </c>
    </row>
    <row r="2908" spans="1:8" x14ac:dyDescent="0.25">
      <c r="A2908" s="73">
        <v>44861</v>
      </c>
      <c r="B2908" s="74" t="s">
        <v>34548</v>
      </c>
      <c r="C2908" s="75" t="s">
        <v>9</v>
      </c>
      <c r="D2908" s="81">
        <v>1876</v>
      </c>
      <c r="E2908" s="230">
        <v>44861</v>
      </c>
      <c r="F2908" s="81">
        <v>1876</v>
      </c>
      <c r="G2908" s="197">
        <f>Tabla111[[#This Row],[Importe]]-Tabla111[[#This Row],[Pagado]]</f>
        <v>0</v>
      </c>
      <c r="H2908" s="75" t="s">
        <v>10</v>
      </c>
    </row>
    <row r="2909" spans="1:8" x14ac:dyDescent="0.25">
      <c r="A2909" s="148">
        <v>44861</v>
      </c>
      <c r="B2909" s="149" t="s">
        <v>34549</v>
      </c>
      <c r="C2909" s="153" t="s">
        <v>175</v>
      </c>
      <c r="D2909" s="154">
        <v>5116.5</v>
      </c>
      <c r="E2909" s="231">
        <v>44863</v>
      </c>
      <c r="F2909" s="154">
        <v>5116.5</v>
      </c>
      <c r="G2909" s="197">
        <f>Tabla111[[#This Row],[Importe]]-Tabla111[[#This Row],[Pagado]]</f>
        <v>0</v>
      </c>
      <c r="H2909" s="153" t="s">
        <v>10</v>
      </c>
    </row>
    <row r="2910" spans="1:8" x14ac:dyDescent="0.25">
      <c r="A2910" s="73">
        <v>44861</v>
      </c>
      <c r="B2910" s="74" t="s">
        <v>34550</v>
      </c>
      <c r="C2910" s="75" t="s">
        <v>296</v>
      </c>
      <c r="D2910" s="81">
        <v>638.4</v>
      </c>
      <c r="E2910" s="230">
        <v>44861</v>
      </c>
      <c r="F2910" s="81">
        <v>638.4</v>
      </c>
      <c r="G2910" s="197">
        <f>Tabla111[[#This Row],[Importe]]-Tabla111[[#This Row],[Pagado]]</f>
        <v>0</v>
      </c>
      <c r="H2910" s="75" t="s">
        <v>10</v>
      </c>
    </row>
    <row r="2911" spans="1:8" x14ac:dyDescent="0.25">
      <c r="A2911" s="148">
        <v>44861</v>
      </c>
      <c r="B2911" s="149" t="s">
        <v>34551</v>
      </c>
      <c r="C2911" s="153" t="s">
        <v>1275</v>
      </c>
      <c r="D2911" s="154">
        <v>31115.8</v>
      </c>
      <c r="E2911" s="231">
        <v>44861</v>
      </c>
      <c r="F2911" s="154">
        <v>31115.8</v>
      </c>
      <c r="G2911" s="197">
        <f>Tabla111[[#This Row],[Importe]]-Tabla111[[#This Row],[Pagado]]</f>
        <v>0</v>
      </c>
      <c r="H2911" s="153" t="s">
        <v>10</v>
      </c>
    </row>
    <row r="2912" spans="1:8" x14ac:dyDescent="0.25">
      <c r="A2912" s="73">
        <v>44861</v>
      </c>
      <c r="B2912" s="74" t="s">
        <v>34552</v>
      </c>
      <c r="C2912" s="75" t="s">
        <v>31</v>
      </c>
      <c r="D2912" s="81">
        <v>325</v>
      </c>
      <c r="E2912" s="230">
        <v>44861</v>
      </c>
      <c r="F2912" s="81">
        <v>325</v>
      </c>
      <c r="G2912" s="197">
        <f>Tabla111[[#This Row],[Importe]]-Tabla111[[#This Row],[Pagado]]</f>
        <v>0</v>
      </c>
      <c r="H2912" s="75" t="s">
        <v>10</v>
      </c>
    </row>
    <row r="2913" spans="1:8" x14ac:dyDescent="0.25">
      <c r="A2913" s="148">
        <v>44861</v>
      </c>
      <c r="B2913" s="149" t="s">
        <v>34553</v>
      </c>
      <c r="C2913" s="153" t="s">
        <v>31</v>
      </c>
      <c r="D2913" s="154">
        <v>1968.4</v>
      </c>
      <c r="E2913" s="231">
        <v>44861</v>
      </c>
      <c r="F2913" s="154">
        <v>1968.4</v>
      </c>
      <c r="G2913" s="197">
        <f>Tabla111[[#This Row],[Importe]]-Tabla111[[#This Row],[Pagado]]</f>
        <v>0</v>
      </c>
      <c r="H2913" s="153" t="s">
        <v>10</v>
      </c>
    </row>
    <row r="2914" spans="1:8" x14ac:dyDescent="0.25">
      <c r="A2914" s="73">
        <v>44861</v>
      </c>
      <c r="B2914" s="74" t="s">
        <v>34554</v>
      </c>
      <c r="C2914" s="75" t="s">
        <v>10678</v>
      </c>
      <c r="D2914" s="81">
        <v>3970.2</v>
      </c>
      <c r="E2914" s="230">
        <v>44861</v>
      </c>
      <c r="F2914" s="81">
        <v>3970.2</v>
      </c>
      <c r="G2914" s="197">
        <f>Tabla111[[#This Row],[Importe]]-Tabla111[[#This Row],[Pagado]]</f>
        <v>0</v>
      </c>
      <c r="H2914" s="75" t="s">
        <v>10</v>
      </c>
    </row>
    <row r="2915" spans="1:8" x14ac:dyDescent="0.25">
      <c r="A2915" s="148">
        <v>44861</v>
      </c>
      <c r="B2915" s="149" t="s">
        <v>34555</v>
      </c>
      <c r="C2915" s="153" t="s">
        <v>69</v>
      </c>
      <c r="D2915" s="154">
        <v>1361.6</v>
      </c>
      <c r="E2915" s="231">
        <v>44861</v>
      </c>
      <c r="F2915" s="154">
        <v>1361.6</v>
      </c>
      <c r="G2915" s="197">
        <f>Tabla111[[#This Row],[Importe]]-Tabla111[[#This Row],[Pagado]]</f>
        <v>0</v>
      </c>
      <c r="H2915" s="153" t="s">
        <v>10</v>
      </c>
    </row>
    <row r="2916" spans="1:8" x14ac:dyDescent="0.25">
      <c r="A2916" s="73">
        <v>44861</v>
      </c>
      <c r="B2916" s="74" t="s">
        <v>34556</v>
      </c>
      <c r="C2916" s="75" t="s">
        <v>301</v>
      </c>
      <c r="D2916" s="81">
        <v>17567.599999999999</v>
      </c>
      <c r="E2916" s="230">
        <v>44861</v>
      </c>
      <c r="F2916" s="81">
        <v>17567.599999999999</v>
      </c>
      <c r="G2916" s="197">
        <f>Tabla111[[#This Row],[Importe]]-Tabla111[[#This Row],[Pagado]]</f>
        <v>0</v>
      </c>
      <c r="H2916" s="75" t="s">
        <v>10</v>
      </c>
    </row>
    <row r="2917" spans="1:8" x14ac:dyDescent="0.25">
      <c r="A2917" s="148">
        <v>44861</v>
      </c>
      <c r="B2917" s="149" t="s">
        <v>34557</v>
      </c>
      <c r="C2917" s="153" t="s">
        <v>56</v>
      </c>
      <c r="D2917" s="154">
        <v>10167.700000000001</v>
      </c>
      <c r="E2917" s="231">
        <v>44861</v>
      </c>
      <c r="F2917" s="154">
        <v>10167.700000000001</v>
      </c>
      <c r="G2917" s="197">
        <f>Tabla111[[#This Row],[Importe]]-Tabla111[[#This Row],[Pagado]]</f>
        <v>0</v>
      </c>
      <c r="H2917" s="153" t="s">
        <v>10</v>
      </c>
    </row>
    <row r="2918" spans="1:8" x14ac:dyDescent="0.25">
      <c r="A2918" s="73">
        <v>44861</v>
      </c>
      <c r="B2918" s="74" t="s">
        <v>34558</v>
      </c>
      <c r="C2918" s="75" t="s">
        <v>1339</v>
      </c>
      <c r="D2918" s="81">
        <v>2506.08</v>
      </c>
      <c r="E2918" s="230">
        <v>44861</v>
      </c>
      <c r="F2918" s="81">
        <v>2506.08</v>
      </c>
      <c r="G2918" s="197">
        <f>Tabla111[[#This Row],[Importe]]-Tabla111[[#This Row],[Pagado]]</f>
        <v>0</v>
      </c>
      <c r="H2918" s="75" t="s">
        <v>10</v>
      </c>
    </row>
    <row r="2919" spans="1:8" x14ac:dyDescent="0.25">
      <c r="A2919" s="148">
        <v>44861</v>
      </c>
      <c r="B2919" s="149" t="s">
        <v>34559</v>
      </c>
      <c r="C2919" s="153" t="s">
        <v>301</v>
      </c>
      <c r="D2919" s="154">
        <v>754.8</v>
      </c>
      <c r="E2919" s="231">
        <v>44861</v>
      </c>
      <c r="F2919" s="154">
        <v>754.8</v>
      </c>
      <c r="G2919" s="197">
        <f>Tabla111[[#This Row],[Importe]]-Tabla111[[#This Row],[Pagado]]</f>
        <v>0</v>
      </c>
      <c r="H2919" s="153" t="s">
        <v>10</v>
      </c>
    </row>
    <row r="2920" spans="1:8" x14ac:dyDescent="0.25">
      <c r="A2920" s="73">
        <v>44861</v>
      </c>
      <c r="B2920" s="74" t="s">
        <v>34560</v>
      </c>
      <c r="C2920" s="75" t="s">
        <v>62</v>
      </c>
      <c r="D2920" s="81">
        <v>6175.8</v>
      </c>
      <c r="E2920" s="230">
        <v>44861</v>
      </c>
      <c r="F2920" s="81">
        <v>6175.8</v>
      </c>
      <c r="G2920" s="197">
        <f>Tabla111[[#This Row],[Importe]]-Tabla111[[#This Row],[Pagado]]</f>
        <v>0</v>
      </c>
      <c r="H2920" s="75" t="s">
        <v>10</v>
      </c>
    </row>
    <row r="2921" spans="1:8" x14ac:dyDescent="0.25">
      <c r="A2921" s="148">
        <v>44861</v>
      </c>
      <c r="B2921" s="149" t="s">
        <v>34561</v>
      </c>
      <c r="C2921" s="153" t="s">
        <v>51</v>
      </c>
      <c r="D2921" s="154">
        <v>2247.1999999999998</v>
      </c>
      <c r="E2921" s="231">
        <v>44861</v>
      </c>
      <c r="F2921" s="154">
        <v>2247.1999999999998</v>
      </c>
      <c r="G2921" s="197">
        <f>Tabla111[[#This Row],[Importe]]-Tabla111[[#This Row],[Pagado]]</f>
        <v>0</v>
      </c>
      <c r="H2921" s="153" t="s">
        <v>10</v>
      </c>
    </row>
    <row r="2922" spans="1:8" x14ac:dyDescent="0.25">
      <c r="A2922" s="73">
        <v>44861</v>
      </c>
      <c r="B2922" s="74" t="s">
        <v>34562</v>
      </c>
      <c r="C2922" s="75" t="s">
        <v>28087</v>
      </c>
      <c r="D2922" s="81">
        <v>17079.400000000001</v>
      </c>
      <c r="E2922" s="230">
        <v>44866</v>
      </c>
      <c r="F2922" s="81">
        <v>17079.400000000001</v>
      </c>
      <c r="G2922" s="197">
        <f>Tabla111[[#This Row],[Importe]]-Tabla111[[#This Row],[Pagado]]</f>
        <v>0</v>
      </c>
      <c r="H2922" s="75" t="s">
        <v>10</v>
      </c>
    </row>
    <row r="2923" spans="1:8" x14ac:dyDescent="0.25">
      <c r="A2923" s="148">
        <v>44861</v>
      </c>
      <c r="B2923" s="149" t="s">
        <v>34563</v>
      </c>
      <c r="C2923" s="153" t="s">
        <v>5694</v>
      </c>
      <c r="D2923" s="154">
        <v>5774</v>
      </c>
      <c r="E2923" s="231">
        <v>44861</v>
      </c>
      <c r="F2923" s="154">
        <v>5774</v>
      </c>
      <c r="G2923" s="197">
        <f>Tabla111[[#This Row],[Importe]]-Tabla111[[#This Row],[Pagado]]</f>
        <v>0</v>
      </c>
      <c r="H2923" s="153" t="s">
        <v>10</v>
      </c>
    </row>
    <row r="2924" spans="1:8" x14ac:dyDescent="0.25">
      <c r="A2924" s="73">
        <v>44861</v>
      </c>
      <c r="B2924" s="74" t="s">
        <v>34564</v>
      </c>
      <c r="C2924" s="75" t="s">
        <v>289</v>
      </c>
      <c r="D2924" s="81">
        <v>17058</v>
      </c>
      <c r="E2924" s="230">
        <v>44861</v>
      </c>
      <c r="F2924" s="81">
        <v>17058</v>
      </c>
      <c r="G2924" s="197">
        <f>Tabla111[[#This Row],[Importe]]-Tabla111[[#This Row],[Pagado]]</f>
        <v>0</v>
      </c>
      <c r="H2924" s="75" t="s">
        <v>10</v>
      </c>
    </row>
    <row r="2925" spans="1:8" x14ac:dyDescent="0.25">
      <c r="A2925" s="148">
        <v>44861</v>
      </c>
      <c r="B2925" s="149" t="s">
        <v>34565</v>
      </c>
      <c r="C2925" s="153" t="s">
        <v>31</v>
      </c>
      <c r="D2925" s="154">
        <v>186</v>
      </c>
      <c r="E2925" s="231">
        <v>44862</v>
      </c>
      <c r="F2925" s="154">
        <v>186</v>
      </c>
      <c r="G2925" s="197">
        <f>Tabla111[[#This Row],[Importe]]-Tabla111[[#This Row],[Pagado]]</f>
        <v>0</v>
      </c>
      <c r="H2925" s="153" t="s">
        <v>10</v>
      </c>
    </row>
    <row r="2926" spans="1:8" x14ac:dyDescent="0.25">
      <c r="A2926" s="73">
        <v>44861</v>
      </c>
      <c r="B2926" s="74" t="s">
        <v>34566</v>
      </c>
      <c r="C2926" s="75" t="s">
        <v>196</v>
      </c>
      <c r="D2926" s="81">
        <v>162878.20000000001</v>
      </c>
      <c r="E2926" s="230">
        <v>44862</v>
      </c>
      <c r="F2926" s="81">
        <v>162878.20000000001</v>
      </c>
      <c r="G2926" s="197">
        <f>Tabla111[[#This Row],[Importe]]-Tabla111[[#This Row],[Pagado]]</f>
        <v>0</v>
      </c>
      <c r="H2926" s="75" t="s">
        <v>10</v>
      </c>
    </row>
    <row r="2927" spans="1:8" x14ac:dyDescent="0.25">
      <c r="A2927" s="148">
        <v>44861</v>
      </c>
      <c r="B2927" s="149" t="s">
        <v>34567</v>
      </c>
      <c r="C2927" s="153" t="s">
        <v>2377</v>
      </c>
      <c r="D2927" s="154">
        <v>25995</v>
      </c>
      <c r="E2927" s="231">
        <v>44862</v>
      </c>
      <c r="F2927" s="154">
        <v>25995</v>
      </c>
      <c r="G2927" s="197">
        <f>Tabla111[[#This Row],[Importe]]-Tabla111[[#This Row],[Pagado]]</f>
        <v>0</v>
      </c>
      <c r="H2927" s="153" t="s">
        <v>10</v>
      </c>
    </row>
    <row r="2928" spans="1:8" x14ac:dyDescent="0.25">
      <c r="A2928" s="73">
        <v>44862</v>
      </c>
      <c r="B2928" s="74" t="s">
        <v>34568</v>
      </c>
      <c r="C2928" s="75" t="s">
        <v>887</v>
      </c>
      <c r="D2928" s="81">
        <v>15182.3</v>
      </c>
      <c r="E2928" s="230">
        <v>44863</v>
      </c>
      <c r="F2928" s="81">
        <v>15182.3</v>
      </c>
      <c r="G2928" s="197">
        <f>Tabla111[[#This Row],[Importe]]-Tabla111[[#This Row],[Pagado]]</f>
        <v>0</v>
      </c>
      <c r="H2928" s="75" t="s">
        <v>10</v>
      </c>
    </row>
    <row r="2929" spans="1:8" x14ac:dyDescent="0.25">
      <c r="A2929" s="148">
        <v>44862</v>
      </c>
      <c r="B2929" s="149" t="s">
        <v>34569</v>
      </c>
      <c r="C2929" s="153" t="s">
        <v>475</v>
      </c>
      <c r="D2929" s="154">
        <v>105559.4</v>
      </c>
      <c r="E2929" s="231" t="s">
        <v>34570</v>
      </c>
      <c r="F2929" s="154">
        <f>83500+22059.4</f>
        <v>105559.4</v>
      </c>
      <c r="G2929" s="197">
        <f>Tabla111[[#This Row],[Importe]]-Tabla111[[#This Row],[Pagado]]</f>
        <v>0</v>
      </c>
      <c r="H2929" s="153" t="s">
        <v>10</v>
      </c>
    </row>
    <row r="2930" spans="1:8" x14ac:dyDescent="0.25">
      <c r="A2930" s="73">
        <v>44862</v>
      </c>
      <c r="B2930" s="74" t="s">
        <v>34571</v>
      </c>
      <c r="C2930" s="75" t="s">
        <v>12</v>
      </c>
      <c r="D2930" s="81">
        <v>43670.5</v>
      </c>
      <c r="E2930" s="230" t="s">
        <v>34458</v>
      </c>
      <c r="F2930" s="81">
        <f>38000+5670.5</f>
        <v>43670.5</v>
      </c>
      <c r="G2930" s="197">
        <f>Tabla111[[#This Row],[Importe]]-Tabla111[[#This Row],[Pagado]]</f>
        <v>0</v>
      </c>
      <c r="H2930" s="75" t="s">
        <v>10</v>
      </c>
    </row>
    <row r="2931" spans="1:8" x14ac:dyDescent="0.25">
      <c r="A2931" s="148">
        <v>44862</v>
      </c>
      <c r="B2931" s="149" t="s">
        <v>34572</v>
      </c>
      <c r="C2931" s="153" t="s">
        <v>924</v>
      </c>
      <c r="D2931" s="154">
        <v>16686.400000000001</v>
      </c>
      <c r="E2931" s="231">
        <v>44862</v>
      </c>
      <c r="F2931" s="154">
        <v>16686.400000000001</v>
      </c>
      <c r="G2931" s="197">
        <f>Tabla111[[#This Row],[Importe]]-Tabla111[[#This Row],[Pagado]]</f>
        <v>0</v>
      </c>
      <c r="H2931" s="153" t="s">
        <v>10</v>
      </c>
    </row>
    <row r="2932" spans="1:8" x14ac:dyDescent="0.25">
      <c r="A2932" s="73">
        <v>44862</v>
      </c>
      <c r="B2932" s="74" t="s">
        <v>34573</v>
      </c>
      <c r="C2932" s="75" t="s">
        <v>24768</v>
      </c>
      <c r="D2932" s="81">
        <v>5453.6</v>
      </c>
      <c r="E2932" s="230">
        <v>44862</v>
      </c>
      <c r="F2932" s="81">
        <v>5453.6</v>
      </c>
      <c r="G2932" s="197">
        <f>Tabla111[[#This Row],[Importe]]-Tabla111[[#This Row],[Pagado]]</f>
        <v>0</v>
      </c>
      <c r="H2932" s="75" t="s">
        <v>10</v>
      </c>
    </row>
    <row r="2933" spans="1:8" x14ac:dyDescent="0.25">
      <c r="A2933" s="148">
        <v>44862</v>
      </c>
      <c r="B2933" s="149" t="s">
        <v>34574</v>
      </c>
      <c r="C2933" s="153" t="s">
        <v>450</v>
      </c>
      <c r="D2933" s="154">
        <v>12474.7</v>
      </c>
      <c r="E2933" s="231">
        <v>44862</v>
      </c>
      <c r="F2933" s="154">
        <v>12474.7</v>
      </c>
      <c r="G2933" s="197">
        <f>Tabla111[[#This Row],[Importe]]-Tabla111[[#This Row],[Pagado]]</f>
        <v>0</v>
      </c>
      <c r="H2933" s="153" t="s">
        <v>10</v>
      </c>
    </row>
    <row r="2934" spans="1:8" x14ac:dyDescent="0.25">
      <c r="A2934" s="73">
        <v>44862</v>
      </c>
      <c r="B2934" s="74" t="s">
        <v>34575</v>
      </c>
      <c r="C2934" s="75" t="s">
        <v>167</v>
      </c>
      <c r="D2934" s="81">
        <v>95914.6</v>
      </c>
      <c r="E2934" s="230">
        <v>44862</v>
      </c>
      <c r="F2934" s="81">
        <v>95914.6</v>
      </c>
      <c r="G2934" s="197">
        <f>Tabla111[[#This Row],[Importe]]-Tabla111[[#This Row],[Pagado]]</f>
        <v>0</v>
      </c>
      <c r="H2934" s="75" t="s">
        <v>10</v>
      </c>
    </row>
    <row r="2935" spans="1:8" x14ac:dyDescent="0.25">
      <c r="A2935" s="148">
        <v>44862</v>
      </c>
      <c r="B2935" s="149" t="s">
        <v>34576</v>
      </c>
      <c r="C2935" s="153" t="s">
        <v>481</v>
      </c>
      <c r="D2935" s="154">
        <v>1743.99</v>
      </c>
      <c r="E2935" s="231">
        <v>44862</v>
      </c>
      <c r="F2935" s="154">
        <v>1743.99</v>
      </c>
      <c r="G2935" s="197">
        <f>Tabla111[[#This Row],[Importe]]-Tabla111[[#This Row],[Pagado]]</f>
        <v>0</v>
      </c>
      <c r="H2935" s="153" t="s">
        <v>10</v>
      </c>
    </row>
    <row r="2936" spans="1:8" x14ac:dyDescent="0.25">
      <c r="A2936" s="73">
        <v>44862</v>
      </c>
      <c r="B2936" s="74" t="s">
        <v>34577</v>
      </c>
      <c r="C2936" s="75" t="s">
        <v>27</v>
      </c>
      <c r="D2936" s="81">
        <v>1903</v>
      </c>
      <c r="E2936" s="230">
        <v>44862</v>
      </c>
      <c r="F2936" s="81">
        <v>1903</v>
      </c>
      <c r="G2936" s="197">
        <f>Tabla111[[#This Row],[Importe]]-Tabla111[[#This Row],[Pagado]]</f>
        <v>0</v>
      </c>
      <c r="H2936" s="75" t="s">
        <v>10</v>
      </c>
    </row>
    <row r="2937" spans="1:8" x14ac:dyDescent="0.25">
      <c r="A2937" s="148">
        <v>44862</v>
      </c>
      <c r="B2937" s="149" t="s">
        <v>34578</v>
      </c>
      <c r="C2937" s="153" t="s">
        <v>9415</v>
      </c>
      <c r="D2937" s="154">
        <v>38742.800000000003</v>
      </c>
      <c r="E2937" s="231">
        <v>44872</v>
      </c>
      <c r="F2937" s="154">
        <v>38742.800000000003</v>
      </c>
      <c r="G2937" s="197">
        <f>Tabla111[[#This Row],[Importe]]-Tabla111[[#This Row],[Pagado]]</f>
        <v>0</v>
      </c>
      <c r="H2937" s="153" t="s">
        <v>10</v>
      </c>
    </row>
    <row r="2938" spans="1:8" x14ac:dyDescent="0.25">
      <c r="A2938" s="73">
        <v>44862</v>
      </c>
      <c r="B2938" s="74" t="s">
        <v>34579</v>
      </c>
      <c r="C2938" s="75" t="s">
        <v>131</v>
      </c>
      <c r="D2938" s="81">
        <v>6358.4</v>
      </c>
      <c r="E2938" s="230">
        <v>44862</v>
      </c>
      <c r="F2938" s="81">
        <v>6358.4</v>
      </c>
      <c r="G2938" s="197">
        <f>Tabla111[[#This Row],[Importe]]-Tabla111[[#This Row],[Pagado]]</f>
        <v>0</v>
      </c>
      <c r="H2938" s="75" t="s">
        <v>10</v>
      </c>
    </row>
    <row r="2939" spans="1:8" x14ac:dyDescent="0.25">
      <c r="A2939" s="148">
        <v>44862</v>
      </c>
      <c r="B2939" s="149" t="s">
        <v>34580</v>
      </c>
      <c r="C2939" s="153" t="s">
        <v>473</v>
      </c>
      <c r="D2939" s="154">
        <v>7506.6</v>
      </c>
      <c r="E2939" s="231">
        <v>44862</v>
      </c>
      <c r="F2939" s="154">
        <v>7506.6</v>
      </c>
      <c r="G2939" s="197">
        <f>Tabla111[[#This Row],[Importe]]-Tabla111[[#This Row],[Pagado]]</f>
        <v>0</v>
      </c>
      <c r="H2939" s="153" t="s">
        <v>10</v>
      </c>
    </row>
    <row r="2940" spans="1:8" x14ac:dyDescent="0.25">
      <c r="A2940" s="73">
        <v>44862</v>
      </c>
      <c r="B2940" s="74" t="s">
        <v>34581</v>
      </c>
      <c r="C2940" s="75" t="s">
        <v>75</v>
      </c>
      <c r="D2940" s="81">
        <v>9856.7999999999993</v>
      </c>
      <c r="E2940" s="230">
        <v>44862</v>
      </c>
      <c r="F2940" s="81">
        <v>9856.7999999999993</v>
      </c>
      <c r="G2940" s="197">
        <f>Tabla111[[#This Row],[Importe]]-Tabla111[[#This Row],[Pagado]]</f>
        <v>0</v>
      </c>
      <c r="H2940" s="75" t="s">
        <v>10</v>
      </c>
    </row>
    <row r="2941" spans="1:8" x14ac:dyDescent="0.25">
      <c r="A2941" s="148">
        <v>44862</v>
      </c>
      <c r="B2941" s="149" t="s">
        <v>34582</v>
      </c>
      <c r="C2941" s="153" t="s">
        <v>2151</v>
      </c>
      <c r="D2941" s="154">
        <v>15477</v>
      </c>
      <c r="E2941" s="231">
        <v>44862</v>
      </c>
      <c r="F2941" s="154">
        <v>15477</v>
      </c>
      <c r="G2941" s="197">
        <f>Tabla111[[#This Row],[Importe]]-Tabla111[[#This Row],[Pagado]]</f>
        <v>0</v>
      </c>
      <c r="H2941" s="153" t="s">
        <v>10</v>
      </c>
    </row>
    <row r="2942" spans="1:8" x14ac:dyDescent="0.25">
      <c r="A2942" s="73">
        <v>44862</v>
      </c>
      <c r="B2942" s="74" t="s">
        <v>34583</v>
      </c>
      <c r="C2942" s="75" t="s">
        <v>93</v>
      </c>
      <c r="D2942" s="81">
        <v>10008</v>
      </c>
      <c r="E2942" s="230">
        <v>44863</v>
      </c>
      <c r="F2942" s="81">
        <v>10008</v>
      </c>
      <c r="G2942" s="197">
        <f>Tabla111[[#This Row],[Importe]]-Tabla111[[#This Row],[Pagado]]</f>
        <v>0</v>
      </c>
      <c r="H2942" s="75" t="s">
        <v>10</v>
      </c>
    </row>
    <row r="2943" spans="1:8" x14ac:dyDescent="0.25">
      <c r="A2943" s="148">
        <v>44862</v>
      </c>
      <c r="B2943" s="149" t="s">
        <v>34584</v>
      </c>
      <c r="C2943" s="153" t="s">
        <v>97</v>
      </c>
      <c r="D2943" s="154">
        <v>9947.9</v>
      </c>
      <c r="E2943" s="231" t="s">
        <v>34585</v>
      </c>
      <c r="F2943" s="154">
        <v>9947.9</v>
      </c>
      <c r="G2943" s="197">
        <f>Tabla111[[#This Row],[Importe]]-Tabla111[[#This Row],[Pagado]]</f>
        <v>0</v>
      </c>
      <c r="H2943" s="153" t="s">
        <v>10</v>
      </c>
    </row>
    <row r="2944" spans="1:8" x14ac:dyDescent="0.25">
      <c r="A2944" s="73">
        <v>44862</v>
      </c>
      <c r="B2944" s="74" t="s">
        <v>34586</v>
      </c>
      <c r="C2944" s="75" t="s">
        <v>22</v>
      </c>
      <c r="D2944" s="81">
        <v>63175.4</v>
      </c>
      <c r="E2944" s="230" t="s">
        <v>34587</v>
      </c>
      <c r="F2944" s="81">
        <f>55000+8175.4</f>
        <v>63175.4</v>
      </c>
      <c r="G2944" s="197">
        <f>Tabla111[[#This Row],[Importe]]-Tabla111[[#This Row],[Pagado]]</f>
        <v>0</v>
      </c>
      <c r="H2944" s="75" t="s">
        <v>10</v>
      </c>
    </row>
    <row r="2945" spans="1:8" x14ac:dyDescent="0.25">
      <c r="A2945" s="148">
        <v>44862</v>
      </c>
      <c r="B2945" s="149" t="s">
        <v>34588</v>
      </c>
      <c r="C2945" s="153" t="s">
        <v>64</v>
      </c>
      <c r="D2945" s="154">
        <v>6009</v>
      </c>
      <c r="E2945" s="231">
        <v>44863</v>
      </c>
      <c r="F2945" s="154">
        <v>6009</v>
      </c>
      <c r="G2945" s="197">
        <f>Tabla111[[#This Row],[Importe]]-Tabla111[[#This Row],[Pagado]]</f>
        <v>0</v>
      </c>
      <c r="H2945" s="153" t="s">
        <v>10</v>
      </c>
    </row>
    <row r="2946" spans="1:8" x14ac:dyDescent="0.25">
      <c r="A2946" s="73">
        <v>44862</v>
      </c>
      <c r="B2946" s="74" t="s">
        <v>34589</v>
      </c>
      <c r="C2946" s="75" t="s">
        <v>326</v>
      </c>
      <c r="D2946" s="81">
        <v>9083.5</v>
      </c>
      <c r="E2946" s="230">
        <v>44863</v>
      </c>
      <c r="F2946" s="81">
        <v>9083.5</v>
      </c>
      <c r="G2946" s="197">
        <f>Tabla111[[#This Row],[Importe]]-Tabla111[[#This Row],[Pagado]]</f>
        <v>0</v>
      </c>
      <c r="H2946" s="75" t="s">
        <v>10</v>
      </c>
    </row>
    <row r="2947" spans="1:8" x14ac:dyDescent="0.25">
      <c r="A2947" s="148">
        <v>44862</v>
      </c>
      <c r="B2947" s="149" t="s">
        <v>34590</v>
      </c>
      <c r="C2947" s="153" t="s">
        <v>348</v>
      </c>
      <c r="D2947" s="154">
        <v>3571.2</v>
      </c>
      <c r="E2947" s="231">
        <v>44862</v>
      </c>
      <c r="F2947" s="154">
        <v>3571.2</v>
      </c>
      <c r="G2947" s="197">
        <f>Tabla111[[#This Row],[Importe]]-Tabla111[[#This Row],[Pagado]]</f>
        <v>0</v>
      </c>
      <c r="H2947" s="153" t="s">
        <v>10</v>
      </c>
    </row>
    <row r="2948" spans="1:8" x14ac:dyDescent="0.25">
      <c r="A2948" s="73">
        <v>44862</v>
      </c>
      <c r="B2948" s="74" t="s">
        <v>34591</v>
      </c>
      <c r="C2948" s="75" t="s">
        <v>89</v>
      </c>
      <c r="D2948" s="81">
        <v>16957</v>
      </c>
      <c r="E2948" s="230">
        <v>44863</v>
      </c>
      <c r="F2948" s="81">
        <v>16957</v>
      </c>
      <c r="G2948" s="197">
        <f>Tabla111[[#This Row],[Importe]]-Tabla111[[#This Row],[Pagado]]</f>
        <v>0</v>
      </c>
      <c r="H2948" s="75" t="s">
        <v>10</v>
      </c>
    </row>
    <row r="2949" spans="1:8" x14ac:dyDescent="0.25">
      <c r="A2949" s="148">
        <v>44862</v>
      </c>
      <c r="B2949" s="149" t="s">
        <v>34592</v>
      </c>
      <c r="C2949" s="153" t="s">
        <v>5043</v>
      </c>
      <c r="D2949" s="154">
        <v>5180.5</v>
      </c>
      <c r="E2949" s="231">
        <v>44865</v>
      </c>
      <c r="F2949" s="154">
        <v>5180.5</v>
      </c>
      <c r="G2949" s="197">
        <f>Tabla111[[#This Row],[Importe]]-Tabla111[[#This Row],[Pagado]]</f>
        <v>0</v>
      </c>
      <c r="H2949" s="153" t="s">
        <v>10</v>
      </c>
    </row>
    <row r="2950" spans="1:8" x14ac:dyDescent="0.25">
      <c r="A2950" s="73">
        <v>44862</v>
      </c>
      <c r="B2950" s="74" t="s">
        <v>34593</v>
      </c>
      <c r="C2950" s="75" t="s">
        <v>111</v>
      </c>
      <c r="D2950" s="81">
        <v>11856</v>
      </c>
      <c r="E2950" s="230">
        <v>44863</v>
      </c>
      <c r="F2950" s="81">
        <v>11856</v>
      </c>
      <c r="G2950" s="197">
        <f>Tabla111[[#This Row],[Importe]]-Tabla111[[#This Row],[Pagado]]</f>
        <v>0</v>
      </c>
      <c r="H2950" s="75" t="s">
        <v>10</v>
      </c>
    </row>
    <row r="2951" spans="1:8" x14ac:dyDescent="0.25">
      <c r="A2951" s="148">
        <v>44862</v>
      </c>
      <c r="B2951" s="149" t="s">
        <v>34594</v>
      </c>
      <c r="C2951" s="153" t="s">
        <v>105</v>
      </c>
      <c r="D2951" s="154">
        <v>11908</v>
      </c>
      <c r="E2951" s="231">
        <v>44863</v>
      </c>
      <c r="F2951" s="154">
        <v>11908</v>
      </c>
      <c r="G2951" s="197">
        <f>Tabla111[[#This Row],[Importe]]-Tabla111[[#This Row],[Pagado]]</f>
        <v>0</v>
      </c>
      <c r="H2951" s="153" t="s">
        <v>10</v>
      </c>
    </row>
    <row r="2952" spans="1:8" x14ac:dyDescent="0.25">
      <c r="A2952" s="73">
        <v>44862</v>
      </c>
      <c r="B2952" s="74" t="s">
        <v>34595</v>
      </c>
      <c r="C2952" s="75" t="s">
        <v>9</v>
      </c>
      <c r="D2952" s="81">
        <v>9582.7000000000007</v>
      </c>
      <c r="E2952" s="230">
        <v>44862</v>
      </c>
      <c r="F2952" s="81">
        <v>9582.7000000000007</v>
      </c>
      <c r="G2952" s="197">
        <f>Tabla111[[#This Row],[Importe]]-Tabla111[[#This Row],[Pagado]]</f>
        <v>0</v>
      </c>
      <c r="H2952" s="75" t="s">
        <v>10</v>
      </c>
    </row>
    <row r="2953" spans="1:8" x14ac:dyDescent="0.25">
      <c r="A2953" s="148">
        <v>44862</v>
      </c>
      <c r="B2953" s="149" t="s">
        <v>34596</v>
      </c>
      <c r="C2953" s="153" t="s">
        <v>647</v>
      </c>
      <c r="D2953" s="154">
        <v>5412.5</v>
      </c>
      <c r="E2953" s="231">
        <v>44862</v>
      </c>
      <c r="F2953" s="154">
        <v>5412.5</v>
      </c>
      <c r="G2953" s="197">
        <f>Tabla111[[#This Row],[Importe]]-Tabla111[[#This Row],[Pagado]]</f>
        <v>0</v>
      </c>
      <c r="H2953" s="153" t="s">
        <v>10</v>
      </c>
    </row>
    <row r="2954" spans="1:8" x14ac:dyDescent="0.25">
      <c r="A2954" s="73">
        <v>44862</v>
      </c>
      <c r="B2954" s="74" t="s">
        <v>34597</v>
      </c>
      <c r="C2954" s="75" t="s">
        <v>83</v>
      </c>
      <c r="D2954" s="81">
        <v>12423.6</v>
      </c>
      <c r="E2954" s="230">
        <v>44862</v>
      </c>
      <c r="F2954" s="81">
        <v>12423.6</v>
      </c>
      <c r="G2954" s="197">
        <f>Tabla111[[#This Row],[Importe]]-Tabla111[[#This Row],[Pagado]]</f>
        <v>0</v>
      </c>
      <c r="H2954" s="75" t="s">
        <v>10</v>
      </c>
    </row>
    <row r="2955" spans="1:8" x14ac:dyDescent="0.25">
      <c r="A2955" s="148">
        <v>44862</v>
      </c>
      <c r="B2955" s="149" t="s">
        <v>34598</v>
      </c>
      <c r="C2955" s="153" t="s">
        <v>79</v>
      </c>
      <c r="D2955" s="154">
        <v>30044</v>
      </c>
      <c r="E2955" s="231">
        <v>44862</v>
      </c>
      <c r="F2955" s="154">
        <v>30044</v>
      </c>
      <c r="G2955" s="197">
        <f>Tabla111[[#This Row],[Importe]]-Tabla111[[#This Row],[Pagado]]</f>
        <v>0</v>
      </c>
      <c r="H2955" s="153" t="s">
        <v>10</v>
      </c>
    </row>
    <row r="2956" spans="1:8" x14ac:dyDescent="0.25">
      <c r="A2956" s="73">
        <v>44862</v>
      </c>
      <c r="B2956" s="74" t="s">
        <v>34599</v>
      </c>
      <c r="C2956" s="75" t="s">
        <v>79</v>
      </c>
      <c r="D2956" s="81">
        <v>7400</v>
      </c>
      <c r="E2956" s="230">
        <v>44862</v>
      </c>
      <c r="F2956" s="81">
        <v>7400</v>
      </c>
      <c r="G2956" s="197">
        <f>Tabla111[[#This Row],[Importe]]-Tabla111[[#This Row],[Pagado]]</f>
        <v>0</v>
      </c>
      <c r="H2956" s="75" t="s">
        <v>10</v>
      </c>
    </row>
    <row r="2957" spans="1:8" x14ac:dyDescent="0.25">
      <c r="A2957" s="148">
        <v>44862</v>
      </c>
      <c r="B2957" s="149" t="s">
        <v>34600</v>
      </c>
      <c r="C2957" s="153" t="s">
        <v>29</v>
      </c>
      <c r="D2957" s="154">
        <v>6837.6</v>
      </c>
      <c r="E2957" s="231">
        <v>44862</v>
      </c>
      <c r="F2957" s="154">
        <v>6837.6</v>
      </c>
      <c r="G2957" s="197">
        <f>Tabla111[[#This Row],[Importe]]-Tabla111[[#This Row],[Pagado]]</f>
        <v>0</v>
      </c>
      <c r="H2957" s="153" t="s">
        <v>10</v>
      </c>
    </row>
    <row r="2958" spans="1:8" x14ac:dyDescent="0.25">
      <c r="A2958" s="73">
        <v>44862</v>
      </c>
      <c r="B2958" s="74" t="s">
        <v>34601</v>
      </c>
      <c r="C2958" s="75" t="s">
        <v>14944</v>
      </c>
      <c r="D2958" s="81">
        <v>2552</v>
      </c>
      <c r="E2958" s="230">
        <v>44862</v>
      </c>
      <c r="F2958" s="81">
        <v>2552</v>
      </c>
      <c r="G2958" s="197">
        <f>Tabla111[[#This Row],[Importe]]-Tabla111[[#This Row],[Pagado]]</f>
        <v>0</v>
      </c>
      <c r="H2958" s="75" t="s">
        <v>10</v>
      </c>
    </row>
    <row r="2959" spans="1:8" x14ac:dyDescent="0.25">
      <c r="A2959" s="148">
        <v>44862</v>
      </c>
      <c r="B2959" s="149" t="s">
        <v>34602</v>
      </c>
      <c r="C2959" s="153" t="s">
        <v>161</v>
      </c>
      <c r="D2959" s="154">
        <v>3825</v>
      </c>
      <c r="E2959" s="231">
        <v>44862</v>
      </c>
      <c r="F2959" s="154">
        <v>3825</v>
      </c>
      <c r="G2959" s="197">
        <f>Tabla111[[#This Row],[Importe]]-Tabla111[[#This Row],[Pagado]]</f>
        <v>0</v>
      </c>
      <c r="H2959" s="153" t="s">
        <v>10</v>
      </c>
    </row>
    <row r="2960" spans="1:8" x14ac:dyDescent="0.25">
      <c r="A2960" s="73">
        <v>44862</v>
      </c>
      <c r="B2960" s="74" t="s">
        <v>34603</v>
      </c>
      <c r="C2960" s="75" t="s">
        <v>49</v>
      </c>
      <c r="D2960" s="81">
        <v>3673.8</v>
      </c>
      <c r="E2960" s="230">
        <v>44862</v>
      </c>
      <c r="F2960" s="81">
        <v>3673.8</v>
      </c>
      <c r="G2960" s="197">
        <f>Tabla111[[#This Row],[Importe]]-Tabla111[[#This Row],[Pagado]]</f>
        <v>0</v>
      </c>
      <c r="H2960" s="75" t="s">
        <v>10</v>
      </c>
    </row>
    <row r="2961" spans="1:8" x14ac:dyDescent="0.25">
      <c r="A2961" s="148">
        <v>44862</v>
      </c>
      <c r="B2961" s="149" t="s">
        <v>34604</v>
      </c>
      <c r="C2961" s="153" t="s">
        <v>146</v>
      </c>
      <c r="D2961" s="154">
        <v>5674.4</v>
      </c>
      <c r="E2961" s="231">
        <v>44862</v>
      </c>
      <c r="F2961" s="154">
        <v>5674.4</v>
      </c>
      <c r="G2961" s="197">
        <f>Tabla111[[#This Row],[Importe]]-Tabla111[[#This Row],[Pagado]]</f>
        <v>0</v>
      </c>
      <c r="H2961" s="153" t="s">
        <v>10</v>
      </c>
    </row>
    <row r="2962" spans="1:8" x14ac:dyDescent="0.25">
      <c r="A2962" s="73">
        <v>44862</v>
      </c>
      <c r="B2962" s="74" t="s">
        <v>34605</v>
      </c>
      <c r="C2962" s="75" t="s">
        <v>31</v>
      </c>
      <c r="D2962" s="81">
        <v>6381</v>
      </c>
      <c r="E2962" s="230">
        <v>44862</v>
      </c>
      <c r="F2962" s="81">
        <v>6381</v>
      </c>
      <c r="G2962" s="197">
        <f>Tabla111[[#This Row],[Importe]]-Tabla111[[#This Row],[Pagado]]</f>
        <v>0</v>
      </c>
      <c r="H2962" s="75" t="s">
        <v>10</v>
      </c>
    </row>
    <row r="2963" spans="1:8" x14ac:dyDescent="0.25">
      <c r="A2963" s="148">
        <v>44862</v>
      </c>
      <c r="B2963" s="149" t="s">
        <v>34606</v>
      </c>
      <c r="C2963" s="153" t="s">
        <v>333</v>
      </c>
      <c r="D2963" s="154">
        <v>2148.4</v>
      </c>
      <c r="E2963" s="231">
        <v>44862</v>
      </c>
      <c r="F2963" s="154">
        <v>2148.4</v>
      </c>
      <c r="G2963" s="197">
        <f>Tabla111[[#This Row],[Importe]]-Tabla111[[#This Row],[Pagado]]</f>
        <v>0</v>
      </c>
      <c r="H2963" s="153" t="s">
        <v>10</v>
      </c>
    </row>
    <row r="2964" spans="1:8" x14ac:dyDescent="0.25">
      <c r="A2964" s="73">
        <v>44862</v>
      </c>
      <c r="B2964" s="74" t="s">
        <v>34607</v>
      </c>
      <c r="C2964" s="75" t="s">
        <v>339</v>
      </c>
      <c r="D2964" s="81">
        <v>623.20000000000005</v>
      </c>
      <c r="E2964" s="230">
        <v>44862</v>
      </c>
      <c r="F2964" s="81">
        <v>623.20000000000005</v>
      </c>
      <c r="G2964" s="197">
        <f>Tabla111[[#This Row],[Importe]]-Tabla111[[#This Row],[Pagado]]</f>
        <v>0</v>
      </c>
      <c r="H2964" s="75" t="s">
        <v>10</v>
      </c>
    </row>
    <row r="2965" spans="1:8" x14ac:dyDescent="0.25">
      <c r="A2965" s="148">
        <v>44862</v>
      </c>
      <c r="B2965" s="149" t="s">
        <v>34608</v>
      </c>
      <c r="C2965" s="153" t="s">
        <v>230</v>
      </c>
      <c r="D2965" s="154">
        <v>7808</v>
      </c>
      <c r="E2965" s="231">
        <v>44862</v>
      </c>
      <c r="F2965" s="154">
        <v>7808</v>
      </c>
      <c r="G2965" s="197">
        <f>Tabla111[[#This Row],[Importe]]-Tabla111[[#This Row],[Pagado]]</f>
        <v>0</v>
      </c>
      <c r="H2965" s="153" t="s">
        <v>10</v>
      </c>
    </row>
    <row r="2966" spans="1:8" x14ac:dyDescent="0.25">
      <c r="A2966" s="73">
        <v>44862</v>
      </c>
      <c r="B2966" s="74" t="s">
        <v>34609</v>
      </c>
      <c r="C2966" s="75" t="s">
        <v>357</v>
      </c>
      <c r="D2966" s="81">
        <v>590.4</v>
      </c>
      <c r="E2966" s="230">
        <v>44862</v>
      </c>
      <c r="F2966" s="81">
        <v>590.4</v>
      </c>
      <c r="G2966" s="197">
        <f>Tabla111[[#This Row],[Importe]]-Tabla111[[#This Row],[Pagado]]</f>
        <v>0</v>
      </c>
      <c r="H2966" s="75" t="s">
        <v>10</v>
      </c>
    </row>
    <row r="2967" spans="1:8" x14ac:dyDescent="0.25">
      <c r="A2967" s="148">
        <v>44862</v>
      </c>
      <c r="B2967" s="149" t="s">
        <v>34610</v>
      </c>
      <c r="C2967" s="153" t="s">
        <v>127</v>
      </c>
      <c r="D2967" s="154">
        <v>1282</v>
      </c>
      <c r="E2967" s="231">
        <v>44862</v>
      </c>
      <c r="F2967" s="154">
        <v>1282</v>
      </c>
      <c r="G2967" s="197">
        <f>Tabla111[[#This Row],[Importe]]-Tabla111[[#This Row],[Pagado]]</f>
        <v>0</v>
      </c>
      <c r="H2967" s="153" t="s">
        <v>10</v>
      </c>
    </row>
    <row r="2968" spans="1:8" x14ac:dyDescent="0.25">
      <c r="A2968" s="73">
        <v>44862</v>
      </c>
      <c r="B2968" s="74" t="s">
        <v>34611</v>
      </c>
      <c r="C2968" s="75" t="s">
        <v>129</v>
      </c>
      <c r="D2968" s="81">
        <v>5835.8</v>
      </c>
      <c r="E2968" s="230">
        <v>44862</v>
      </c>
      <c r="F2968" s="81">
        <v>5835.8</v>
      </c>
      <c r="G2968" s="197">
        <f>Tabla111[[#This Row],[Importe]]-Tabla111[[#This Row],[Pagado]]</f>
        <v>0</v>
      </c>
      <c r="H2968" s="75" t="s">
        <v>10</v>
      </c>
    </row>
    <row r="2969" spans="1:8" x14ac:dyDescent="0.25">
      <c r="A2969" s="148">
        <v>44862</v>
      </c>
      <c r="B2969" s="149" t="s">
        <v>34612</v>
      </c>
      <c r="C2969" s="153" t="s">
        <v>154</v>
      </c>
      <c r="D2969" s="154">
        <v>70040.039999999994</v>
      </c>
      <c r="E2969" s="231">
        <v>44866</v>
      </c>
      <c r="F2969" s="154">
        <v>70040.039999999994</v>
      </c>
      <c r="G2969" s="197">
        <f>Tabla111[[#This Row],[Importe]]-Tabla111[[#This Row],[Pagado]]</f>
        <v>0</v>
      </c>
      <c r="H2969" s="153" t="s">
        <v>10</v>
      </c>
    </row>
    <row r="2970" spans="1:8" x14ac:dyDescent="0.25">
      <c r="A2970" s="73">
        <v>44862</v>
      </c>
      <c r="B2970" s="74" t="s">
        <v>34613</v>
      </c>
      <c r="C2970" s="75" t="s">
        <v>218</v>
      </c>
      <c r="D2970" s="81">
        <v>30684.880000000001</v>
      </c>
      <c r="E2970" s="230">
        <v>44865</v>
      </c>
      <c r="F2970" s="81">
        <v>30684.880000000001</v>
      </c>
      <c r="G2970" s="197">
        <f>Tabla111[[#This Row],[Importe]]-Tabla111[[#This Row],[Pagado]]</f>
        <v>0</v>
      </c>
      <c r="H2970" s="75" t="s">
        <v>10</v>
      </c>
    </row>
    <row r="2971" spans="1:8" x14ac:dyDescent="0.25">
      <c r="A2971" s="148">
        <v>44862</v>
      </c>
      <c r="B2971" s="149" t="s">
        <v>34614</v>
      </c>
      <c r="C2971" s="153" t="s">
        <v>161</v>
      </c>
      <c r="D2971" s="154">
        <v>673.2</v>
      </c>
      <c r="E2971" s="231">
        <v>44862</v>
      </c>
      <c r="F2971" s="154">
        <v>673.2</v>
      </c>
      <c r="G2971" s="197">
        <f>Tabla111[[#This Row],[Importe]]-Tabla111[[#This Row],[Pagado]]</f>
        <v>0</v>
      </c>
      <c r="H2971" s="153" t="s">
        <v>10</v>
      </c>
    </row>
    <row r="2972" spans="1:8" x14ac:dyDescent="0.25">
      <c r="A2972" s="73">
        <v>44862</v>
      </c>
      <c r="B2972" s="74" t="s">
        <v>34615</v>
      </c>
      <c r="C2972" s="75" t="s">
        <v>206</v>
      </c>
      <c r="D2972" s="81">
        <v>52205.46</v>
      </c>
      <c r="E2972" s="230">
        <v>44866</v>
      </c>
      <c r="F2972" s="81">
        <v>52205.46</v>
      </c>
      <c r="G2972" s="197">
        <f>Tabla111[[#This Row],[Importe]]-Tabla111[[#This Row],[Pagado]]</f>
        <v>0</v>
      </c>
      <c r="H2972" s="75" t="s">
        <v>10</v>
      </c>
    </row>
    <row r="2973" spans="1:8" x14ac:dyDescent="0.25">
      <c r="A2973" s="148">
        <v>44862</v>
      </c>
      <c r="B2973" s="149" t="s">
        <v>34616</v>
      </c>
      <c r="C2973" s="153" t="s">
        <v>208</v>
      </c>
      <c r="D2973" s="154">
        <v>20512.5</v>
      </c>
      <c r="E2973" s="231">
        <v>44873</v>
      </c>
      <c r="F2973" s="154">
        <v>20512.5</v>
      </c>
      <c r="G2973" s="197">
        <f>Tabla111[[#This Row],[Importe]]-Tabla111[[#This Row],[Pagado]]</f>
        <v>0</v>
      </c>
      <c r="H2973" s="153" t="s">
        <v>10</v>
      </c>
    </row>
    <row r="2974" spans="1:8" x14ac:dyDescent="0.25">
      <c r="A2974" s="73">
        <v>44862</v>
      </c>
      <c r="B2974" s="74" t="s">
        <v>34617</v>
      </c>
      <c r="C2974" s="75" t="s">
        <v>314</v>
      </c>
      <c r="D2974" s="81">
        <v>5930.9</v>
      </c>
      <c r="E2974" s="230">
        <v>44862</v>
      </c>
      <c r="F2974" s="81">
        <v>5930.9</v>
      </c>
      <c r="G2974" s="197">
        <f>Tabla111[[#This Row],[Importe]]-Tabla111[[#This Row],[Pagado]]</f>
        <v>0</v>
      </c>
      <c r="H2974" s="75" t="s">
        <v>10</v>
      </c>
    </row>
    <row r="2975" spans="1:8" x14ac:dyDescent="0.25">
      <c r="A2975" s="148">
        <v>44862</v>
      </c>
      <c r="B2975" s="149" t="s">
        <v>34618</v>
      </c>
      <c r="C2975" s="153" t="s">
        <v>314</v>
      </c>
      <c r="D2975" s="154">
        <v>225.7</v>
      </c>
      <c r="E2975" s="231">
        <v>44862</v>
      </c>
      <c r="F2975" s="154">
        <v>225.7</v>
      </c>
      <c r="G2975" s="197">
        <f>Tabla111[[#This Row],[Importe]]-Tabla111[[#This Row],[Pagado]]</f>
        <v>0</v>
      </c>
      <c r="H2975" s="153" t="s">
        <v>10</v>
      </c>
    </row>
    <row r="2976" spans="1:8" x14ac:dyDescent="0.25">
      <c r="A2976" s="73">
        <v>44862</v>
      </c>
      <c r="B2976" s="74" t="s">
        <v>34619</v>
      </c>
      <c r="C2976" s="75" t="s">
        <v>87</v>
      </c>
      <c r="D2976" s="81">
        <v>5376.9</v>
      </c>
      <c r="E2976" s="230">
        <v>44862</v>
      </c>
      <c r="F2976" s="81">
        <v>5376.9</v>
      </c>
      <c r="G2976" s="197">
        <f>Tabla111[[#This Row],[Importe]]-Tabla111[[#This Row],[Pagado]]</f>
        <v>0</v>
      </c>
      <c r="H2976" s="75" t="s">
        <v>10</v>
      </c>
    </row>
    <row r="2977" spans="1:8" x14ac:dyDescent="0.25">
      <c r="A2977" s="148">
        <v>44862</v>
      </c>
      <c r="B2977" s="149" t="s">
        <v>34620</v>
      </c>
      <c r="C2977" s="153" t="s">
        <v>433</v>
      </c>
      <c r="D2977" s="154">
        <v>27380</v>
      </c>
      <c r="E2977" s="231">
        <v>44862</v>
      </c>
      <c r="F2977" s="154">
        <v>27380</v>
      </c>
      <c r="G2977" s="197">
        <f>Tabla111[[#This Row],[Importe]]-Tabla111[[#This Row],[Pagado]]</f>
        <v>0</v>
      </c>
      <c r="H2977" s="153" t="s">
        <v>10</v>
      </c>
    </row>
    <row r="2978" spans="1:8" x14ac:dyDescent="0.25">
      <c r="A2978" s="73">
        <v>44862</v>
      </c>
      <c r="B2978" s="74" t="s">
        <v>34621</v>
      </c>
      <c r="C2978" s="75" t="s">
        <v>31</v>
      </c>
      <c r="D2978" s="81">
        <v>5733.8</v>
      </c>
      <c r="E2978" s="230">
        <v>44862</v>
      </c>
      <c r="F2978" s="81">
        <v>5733.8</v>
      </c>
      <c r="G2978" s="197">
        <f>Tabla111[[#This Row],[Importe]]-Tabla111[[#This Row],[Pagado]]</f>
        <v>0</v>
      </c>
      <c r="H2978" s="75" t="s">
        <v>10</v>
      </c>
    </row>
    <row r="2979" spans="1:8" x14ac:dyDescent="0.25">
      <c r="A2979" s="148">
        <v>44862</v>
      </c>
      <c r="B2979" s="149" t="s">
        <v>34622</v>
      </c>
      <c r="C2979" s="153" t="s">
        <v>45</v>
      </c>
      <c r="D2979" s="154">
        <v>12494</v>
      </c>
      <c r="E2979" s="231">
        <v>44862</v>
      </c>
      <c r="F2979" s="154">
        <v>12494</v>
      </c>
      <c r="G2979" s="197">
        <f>Tabla111[[#This Row],[Importe]]-Tabla111[[#This Row],[Pagado]]</f>
        <v>0</v>
      </c>
      <c r="H2979" s="153" t="s">
        <v>10</v>
      </c>
    </row>
    <row r="2980" spans="1:8" x14ac:dyDescent="0.25">
      <c r="A2980" s="73">
        <v>44862</v>
      </c>
      <c r="B2980" s="74" t="s">
        <v>34623</v>
      </c>
      <c r="C2980" s="75" t="s">
        <v>541</v>
      </c>
      <c r="D2980" s="81">
        <v>14572.8</v>
      </c>
      <c r="E2980" s="230">
        <v>44863</v>
      </c>
      <c r="F2980" s="81">
        <v>14572.8</v>
      </c>
      <c r="G2980" s="197">
        <f>Tabla111[[#This Row],[Importe]]-Tabla111[[#This Row],[Pagado]]</f>
        <v>0</v>
      </c>
      <c r="H2980" s="75" t="s">
        <v>10</v>
      </c>
    </row>
    <row r="2981" spans="1:8" x14ac:dyDescent="0.25">
      <c r="A2981" s="148">
        <v>44862</v>
      </c>
      <c r="B2981" s="149" t="s">
        <v>34624</v>
      </c>
      <c r="C2981" s="153" t="s">
        <v>107</v>
      </c>
      <c r="D2981" s="154">
        <v>11836.5</v>
      </c>
      <c r="E2981" s="231">
        <v>44862</v>
      </c>
      <c r="F2981" s="154">
        <v>11836.5</v>
      </c>
      <c r="G2981" s="197">
        <f>Tabla111[[#This Row],[Importe]]-Tabla111[[#This Row],[Pagado]]</f>
        <v>0</v>
      </c>
      <c r="H2981" s="153" t="s">
        <v>10</v>
      </c>
    </row>
    <row r="2982" spans="1:8" x14ac:dyDescent="0.25">
      <c r="A2982" s="73">
        <v>44862</v>
      </c>
      <c r="B2982" s="74" t="s">
        <v>34625</v>
      </c>
      <c r="C2982" s="75" t="s">
        <v>562</v>
      </c>
      <c r="D2982" s="81">
        <v>3944.4</v>
      </c>
      <c r="E2982" s="230">
        <v>44862</v>
      </c>
      <c r="F2982" s="81">
        <v>3944.4</v>
      </c>
      <c r="G2982" s="197">
        <f>Tabla111[[#This Row],[Importe]]-Tabla111[[#This Row],[Pagado]]</f>
        <v>0</v>
      </c>
      <c r="H2982" s="75" t="s">
        <v>10</v>
      </c>
    </row>
    <row r="2983" spans="1:8" x14ac:dyDescent="0.25">
      <c r="A2983" s="148">
        <v>44862</v>
      </c>
      <c r="B2983" s="149" t="s">
        <v>34626</v>
      </c>
      <c r="C2983" s="153" t="s">
        <v>562</v>
      </c>
      <c r="D2983" s="154">
        <v>559.29999999999995</v>
      </c>
      <c r="E2983" s="231">
        <v>44862</v>
      </c>
      <c r="F2983" s="154">
        <v>559.29999999999995</v>
      </c>
      <c r="G2983" s="197">
        <f>Tabla111[[#This Row],[Importe]]-Tabla111[[#This Row],[Pagado]]</f>
        <v>0</v>
      </c>
      <c r="H2983" s="153" t="s">
        <v>10</v>
      </c>
    </row>
    <row r="2984" spans="1:8" x14ac:dyDescent="0.25">
      <c r="A2984" s="73">
        <v>44862</v>
      </c>
      <c r="B2984" s="74" t="s">
        <v>34627</v>
      </c>
      <c r="C2984" s="75" t="s">
        <v>6252</v>
      </c>
      <c r="D2984" s="81">
        <v>0</v>
      </c>
      <c r="E2984" s="232" t="s">
        <v>189</v>
      </c>
      <c r="F2984" s="81">
        <v>0</v>
      </c>
      <c r="G2984" s="197">
        <f>Tabla111[[#This Row],[Importe]]-Tabla111[[#This Row],[Pagado]]</f>
        <v>0</v>
      </c>
      <c r="H2984" s="75" t="s">
        <v>189</v>
      </c>
    </row>
    <row r="2985" spans="1:8" x14ac:dyDescent="0.25">
      <c r="A2985" s="148">
        <v>44862</v>
      </c>
      <c r="B2985" s="149" t="s">
        <v>34628</v>
      </c>
      <c r="C2985" s="153" t="s">
        <v>31</v>
      </c>
      <c r="D2985" s="154">
        <v>754.8</v>
      </c>
      <c r="E2985" s="231">
        <v>44862</v>
      </c>
      <c r="F2985" s="154">
        <v>754.8</v>
      </c>
      <c r="G2985" s="197">
        <f>Tabla111[[#This Row],[Importe]]-Tabla111[[#This Row],[Pagado]]</f>
        <v>0</v>
      </c>
      <c r="H2985" s="153" t="s">
        <v>10</v>
      </c>
    </row>
    <row r="2986" spans="1:8" x14ac:dyDescent="0.25">
      <c r="A2986" s="73">
        <v>44862</v>
      </c>
      <c r="B2986" s="74" t="s">
        <v>34629</v>
      </c>
      <c r="C2986" s="75" t="s">
        <v>414</v>
      </c>
      <c r="D2986" s="81">
        <v>23236</v>
      </c>
      <c r="E2986" s="230">
        <v>44870</v>
      </c>
      <c r="F2986" s="81">
        <v>23236</v>
      </c>
      <c r="G2986" s="197">
        <f>Tabla111[[#This Row],[Importe]]-Tabla111[[#This Row],[Pagado]]</f>
        <v>0</v>
      </c>
      <c r="H2986" s="75" t="s">
        <v>10</v>
      </c>
    </row>
    <row r="2987" spans="1:8" x14ac:dyDescent="0.25">
      <c r="A2987" s="148">
        <v>44862</v>
      </c>
      <c r="B2987" s="149" t="s">
        <v>34630</v>
      </c>
      <c r="C2987" s="153" t="s">
        <v>212</v>
      </c>
      <c r="D2987" s="154">
        <v>98144.18</v>
      </c>
      <c r="E2987" s="231">
        <v>44865</v>
      </c>
      <c r="F2987" s="154">
        <v>98144.18</v>
      </c>
      <c r="G2987" s="197">
        <f>Tabla111[[#This Row],[Importe]]-Tabla111[[#This Row],[Pagado]]</f>
        <v>0</v>
      </c>
      <c r="H2987" s="153" t="s">
        <v>10</v>
      </c>
    </row>
    <row r="2988" spans="1:8" x14ac:dyDescent="0.25">
      <c r="A2988" s="73">
        <v>44862</v>
      </c>
      <c r="B2988" s="74" t="s">
        <v>34631</v>
      </c>
      <c r="C2988" s="75" t="s">
        <v>12</v>
      </c>
      <c r="D2988" s="81">
        <v>1424</v>
      </c>
      <c r="E2988" s="230">
        <v>44863</v>
      </c>
      <c r="F2988" s="81">
        <v>1424</v>
      </c>
      <c r="G2988" s="197">
        <f>Tabla111[[#This Row],[Importe]]-Tabla111[[#This Row],[Pagado]]</f>
        <v>0</v>
      </c>
      <c r="H2988" s="75" t="s">
        <v>10</v>
      </c>
    </row>
    <row r="2989" spans="1:8" x14ac:dyDescent="0.25">
      <c r="A2989" s="148">
        <v>44862</v>
      </c>
      <c r="B2989" s="149" t="s">
        <v>34632</v>
      </c>
      <c r="C2989" s="153" t="s">
        <v>840</v>
      </c>
      <c r="D2989" s="154">
        <v>11531</v>
      </c>
      <c r="E2989" s="231">
        <v>44862</v>
      </c>
      <c r="F2989" s="154">
        <v>11531</v>
      </c>
      <c r="G2989" s="197">
        <f>Tabla111[[#This Row],[Importe]]-Tabla111[[#This Row],[Pagado]]</f>
        <v>0</v>
      </c>
      <c r="H2989" s="153" t="s">
        <v>10</v>
      </c>
    </row>
    <row r="2990" spans="1:8" x14ac:dyDescent="0.25">
      <c r="A2990" s="73">
        <v>44862</v>
      </c>
      <c r="B2990" s="74" t="s">
        <v>34633</v>
      </c>
      <c r="C2990" s="75" t="s">
        <v>51</v>
      </c>
      <c r="D2990" s="81">
        <v>5004.3</v>
      </c>
      <c r="E2990" s="230">
        <v>44862</v>
      </c>
      <c r="F2990" s="81">
        <v>5004.3</v>
      </c>
      <c r="G2990" s="197">
        <f>Tabla111[[#This Row],[Importe]]-Tabla111[[#This Row],[Pagado]]</f>
        <v>0</v>
      </c>
      <c r="H2990" s="75" t="s">
        <v>10</v>
      </c>
    </row>
    <row r="2991" spans="1:8" x14ac:dyDescent="0.25">
      <c r="A2991" s="148">
        <v>44862</v>
      </c>
      <c r="B2991" s="149" t="s">
        <v>34634</v>
      </c>
      <c r="C2991" s="153" t="s">
        <v>135</v>
      </c>
      <c r="D2991" s="154">
        <v>3356.4</v>
      </c>
      <c r="E2991" s="231">
        <v>44862</v>
      </c>
      <c r="F2991" s="154">
        <v>3356.4</v>
      </c>
      <c r="G2991" s="197">
        <f>Tabla111[[#This Row],[Importe]]-Tabla111[[#This Row],[Pagado]]</f>
        <v>0</v>
      </c>
      <c r="H2991" s="153" t="s">
        <v>10</v>
      </c>
    </row>
    <row r="2992" spans="1:8" x14ac:dyDescent="0.25">
      <c r="A2992" s="73">
        <v>44862</v>
      </c>
      <c r="B2992" s="74" t="s">
        <v>34635</v>
      </c>
      <c r="C2992" s="75" t="s">
        <v>1644</v>
      </c>
      <c r="D2992" s="81">
        <v>15612.9</v>
      </c>
      <c r="E2992" s="230">
        <v>44863</v>
      </c>
      <c r="F2992" s="81">
        <v>15612.9</v>
      </c>
      <c r="G2992" s="197">
        <f>Tabla111[[#This Row],[Importe]]-Tabla111[[#This Row],[Pagado]]</f>
        <v>0</v>
      </c>
      <c r="H2992" s="75" t="s">
        <v>10</v>
      </c>
    </row>
    <row r="2993" spans="1:8" x14ac:dyDescent="0.25">
      <c r="A2993" s="148">
        <v>44862</v>
      </c>
      <c r="B2993" s="149" t="s">
        <v>34636</v>
      </c>
      <c r="C2993" s="153" t="s">
        <v>69</v>
      </c>
      <c r="D2993" s="154">
        <v>2856.4</v>
      </c>
      <c r="E2993" s="231">
        <v>44862</v>
      </c>
      <c r="F2993" s="154">
        <v>2856.4</v>
      </c>
      <c r="G2993" s="197">
        <f>Tabla111[[#This Row],[Importe]]-Tabla111[[#This Row],[Pagado]]</f>
        <v>0</v>
      </c>
      <c r="H2993" s="153" t="s">
        <v>10</v>
      </c>
    </row>
    <row r="2994" spans="1:8" x14ac:dyDescent="0.25">
      <c r="A2994" s="73">
        <v>44862</v>
      </c>
      <c r="B2994" s="74" t="s">
        <v>34637</v>
      </c>
      <c r="C2994" s="75" t="s">
        <v>133</v>
      </c>
      <c r="D2994" s="81">
        <v>17392.5</v>
      </c>
      <c r="E2994" s="230">
        <v>44863</v>
      </c>
      <c r="F2994" s="81">
        <v>17392.5</v>
      </c>
      <c r="G2994" s="197">
        <f>Tabla111[[#This Row],[Importe]]-Tabla111[[#This Row],[Pagado]]</f>
        <v>0</v>
      </c>
      <c r="H2994" s="75" t="s">
        <v>10</v>
      </c>
    </row>
    <row r="2995" spans="1:8" x14ac:dyDescent="0.25">
      <c r="A2995" s="148">
        <v>44862</v>
      </c>
      <c r="B2995" s="149" t="s">
        <v>34638</v>
      </c>
      <c r="C2995" s="153" t="s">
        <v>261</v>
      </c>
      <c r="D2995" s="154">
        <v>52123.08</v>
      </c>
      <c r="E2995" s="231">
        <v>44862</v>
      </c>
      <c r="F2995" s="154">
        <v>52123.08</v>
      </c>
      <c r="G2995" s="197">
        <f>Tabla111[[#This Row],[Importe]]-Tabla111[[#This Row],[Pagado]]</f>
        <v>0</v>
      </c>
      <c r="H2995" s="153" t="s">
        <v>10</v>
      </c>
    </row>
    <row r="2996" spans="1:8" x14ac:dyDescent="0.25">
      <c r="A2996" s="73">
        <v>44862</v>
      </c>
      <c r="B2996" s="74" t="s">
        <v>34639</v>
      </c>
      <c r="C2996" s="75" t="s">
        <v>173</v>
      </c>
      <c r="D2996" s="81">
        <v>42093.8</v>
      </c>
      <c r="E2996" s="230">
        <v>44863</v>
      </c>
      <c r="F2996" s="81">
        <v>42093.8</v>
      </c>
      <c r="G2996" s="197">
        <f>Tabla111[[#This Row],[Importe]]-Tabla111[[#This Row],[Pagado]]</f>
        <v>0</v>
      </c>
      <c r="H2996" s="75" t="s">
        <v>10</v>
      </c>
    </row>
    <row r="2997" spans="1:8" x14ac:dyDescent="0.25">
      <c r="A2997" s="148">
        <v>44862</v>
      </c>
      <c r="B2997" s="149" t="s">
        <v>34640</v>
      </c>
      <c r="C2997" s="153" t="s">
        <v>875</v>
      </c>
      <c r="D2997" s="154">
        <v>58295.07</v>
      </c>
      <c r="E2997" s="231">
        <v>44862</v>
      </c>
      <c r="F2997" s="154">
        <v>58295.07</v>
      </c>
      <c r="G2997" s="197">
        <f>Tabla111[[#This Row],[Importe]]-Tabla111[[#This Row],[Pagado]]</f>
        <v>0</v>
      </c>
      <c r="H2997" s="153" t="s">
        <v>10</v>
      </c>
    </row>
    <row r="2998" spans="1:8" x14ac:dyDescent="0.25">
      <c r="A2998" s="73">
        <v>44862</v>
      </c>
      <c r="B2998" s="74" t="s">
        <v>34641</v>
      </c>
      <c r="C2998" s="75" t="s">
        <v>365</v>
      </c>
      <c r="D2998" s="81">
        <v>1143.8</v>
      </c>
      <c r="E2998" s="230">
        <v>44862</v>
      </c>
      <c r="F2998" s="81">
        <v>1143.8</v>
      </c>
      <c r="G2998" s="197">
        <f>Tabla111[[#This Row],[Importe]]-Tabla111[[#This Row],[Pagado]]</f>
        <v>0</v>
      </c>
      <c r="H2998" s="75" t="s">
        <v>10</v>
      </c>
    </row>
    <row r="2999" spans="1:8" x14ac:dyDescent="0.25">
      <c r="A2999" s="148">
        <v>44862</v>
      </c>
      <c r="B2999" s="149" t="s">
        <v>34642</v>
      </c>
      <c r="C2999" s="153" t="s">
        <v>296</v>
      </c>
      <c r="D2999" s="154">
        <v>4273.5</v>
      </c>
      <c r="E2999" s="231">
        <v>44862</v>
      </c>
      <c r="F2999" s="154">
        <v>4273.5</v>
      </c>
      <c r="G2999" s="197">
        <f>Tabla111[[#This Row],[Importe]]-Tabla111[[#This Row],[Pagado]]</f>
        <v>0</v>
      </c>
      <c r="H2999" s="153" t="s">
        <v>10</v>
      </c>
    </row>
    <row r="3000" spans="1:8" x14ac:dyDescent="0.25">
      <c r="A3000" s="73">
        <v>44862</v>
      </c>
      <c r="B3000" s="74" t="s">
        <v>34643</v>
      </c>
      <c r="C3000" s="75" t="s">
        <v>31</v>
      </c>
      <c r="D3000" s="81">
        <v>5114.8</v>
      </c>
      <c r="E3000" s="230">
        <v>44862</v>
      </c>
      <c r="F3000" s="81">
        <v>5114.8</v>
      </c>
      <c r="G3000" s="197">
        <f>Tabla111[[#This Row],[Importe]]-Tabla111[[#This Row],[Pagado]]</f>
        <v>0</v>
      </c>
      <c r="H3000" s="75" t="s">
        <v>10</v>
      </c>
    </row>
    <row r="3001" spans="1:8" x14ac:dyDescent="0.25">
      <c r="A3001" s="148">
        <v>44862</v>
      </c>
      <c r="B3001" s="149" t="s">
        <v>34644</v>
      </c>
      <c r="C3001" s="153" t="s">
        <v>31</v>
      </c>
      <c r="D3001" s="154">
        <v>1223.5999999999999</v>
      </c>
      <c r="E3001" s="231">
        <v>44862</v>
      </c>
      <c r="F3001" s="154">
        <v>1223.5999999999999</v>
      </c>
      <c r="G3001" s="197">
        <f>Tabla111[[#This Row],[Importe]]-Tabla111[[#This Row],[Pagado]]</f>
        <v>0</v>
      </c>
      <c r="H3001" s="153" t="s">
        <v>10</v>
      </c>
    </row>
    <row r="3002" spans="1:8" x14ac:dyDescent="0.25">
      <c r="A3002" s="73">
        <v>44862</v>
      </c>
      <c r="B3002" s="74" t="s">
        <v>34645</v>
      </c>
      <c r="C3002" s="75" t="s">
        <v>24</v>
      </c>
      <c r="D3002" s="81">
        <v>4407.3</v>
      </c>
      <c r="E3002" s="230">
        <v>44862</v>
      </c>
      <c r="F3002" s="81">
        <v>4407.3</v>
      </c>
      <c r="G3002" s="197">
        <f>Tabla111[[#This Row],[Importe]]-Tabla111[[#This Row],[Pagado]]</f>
        <v>0</v>
      </c>
      <c r="H3002" s="75" t="s">
        <v>10</v>
      </c>
    </row>
    <row r="3003" spans="1:8" x14ac:dyDescent="0.25">
      <c r="A3003" s="148">
        <v>44862</v>
      </c>
      <c r="B3003" s="149" t="s">
        <v>34646</v>
      </c>
      <c r="C3003" s="153" t="s">
        <v>142</v>
      </c>
      <c r="D3003" s="154">
        <v>24569.3</v>
      </c>
      <c r="E3003" s="231" t="s">
        <v>4813</v>
      </c>
      <c r="F3003" s="154">
        <v>0</v>
      </c>
      <c r="G3003" s="197">
        <f>Tabla111[[#This Row],[Importe]]-Tabla111[[#This Row],[Pagado]]</f>
        <v>24569.3</v>
      </c>
      <c r="H3003" s="153" t="s">
        <v>4814</v>
      </c>
    </row>
    <row r="3004" spans="1:8" x14ac:dyDescent="0.25">
      <c r="A3004" s="73">
        <v>44862</v>
      </c>
      <c r="B3004" s="74" t="s">
        <v>34647</v>
      </c>
      <c r="C3004" s="75" t="s">
        <v>698</v>
      </c>
      <c r="D3004" s="81">
        <v>5225.2</v>
      </c>
      <c r="E3004" s="230">
        <v>44859</v>
      </c>
      <c r="F3004" s="81">
        <v>5225.2</v>
      </c>
      <c r="G3004" s="197">
        <f>Tabla111[[#This Row],[Importe]]-Tabla111[[#This Row],[Pagado]]</f>
        <v>0</v>
      </c>
      <c r="H3004" s="75" t="s">
        <v>10</v>
      </c>
    </row>
    <row r="3005" spans="1:8" x14ac:dyDescent="0.25">
      <c r="A3005" s="148">
        <v>44862</v>
      </c>
      <c r="B3005" s="149" t="s">
        <v>34648</v>
      </c>
      <c r="C3005" s="153" t="s">
        <v>214</v>
      </c>
      <c r="D3005" s="154">
        <v>1272.8</v>
      </c>
      <c r="E3005" s="231">
        <v>44862</v>
      </c>
      <c r="F3005" s="154">
        <v>1272.8</v>
      </c>
      <c r="G3005" s="197">
        <f>Tabla111[[#This Row],[Importe]]-Tabla111[[#This Row],[Pagado]]</f>
        <v>0</v>
      </c>
      <c r="H3005" s="153" t="s">
        <v>10</v>
      </c>
    </row>
    <row r="3006" spans="1:8" x14ac:dyDescent="0.25">
      <c r="A3006" s="73">
        <v>44862</v>
      </c>
      <c r="B3006" s="74" t="s">
        <v>34649</v>
      </c>
      <c r="C3006" s="75" t="s">
        <v>58</v>
      </c>
      <c r="D3006" s="81">
        <v>3230.2</v>
      </c>
      <c r="E3006" s="230">
        <v>44865</v>
      </c>
      <c r="F3006" s="81">
        <v>3230.2</v>
      </c>
      <c r="G3006" s="197">
        <f>Tabla111[[#This Row],[Importe]]-Tabla111[[#This Row],[Pagado]]</f>
        <v>0</v>
      </c>
      <c r="H3006" s="75" t="s">
        <v>10</v>
      </c>
    </row>
    <row r="3007" spans="1:8" x14ac:dyDescent="0.25">
      <c r="A3007" s="148">
        <v>44862</v>
      </c>
      <c r="B3007" s="149" t="s">
        <v>34650</v>
      </c>
      <c r="C3007" s="153" t="s">
        <v>67</v>
      </c>
      <c r="D3007" s="154">
        <v>10229.799999999999</v>
      </c>
      <c r="E3007" s="231">
        <v>44868</v>
      </c>
      <c r="F3007" s="154">
        <v>10229.799999999999</v>
      </c>
      <c r="G3007" s="197">
        <f>Tabla111[[#This Row],[Importe]]-Tabla111[[#This Row],[Pagado]]</f>
        <v>0</v>
      </c>
      <c r="H3007" s="153" t="s">
        <v>10</v>
      </c>
    </row>
    <row r="3008" spans="1:8" x14ac:dyDescent="0.25">
      <c r="A3008" s="73">
        <v>44862</v>
      </c>
      <c r="B3008" s="74" t="s">
        <v>34651</v>
      </c>
      <c r="C3008" s="75" t="s">
        <v>9827</v>
      </c>
      <c r="D3008" s="81">
        <v>6404.7</v>
      </c>
      <c r="E3008" s="230">
        <v>44871</v>
      </c>
      <c r="F3008" s="81">
        <v>6404.7</v>
      </c>
      <c r="G3008" s="197">
        <f>Tabla111[[#This Row],[Importe]]-Tabla111[[#This Row],[Pagado]]</f>
        <v>0</v>
      </c>
      <c r="H3008" s="75" t="s">
        <v>10</v>
      </c>
    </row>
    <row r="3009" spans="1:8" x14ac:dyDescent="0.25">
      <c r="A3009" s="148">
        <v>44862</v>
      </c>
      <c r="B3009" s="149" t="s">
        <v>34652</v>
      </c>
      <c r="C3009" s="153" t="s">
        <v>849</v>
      </c>
      <c r="D3009" s="154">
        <v>4971.5</v>
      </c>
      <c r="E3009" s="231">
        <v>44874</v>
      </c>
      <c r="F3009" s="154">
        <v>4971.5</v>
      </c>
      <c r="G3009" s="197">
        <f>Tabla111[[#This Row],[Importe]]-Tabla111[[#This Row],[Pagado]]</f>
        <v>0</v>
      </c>
      <c r="H3009" s="153" t="s">
        <v>10</v>
      </c>
    </row>
    <row r="3010" spans="1:8" x14ac:dyDescent="0.25">
      <c r="A3010" s="73">
        <v>44862</v>
      </c>
      <c r="B3010" s="74" t="s">
        <v>34653</v>
      </c>
      <c r="C3010" s="75" t="s">
        <v>24284</v>
      </c>
      <c r="D3010" s="81">
        <v>1221</v>
      </c>
      <c r="E3010" s="230">
        <v>44877</v>
      </c>
      <c r="F3010" s="81">
        <v>1221</v>
      </c>
      <c r="G3010" s="197">
        <f>Tabla111[[#This Row],[Importe]]-Tabla111[[#This Row],[Pagado]]</f>
        <v>0</v>
      </c>
      <c r="H3010" s="75" t="s">
        <v>10</v>
      </c>
    </row>
    <row r="3011" spans="1:8" x14ac:dyDescent="0.25">
      <c r="A3011" s="148">
        <v>44862</v>
      </c>
      <c r="B3011" s="149" t="s">
        <v>34654</v>
      </c>
      <c r="C3011" s="153" t="s">
        <v>10190</v>
      </c>
      <c r="D3011" s="154">
        <v>38193</v>
      </c>
      <c r="E3011" s="231">
        <v>44880</v>
      </c>
      <c r="F3011" s="154">
        <v>38193</v>
      </c>
      <c r="G3011" s="197">
        <f>Tabla111[[#This Row],[Importe]]-Tabla111[[#This Row],[Pagado]]</f>
        <v>0</v>
      </c>
      <c r="H3011" s="153" t="s">
        <v>10</v>
      </c>
    </row>
    <row r="3012" spans="1:8" x14ac:dyDescent="0.25">
      <c r="A3012" s="73">
        <v>44862</v>
      </c>
      <c r="B3012" s="74" t="s">
        <v>34655</v>
      </c>
      <c r="C3012" s="75" t="s">
        <v>612</v>
      </c>
      <c r="D3012" s="81">
        <v>60</v>
      </c>
      <c r="E3012" s="230">
        <v>44865</v>
      </c>
      <c r="F3012" s="81">
        <v>60</v>
      </c>
      <c r="G3012" s="197">
        <f>Tabla111[[#This Row],[Importe]]-Tabla111[[#This Row],[Pagado]]</f>
        <v>0</v>
      </c>
      <c r="H3012" s="75" t="s">
        <v>10</v>
      </c>
    </row>
    <row r="3013" spans="1:8" x14ac:dyDescent="0.25">
      <c r="A3013" s="148">
        <v>44862</v>
      </c>
      <c r="B3013" s="149" t="s">
        <v>34656</v>
      </c>
      <c r="C3013" s="153" t="s">
        <v>31</v>
      </c>
      <c r="D3013" s="154">
        <v>2277.6</v>
      </c>
      <c r="E3013" s="231">
        <v>44862</v>
      </c>
      <c r="F3013" s="154">
        <v>2277.6</v>
      </c>
      <c r="G3013" s="197">
        <f>Tabla111[[#This Row],[Importe]]-Tabla111[[#This Row],[Pagado]]</f>
        <v>0</v>
      </c>
      <c r="H3013" s="153" t="s">
        <v>10</v>
      </c>
    </row>
    <row r="3014" spans="1:8" x14ac:dyDescent="0.25">
      <c r="A3014" s="73">
        <v>44862</v>
      </c>
      <c r="B3014" s="74" t="s">
        <v>34657</v>
      </c>
      <c r="C3014" s="75" t="s">
        <v>31</v>
      </c>
      <c r="D3014" s="81">
        <v>26676</v>
      </c>
      <c r="E3014" s="230">
        <v>44862</v>
      </c>
      <c r="F3014" s="81">
        <v>26676</v>
      </c>
      <c r="G3014" s="197">
        <f>Tabla111[[#This Row],[Importe]]-Tabla111[[#This Row],[Pagado]]</f>
        <v>0</v>
      </c>
      <c r="H3014" s="75" t="s">
        <v>10</v>
      </c>
    </row>
    <row r="3015" spans="1:8" x14ac:dyDescent="0.25">
      <c r="A3015" s="148">
        <v>44862</v>
      </c>
      <c r="B3015" s="149" t="s">
        <v>34658</v>
      </c>
      <c r="C3015" s="153" t="s">
        <v>175</v>
      </c>
      <c r="D3015" s="154">
        <v>9757.5</v>
      </c>
      <c r="E3015" s="231">
        <v>44863</v>
      </c>
      <c r="F3015" s="154">
        <v>9757.5</v>
      </c>
      <c r="G3015" s="197">
        <f>Tabla111[[#This Row],[Importe]]-Tabla111[[#This Row],[Pagado]]</f>
        <v>0</v>
      </c>
      <c r="H3015" s="153" t="s">
        <v>10</v>
      </c>
    </row>
    <row r="3016" spans="1:8" x14ac:dyDescent="0.25">
      <c r="A3016" s="73">
        <v>44862</v>
      </c>
      <c r="B3016" s="74" t="s">
        <v>34659</v>
      </c>
      <c r="C3016" s="75" t="s">
        <v>359</v>
      </c>
      <c r="D3016" s="81">
        <v>1980.9</v>
      </c>
      <c r="E3016" s="230">
        <v>44863</v>
      </c>
      <c r="F3016" s="81">
        <v>1980.9</v>
      </c>
      <c r="G3016" s="197">
        <f>Tabla111[[#This Row],[Importe]]-Tabla111[[#This Row],[Pagado]]</f>
        <v>0</v>
      </c>
      <c r="H3016" s="75" t="s">
        <v>10</v>
      </c>
    </row>
    <row r="3017" spans="1:8" x14ac:dyDescent="0.25">
      <c r="A3017" s="148">
        <v>44862</v>
      </c>
      <c r="B3017" s="149" t="s">
        <v>34660</v>
      </c>
      <c r="C3017" s="153" t="s">
        <v>200</v>
      </c>
      <c r="D3017" s="154">
        <v>1346.8</v>
      </c>
      <c r="E3017" s="231">
        <v>44863</v>
      </c>
      <c r="F3017" s="154">
        <v>1346.8</v>
      </c>
      <c r="G3017" s="197">
        <f>Tabla111[[#This Row],[Importe]]-Tabla111[[#This Row],[Pagado]]</f>
        <v>0</v>
      </c>
      <c r="H3017" s="153" t="s">
        <v>10</v>
      </c>
    </row>
    <row r="3018" spans="1:8" x14ac:dyDescent="0.25">
      <c r="A3018" s="73">
        <v>44862</v>
      </c>
      <c r="B3018" s="74" t="s">
        <v>34661</v>
      </c>
      <c r="C3018" s="75" t="s">
        <v>426</v>
      </c>
      <c r="D3018" s="81">
        <v>2898</v>
      </c>
      <c r="E3018" s="230">
        <v>44863</v>
      </c>
      <c r="F3018" s="81">
        <v>2898</v>
      </c>
      <c r="G3018" s="197">
        <f>Tabla111[[#This Row],[Importe]]-Tabla111[[#This Row],[Pagado]]</f>
        <v>0</v>
      </c>
      <c r="H3018" s="75" t="s">
        <v>10</v>
      </c>
    </row>
    <row r="3019" spans="1:8" x14ac:dyDescent="0.25">
      <c r="A3019" s="148">
        <v>44862</v>
      </c>
      <c r="B3019" s="149" t="s">
        <v>34662</v>
      </c>
      <c r="C3019" s="153" t="s">
        <v>175</v>
      </c>
      <c r="D3019" s="154">
        <v>5265</v>
      </c>
      <c r="E3019" s="231">
        <v>44863</v>
      </c>
      <c r="F3019" s="154">
        <v>5265</v>
      </c>
      <c r="G3019" s="197">
        <f>Tabla111[[#This Row],[Importe]]-Tabla111[[#This Row],[Pagado]]</f>
        <v>0</v>
      </c>
      <c r="H3019" s="153" t="s">
        <v>10</v>
      </c>
    </row>
    <row r="3020" spans="1:8" x14ac:dyDescent="0.25">
      <c r="A3020" s="73">
        <v>44862</v>
      </c>
      <c r="B3020" s="74" t="s">
        <v>34663</v>
      </c>
      <c r="C3020" s="75" t="s">
        <v>409</v>
      </c>
      <c r="D3020" s="81">
        <v>2986.8</v>
      </c>
      <c r="E3020" s="230">
        <v>44866</v>
      </c>
      <c r="F3020" s="81">
        <v>2986.8</v>
      </c>
      <c r="G3020" s="197">
        <f>Tabla111[[#This Row],[Importe]]-Tabla111[[#This Row],[Pagado]]</f>
        <v>0</v>
      </c>
      <c r="H3020" s="75" t="s">
        <v>10</v>
      </c>
    </row>
    <row r="3021" spans="1:8" x14ac:dyDescent="0.25">
      <c r="A3021" s="148">
        <v>44862</v>
      </c>
      <c r="B3021" s="149" t="s">
        <v>34664</v>
      </c>
      <c r="C3021" s="153" t="s">
        <v>142</v>
      </c>
      <c r="D3021" s="154">
        <v>3740</v>
      </c>
      <c r="E3021" s="231" t="s">
        <v>4813</v>
      </c>
      <c r="F3021" s="154">
        <v>0</v>
      </c>
      <c r="G3021" s="197">
        <f>Tabla111[[#This Row],[Importe]]-Tabla111[[#This Row],[Pagado]]</f>
        <v>3740</v>
      </c>
      <c r="H3021" s="153" t="s">
        <v>4814</v>
      </c>
    </row>
    <row r="3022" spans="1:8" x14ac:dyDescent="0.25">
      <c r="A3022" s="73">
        <v>44862</v>
      </c>
      <c r="B3022" s="74" t="s">
        <v>34665</v>
      </c>
      <c r="C3022" s="75" t="s">
        <v>10819</v>
      </c>
      <c r="D3022" s="81">
        <v>1835.2</v>
      </c>
      <c r="E3022" s="230">
        <v>44863</v>
      </c>
      <c r="F3022" s="81">
        <v>1835.2</v>
      </c>
      <c r="G3022" s="197">
        <f>Tabla111[[#This Row],[Importe]]-Tabla111[[#This Row],[Pagado]]</f>
        <v>0</v>
      </c>
      <c r="H3022" s="75" t="s">
        <v>10</v>
      </c>
    </row>
    <row r="3023" spans="1:8" x14ac:dyDescent="0.25">
      <c r="A3023" s="148">
        <v>44862</v>
      </c>
      <c r="B3023" s="149" t="s">
        <v>34666</v>
      </c>
      <c r="C3023" s="153" t="s">
        <v>282</v>
      </c>
      <c r="D3023" s="154">
        <v>2101.6</v>
      </c>
      <c r="E3023" s="231">
        <v>44863</v>
      </c>
      <c r="F3023" s="154">
        <v>2101.6</v>
      </c>
      <c r="G3023" s="197">
        <f>Tabla111[[#This Row],[Importe]]-Tabla111[[#This Row],[Pagado]]</f>
        <v>0</v>
      </c>
      <c r="H3023" s="153" t="s">
        <v>10</v>
      </c>
    </row>
    <row r="3024" spans="1:8" x14ac:dyDescent="0.25">
      <c r="A3024" s="73">
        <v>44862</v>
      </c>
      <c r="B3024" s="74" t="s">
        <v>34667</v>
      </c>
      <c r="C3024" s="75" t="s">
        <v>280</v>
      </c>
      <c r="D3024" s="81">
        <v>1324.6</v>
      </c>
      <c r="E3024" s="230">
        <v>44863</v>
      </c>
      <c r="F3024" s="81">
        <v>1324.6</v>
      </c>
      <c r="G3024" s="197">
        <f>Tabla111[[#This Row],[Importe]]-Tabla111[[#This Row],[Pagado]]</f>
        <v>0</v>
      </c>
      <c r="H3024" s="75" t="s">
        <v>10</v>
      </c>
    </row>
    <row r="3025" spans="1:8" x14ac:dyDescent="0.25">
      <c r="A3025" s="148">
        <v>44862</v>
      </c>
      <c r="B3025" s="149" t="s">
        <v>34668</v>
      </c>
      <c r="C3025" s="153" t="s">
        <v>5345</v>
      </c>
      <c r="D3025" s="154">
        <v>3973.8</v>
      </c>
      <c r="E3025" s="231">
        <v>44863</v>
      </c>
      <c r="F3025" s="154">
        <v>3973.8</v>
      </c>
      <c r="G3025" s="197">
        <f>Tabla111[[#This Row],[Importe]]-Tabla111[[#This Row],[Pagado]]</f>
        <v>0</v>
      </c>
      <c r="H3025" s="153" t="s">
        <v>10</v>
      </c>
    </row>
    <row r="3026" spans="1:8" x14ac:dyDescent="0.25">
      <c r="A3026" s="73">
        <v>44862</v>
      </c>
      <c r="B3026" s="74" t="s">
        <v>34669</v>
      </c>
      <c r="C3026" s="75" t="s">
        <v>284</v>
      </c>
      <c r="D3026" s="81">
        <v>11292.4</v>
      </c>
      <c r="E3026" s="230">
        <v>44863</v>
      </c>
      <c r="F3026" s="81">
        <v>11292.4</v>
      </c>
      <c r="G3026" s="197">
        <f>Tabla111[[#This Row],[Importe]]-Tabla111[[#This Row],[Pagado]]</f>
        <v>0</v>
      </c>
      <c r="H3026" s="75" t="s">
        <v>10</v>
      </c>
    </row>
    <row r="3027" spans="1:8" x14ac:dyDescent="0.25">
      <c r="A3027" s="148">
        <v>44862</v>
      </c>
      <c r="B3027" s="149" t="s">
        <v>34670</v>
      </c>
      <c r="C3027" s="153" t="s">
        <v>31</v>
      </c>
      <c r="D3027" s="154">
        <v>1502.2</v>
      </c>
      <c r="E3027" s="231">
        <v>44862</v>
      </c>
      <c r="F3027" s="154">
        <v>1502.2</v>
      </c>
      <c r="G3027" s="197">
        <f>Tabla111[[#This Row],[Importe]]-Tabla111[[#This Row],[Pagado]]</f>
        <v>0</v>
      </c>
      <c r="H3027" s="153" t="s">
        <v>10</v>
      </c>
    </row>
    <row r="3028" spans="1:8" x14ac:dyDescent="0.25">
      <c r="A3028" s="73">
        <v>44862</v>
      </c>
      <c r="B3028" s="74" t="s">
        <v>34671</v>
      </c>
      <c r="C3028" s="75" t="s">
        <v>31</v>
      </c>
      <c r="D3028" s="81">
        <v>2644.4</v>
      </c>
      <c r="E3028" s="230">
        <v>44862</v>
      </c>
      <c r="F3028" s="81">
        <v>2644.4</v>
      </c>
      <c r="G3028" s="197">
        <f>Tabla111[[#This Row],[Importe]]-Tabla111[[#This Row],[Pagado]]</f>
        <v>0</v>
      </c>
      <c r="H3028" s="75" t="s">
        <v>10</v>
      </c>
    </row>
    <row r="3029" spans="1:8" x14ac:dyDescent="0.25">
      <c r="A3029" s="148">
        <v>44862</v>
      </c>
      <c r="B3029" s="149" t="s">
        <v>34672</v>
      </c>
      <c r="C3029" s="153" t="s">
        <v>5694</v>
      </c>
      <c r="D3029" s="154">
        <v>3195</v>
      </c>
      <c r="E3029" s="231">
        <v>44862</v>
      </c>
      <c r="F3029" s="154">
        <v>3195</v>
      </c>
      <c r="G3029" s="197">
        <f>Tabla111[[#This Row],[Importe]]-Tabla111[[#This Row],[Pagado]]</f>
        <v>0</v>
      </c>
      <c r="H3029" s="153" t="s">
        <v>10</v>
      </c>
    </row>
    <row r="3030" spans="1:8" x14ac:dyDescent="0.25">
      <c r="A3030" s="73">
        <v>44862</v>
      </c>
      <c r="B3030" s="74" t="s">
        <v>34673</v>
      </c>
      <c r="C3030" s="75" t="s">
        <v>31</v>
      </c>
      <c r="D3030" s="81">
        <v>3626</v>
      </c>
      <c r="E3030" s="230">
        <v>44862</v>
      </c>
      <c r="F3030" s="81">
        <v>3626</v>
      </c>
      <c r="G3030" s="197">
        <f>Tabla111[[#This Row],[Importe]]-Tabla111[[#This Row],[Pagado]]</f>
        <v>0</v>
      </c>
      <c r="H3030" s="75" t="s">
        <v>10</v>
      </c>
    </row>
    <row r="3031" spans="1:8" x14ac:dyDescent="0.25">
      <c r="A3031" s="148">
        <v>44862</v>
      </c>
      <c r="B3031" s="149" t="s">
        <v>34674</v>
      </c>
      <c r="C3031" s="153" t="s">
        <v>216</v>
      </c>
      <c r="D3031" s="154">
        <v>1295</v>
      </c>
      <c r="E3031" s="231">
        <v>44862</v>
      </c>
      <c r="F3031" s="154">
        <v>1295</v>
      </c>
      <c r="G3031" s="197">
        <f>Tabla111[[#This Row],[Importe]]-Tabla111[[#This Row],[Pagado]]</f>
        <v>0</v>
      </c>
      <c r="H3031" s="153" t="s">
        <v>10</v>
      </c>
    </row>
    <row r="3032" spans="1:8" x14ac:dyDescent="0.25">
      <c r="A3032" s="73">
        <v>44862</v>
      </c>
      <c r="B3032" s="74" t="s">
        <v>34675</v>
      </c>
      <c r="C3032" s="75" t="s">
        <v>31</v>
      </c>
      <c r="D3032" s="81">
        <v>412.4</v>
      </c>
      <c r="E3032" s="230">
        <v>44862</v>
      </c>
      <c r="F3032" s="81">
        <v>412.4</v>
      </c>
      <c r="G3032" s="197">
        <f>Tabla111[[#This Row],[Importe]]-Tabla111[[#This Row],[Pagado]]</f>
        <v>0</v>
      </c>
      <c r="H3032" s="75" t="s">
        <v>10</v>
      </c>
    </row>
    <row r="3033" spans="1:8" x14ac:dyDescent="0.25">
      <c r="A3033" s="148">
        <v>44862</v>
      </c>
      <c r="B3033" s="149" t="s">
        <v>34676</v>
      </c>
      <c r="C3033" s="153" t="s">
        <v>31</v>
      </c>
      <c r="D3033" s="154">
        <v>3250</v>
      </c>
      <c r="E3033" s="231">
        <v>44862</v>
      </c>
      <c r="F3033" s="154">
        <v>3250</v>
      </c>
      <c r="G3033" s="197">
        <f>Tabla111[[#This Row],[Importe]]-Tabla111[[#This Row],[Pagado]]</f>
        <v>0</v>
      </c>
      <c r="H3033" s="153" t="s">
        <v>10</v>
      </c>
    </row>
    <row r="3034" spans="1:8" x14ac:dyDescent="0.25">
      <c r="A3034" s="73">
        <v>44862</v>
      </c>
      <c r="B3034" s="74" t="s">
        <v>34677</v>
      </c>
      <c r="C3034" s="75" t="s">
        <v>19271</v>
      </c>
      <c r="D3034" s="81">
        <v>14871.2</v>
      </c>
      <c r="E3034" s="230">
        <v>44862</v>
      </c>
      <c r="F3034" s="81">
        <v>14871.2</v>
      </c>
      <c r="G3034" s="197">
        <f>Tabla111[[#This Row],[Importe]]-Tabla111[[#This Row],[Pagado]]</f>
        <v>0</v>
      </c>
      <c r="H3034" s="75" t="s">
        <v>10</v>
      </c>
    </row>
    <row r="3035" spans="1:8" x14ac:dyDescent="0.25">
      <c r="A3035" s="148">
        <v>44862</v>
      </c>
      <c r="B3035" s="149" t="s">
        <v>34678</v>
      </c>
      <c r="C3035" s="153" t="s">
        <v>10678</v>
      </c>
      <c r="D3035" s="154">
        <v>5145.5</v>
      </c>
      <c r="E3035" s="231">
        <v>44862</v>
      </c>
      <c r="F3035" s="154">
        <v>5145.5</v>
      </c>
      <c r="G3035" s="197">
        <f>Tabla111[[#This Row],[Importe]]-Tabla111[[#This Row],[Pagado]]</f>
        <v>0</v>
      </c>
      <c r="H3035" s="153" t="s">
        <v>10</v>
      </c>
    </row>
    <row r="3036" spans="1:8" x14ac:dyDescent="0.25">
      <c r="A3036" s="73">
        <v>44862</v>
      </c>
      <c r="B3036" s="74" t="s">
        <v>34679</v>
      </c>
      <c r="C3036" s="75" t="s">
        <v>484</v>
      </c>
      <c r="D3036" s="81">
        <v>7984</v>
      </c>
      <c r="E3036" s="230">
        <v>44862</v>
      </c>
      <c r="F3036" s="81">
        <v>7984</v>
      </c>
      <c r="G3036" s="197">
        <f>Tabla111[[#This Row],[Importe]]-Tabla111[[#This Row],[Pagado]]</f>
        <v>0</v>
      </c>
      <c r="H3036" s="75" t="s">
        <v>10</v>
      </c>
    </row>
    <row r="3037" spans="1:8" x14ac:dyDescent="0.25">
      <c r="A3037" s="148">
        <v>44862</v>
      </c>
      <c r="B3037" s="149" t="s">
        <v>34680</v>
      </c>
      <c r="C3037" s="153" t="s">
        <v>31</v>
      </c>
      <c r="D3037" s="154">
        <v>666.7</v>
      </c>
      <c r="E3037" s="231">
        <v>44862</v>
      </c>
      <c r="F3037" s="154">
        <v>666.7</v>
      </c>
      <c r="G3037" s="197">
        <f>Tabla111[[#This Row],[Importe]]-Tabla111[[#This Row],[Pagado]]</f>
        <v>0</v>
      </c>
      <c r="H3037" s="153" t="s">
        <v>10</v>
      </c>
    </row>
    <row r="3038" spans="1:8" x14ac:dyDescent="0.25">
      <c r="A3038" s="73">
        <v>44862</v>
      </c>
      <c r="B3038" s="74" t="s">
        <v>34681</v>
      </c>
      <c r="C3038" s="75" t="s">
        <v>261</v>
      </c>
      <c r="D3038" s="81">
        <v>49897.8</v>
      </c>
      <c r="E3038" s="230">
        <v>44863</v>
      </c>
      <c r="F3038" s="81">
        <v>49897.8</v>
      </c>
      <c r="G3038" s="197">
        <f>Tabla111[[#This Row],[Importe]]-Tabla111[[#This Row],[Pagado]]</f>
        <v>0</v>
      </c>
      <c r="H3038" s="75" t="s">
        <v>10</v>
      </c>
    </row>
    <row r="3039" spans="1:8" x14ac:dyDescent="0.25">
      <c r="A3039" s="148">
        <v>44862</v>
      </c>
      <c r="B3039" s="149" t="s">
        <v>34682</v>
      </c>
      <c r="C3039" s="153" t="s">
        <v>857</v>
      </c>
      <c r="D3039" s="154">
        <v>1294.3</v>
      </c>
      <c r="E3039" s="231">
        <v>44862</v>
      </c>
      <c r="F3039" s="154">
        <v>1294.3</v>
      </c>
      <c r="G3039" s="197">
        <f>Tabla111[[#This Row],[Importe]]-Tabla111[[#This Row],[Pagado]]</f>
        <v>0</v>
      </c>
      <c r="H3039" s="153" t="s">
        <v>10</v>
      </c>
    </row>
    <row r="3040" spans="1:8" x14ac:dyDescent="0.25">
      <c r="A3040" s="73">
        <v>44862</v>
      </c>
      <c r="B3040" s="74" t="s">
        <v>34683</v>
      </c>
      <c r="C3040" s="75" t="s">
        <v>670</v>
      </c>
      <c r="D3040" s="81">
        <v>5880</v>
      </c>
      <c r="E3040" s="230">
        <v>44862</v>
      </c>
      <c r="F3040" s="81">
        <v>5880</v>
      </c>
      <c r="G3040" s="197">
        <f>Tabla111[[#This Row],[Importe]]-Tabla111[[#This Row],[Pagado]]</f>
        <v>0</v>
      </c>
      <c r="H3040" s="75" t="s">
        <v>10</v>
      </c>
    </row>
    <row r="3041" spans="1:8" x14ac:dyDescent="0.25">
      <c r="A3041" s="148">
        <v>44862</v>
      </c>
      <c r="B3041" s="149" t="s">
        <v>34684</v>
      </c>
      <c r="C3041" s="153" t="s">
        <v>7313</v>
      </c>
      <c r="D3041" s="154">
        <v>4908</v>
      </c>
      <c r="E3041" s="231">
        <v>44862</v>
      </c>
      <c r="F3041" s="154">
        <v>4908</v>
      </c>
      <c r="G3041" s="197">
        <f>Tabla111[[#This Row],[Importe]]-Tabla111[[#This Row],[Pagado]]</f>
        <v>0</v>
      </c>
      <c r="H3041" s="153" t="s">
        <v>10</v>
      </c>
    </row>
    <row r="3042" spans="1:8" x14ac:dyDescent="0.25">
      <c r="A3042" s="73">
        <v>44862</v>
      </c>
      <c r="B3042" s="74" t="s">
        <v>34685</v>
      </c>
      <c r="C3042" s="75" t="s">
        <v>31</v>
      </c>
      <c r="D3042" s="81">
        <v>202.4</v>
      </c>
      <c r="E3042" s="230">
        <v>44862</v>
      </c>
      <c r="F3042" s="81">
        <v>202.4</v>
      </c>
      <c r="G3042" s="197">
        <f>Tabla111[[#This Row],[Importe]]-Tabla111[[#This Row],[Pagado]]</f>
        <v>0</v>
      </c>
      <c r="H3042" s="75" t="s">
        <v>10</v>
      </c>
    </row>
    <row r="3043" spans="1:8" x14ac:dyDescent="0.25">
      <c r="A3043" s="148">
        <v>44862</v>
      </c>
      <c r="B3043" s="149" t="s">
        <v>34686</v>
      </c>
      <c r="C3043" s="153" t="s">
        <v>224</v>
      </c>
      <c r="D3043" s="154">
        <v>2097.6</v>
      </c>
      <c r="E3043" s="231">
        <v>44862</v>
      </c>
      <c r="F3043" s="154">
        <v>2097.6</v>
      </c>
      <c r="G3043" s="197">
        <f>Tabla111[[#This Row],[Importe]]-Tabla111[[#This Row],[Pagado]]</f>
        <v>0</v>
      </c>
      <c r="H3043" s="153" t="s">
        <v>10</v>
      </c>
    </row>
    <row r="3044" spans="1:8" x14ac:dyDescent="0.25">
      <c r="A3044" s="73">
        <v>44863</v>
      </c>
      <c r="B3044" s="74" t="s">
        <v>34687</v>
      </c>
      <c r="C3044" s="75" t="s">
        <v>887</v>
      </c>
      <c r="D3044" s="81">
        <v>27905.5</v>
      </c>
      <c r="E3044" s="230">
        <v>44865</v>
      </c>
      <c r="F3044" s="81">
        <v>27905.5</v>
      </c>
      <c r="G3044" s="197">
        <f>Tabla111[[#This Row],[Importe]]-Tabla111[[#This Row],[Pagado]]</f>
        <v>0</v>
      </c>
      <c r="H3044" s="75" t="s">
        <v>10</v>
      </c>
    </row>
    <row r="3045" spans="1:8" x14ac:dyDescent="0.25">
      <c r="A3045" s="148">
        <v>44863</v>
      </c>
      <c r="B3045" s="149" t="s">
        <v>34688</v>
      </c>
      <c r="C3045" s="153" t="s">
        <v>12</v>
      </c>
      <c r="D3045" s="154">
        <v>49649.45</v>
      </c>
      <c r="E3045" s="231">
        <v>44863</v>
      </c>
      <c r="F3045" s="154">
        <f>25000+24649.45</f>
        <v>49649.45</v>
      </c>
      <c r="G3045" s="197">
        <f>Tabla111[[#This Row],[Importe]]-Tabla111[[#This Row],[Pagado]]</f>
        <v>0</v>
      </c>
      <c r="H3045" s="153" t="s">
        <v>10</v>
      </c>
    </row>
    <row r="3046" spans="1:8" x14ac:dyDescent="0.25">
      <c r="A3046" s="73">
        <v>44863</v>
      </c>
      <c r="B3046" s="74" t="s">
        <v>34689</v>
      </c>
      <c r="C3046" s="75" t="s">
        <v>475</v>
      </c>
      <c r="D3046" s="81">
        <v>107845.8</v>
      </c>
      <c r="E3046" s="230" t="s">
        <v>34690</v>
      </c>
      <c r="F3046" s="81">
        <f>76700+31145.8</f>
        <v>107845.8</v>
      </c>
      <c r="G3046" s="197">
        <f>Tabla111[[#This Row],[Importe]]-Tabla111[[#This Row],[Pagado]]</f>
        <v>0</v>
      </c>
      <c r="H3046" s="75" t="s">
        <v>10</v>
      </c>
    </row>
    <row r="3047" spans="1:8" x14ac:dyDescent="0.25">
      <c r="A3047" s="148">
        <v>44863</v>
      </c>
      <c r="B3047" s="149" t="s">
        <v>34691</v>
      </c>
      <c r="C3047" s="153" t="s">
        <v>34692</v>
      </c>
      <c r="D3047" s="154">
        <v>0</v>
      </c>
      <c r="E3047" s="233" t="s">
        <v>189</v>
      </c>
      <c r="F3047" s="154">
        <v>0</v>
      </c>
      <c r="G3047" s="197">
        <f>Tabla111[[#This Row],[Importe]]-Tabla111[[#This Row],[Pagado]]</f>
        <v>0</v>
      </c>
      <c r="H3047" s="153" t="s">
        <v>189</v>
      </c>
    </row>
    <row r="3048" spans="1:8" x14ac:dyDescent="0.25">
      <c r="A3048" s="73">
        <v>44863</v>
      </c>
      <c r="B3048" s="74" t="s">
        <v>34693</v>
      </c>
      <c r="C3048" s="75" t="s">
        <v>326</v>
      </c>
      <c r="D3048" s="81">
        <v>15135.4</v>
      </c>
      <c r="E3048" s="230">
        <v>44868</v>
      </c>
      <c r="F3048" s="81">
        <v>15135.4</v>
      </c>
      <c r="G3048" s="197">
        <f>Tabla111[[#This Row],[Importe]]-Tabla111[[#This Row],[Pagado]]</f>
        <v>0</v>
      </c>
      <c r="H3048" s="75" t="s">
        <v>10</v>
      </c>
    </row>
    <row r="3049" spans="1:8" x14ac:dyDescent="0.25">
      <c r="A3049" s="148">
        <v>44863</v>
      </c>
      <c r="B3049" s="149" t="s">
        <v>34694</v>
      </c>
      <c r="C3049" s="153" t="s">
        <v>18</v>
      </c>
      <c r="D3049" s="154">
        <v>2106</v>
      </c>
      <c r="E3049" s="231">
        <v>44863</v>
      </c>
      <c r="F3049" s="154">
        <v>2106</v>
      </c>
      <c r="G3049" s="197">
        <f>Tabla111[[#This Row],[Importe]]-Tabla111[[#This Row],[Pagado]]</f>
        <v>0</v>
      </c>
      <c r="H3049" s="153" t="s">
        <v>10</v>
      </c>
    </row>
    <row r="3050" spans="1:8" x14ac:dyDescent="0.25">
      <c r="A3050" s="73">
        <v>44863</v>
      </c>
      <c r="B3050" s="74" t="s">
        <v>34695</v>
      </c>
      <c r="C3050" s="75" t="s">
        <v>31</v>
      </c>
      <c r="D3050" s="81">
        <v>6462</v>
      </c>
      <c r="E3050" s="230">
        <v>44863</v>
      </c>
      <c r="F3050" s="81">
        <v>6462</v>
      </c>
      <c r="G3050" s="197">
        <f>Tabla111[[#This Row],[Importe]]-Tabla111[[#This Row],[Pagado]]</f>
        <v>0</v>
      </c>
      <c r="H3050" s="75" t="s">
        <v>10</v>
      </c>
    </row>
    <row r="3051" spans="1:8" x14ac:dyDescent="0.25">
      <c r="A3051" s="148">
        <v>44863</v>
      </c>
      <c r="B3051" s="149" t="s">
        <v>34696</v>
      </c>
      <c r="C3051" s="153" t="s">
        <v>93</v>
      </c>
      <c r="D3051" s="154">
        <v>26567</v>
      </c>
      <c r="E3051" s="231" t="s">
        <v>34994</v>
      </c>
      <c r="F3051" s="154">
        <f>22000+4567</f>
        <v>26567</v>
      </c>
      <c r="G3051" s="197">
        <f>Tabla111[[#This Row],[Importe]]-Tabla111[[#This Row],[Pagado]]</f>
        <v>0</v>
      </c>
      <c r="H3051" s="153" t="s">
        <v>10</v>
      </c>
    </row>
    <row r="3052" spans="1:8" x14ac:dyDescent="0.25">
      <c r="A3052" s="73">
        <v>44863</v>
      </c>
      <c r="B3052" s="74" t="s">
        <v>34697</v>
      </c>
      <c r="C3052" s="75" t="s">
        <v>326</v>
      </c>
      <c r="D3052" s="81">
        <v>5882.6</v>
      </c>
      <c r="E3052" s="230">
        <v>44865</v>
      </c>
      <c r="F3052" s="81">
        <v>5882.6</v>
      </c>
      <c r="G3052" s="197">
        <f>Tabla111[[#This Row],[Importe]]-Tabla111[[#This Row],[Pagado]]</f>
        <v>0</v>
      </c>
      <c r="H3052" s="75" t="s">
        <v>10</v>
      </c>
    </row>
    <row r="3053" spans="1:8" x14ac:dyDescent="0.25">
      <c r="A3053" s="148">
        <v>44863</v>
      </c>
      <c r="B3053" s="149" t="s">
        <v>34698</v>
      </c>
      <c r="C3053" s="153" t="s">
        <v>29</v>
      </c>
      <c r="D3053" s="154">
        <v>9020.6</v>
      </c>
      <c r="E3053" s="231">
        <v>44863</v>
      </c>
      <c r="F3053" s="154">
        <v>9020.6</v>
      </c>
      <c r="G3053" s="197">
        <f>Tabla111[[#This Row],[Importe]]-Tabla111[[#This Row],[Pagado]]</f>
        <v>0</v>
      </c>
      <c r="H3053" s="153" t="s">
        <v>10</v>
      </c>
    </row>
    <row r="3054" spans="1:8" x14ac:dyDescent="0.25">
      <c r="A3054" s="73">
        <v>44863</v>
      </c>
      <c r="B3054" s="74" t="s">
        <v>34699</v>
      </c>
      <c r="C3054" s="75" t="s">
        <v>481</v>
      </c>
      <c r="D3054" s="81">
        <v>680.6</v>
      </c>
      <c r="E3054" s="230">
        <v>44863</v>
      </c>
      <c r="F3054" s="81">
        <v>680.6</v>
      </c>
      <c r="G3054" s="197">
        <f>Tabla111[[#This Row],[Importe]]-Tabla111[[#This Row],[Pagado]]</f>
        <v>0</v>
      </c>
      <c r="H3054" s="75" t="s">
        <v>10</v>
      </c>
    </row>
    <row r="3055" spans="1:8" x14ac:dyDescent="0.25">
      <c r="A3055" s="148">
        <v>44863</v>
      </c>
      <c r="B3055" s="149" t="s">
        <v>34700</v>
      </c>
      <c r="C3055" s="153" t="s">
        <v>114</v>
      </c>
      <c r="D3055" s="154">
        <v>11599.1</v>
      </c>
      <c r="E3055" s="231">
        <v>44865</v>
      </c>
      <c r="F3055" s="154">
        <v>11599.1</v>
      </c>
      <c r="G3055" s="197">
        <f>Tabla111[[#This Row],[Importe]]-Tabla111[[#This Row],[Pagado]]</f>
        <v>0</v>
      </c>
      <c r="H3055" s="153" t="s">
        <v>10</v>
      </c>
    </row>
    <row r="3056" spans="1:8" x14ac:dyDescent="0.25">
      <c r="A3056" s="73">
        <v>44863</v>
      </c>
      <c r="B3056" s="74" t="s">
        <v>34701</v>
      </c>
      <c r="C3056" s="75" t="s">
        <v>89</v>
      </c>
      <c r="D3056" s="81">
        <v>15033.6</v>
      </c>
      <c r="E3056" s="230">
        <v>44865</v>
      </c>
      <c r="F3056" s="81">
        <v>15033.6</v>
      </c>
      <c r="G3056" s="197">
        <f>Tabla111[[#This Row],[Importe]]-Tabla111[[#This Row],[Pagado]]</f>
        <v>0</v>
      </c>
      <c r="H3056" s="75" t="s">
        <v>10</v>
      </c>
    </row>
    <row r="3057" spans="1:8" x14ac:dyDescent="0.25">
      <c r="A3057" s="148">
        <v>44863</v>
      </c>
      <c r="B3057" s="149" t="s">
        <v>34702</v>
      </c>
      <c r="C3057" s="153" t="s">
        <v>5043</v>
      </c>
      <c r="D3057" s="154">
        <v>4582.8</v>
      </c>
      <c r="E3057" s="231">
        <v>44865</v>
      </c>
      <c r="F3057" s="154">
        <v>4582.8</v>
      </c>
      <c r="G3057" s="197">
        <f>Tabla111[[#This Row],[Importe]]-Tabla111[[#This Row],[Pagado]]</f>
        <v>0</v>
      </c>
      <c r="H3057" s="153" t="s">
        <v>10</v>
      </c>
    </row>
    <row r="3058" spans="1:8" x14ac:dyDescent="0.25">
      <c r="A3058" s="73">
        <v>44863</v>
      </c>
      <c r="B3058" s="74" t="s">
        <v>34703</v>
      </c>
      <c r="C3058" s="75" t="s">
        <v>60</v>
      </c>
      <c r="D3058" s="81">
        <v>5336.5</v>
      </c>
      <c r="E3058" s="230">
        <v>44865</v>
      </c>
      <c r="F3058" s="81">
        <v>5336.5</v>
      </c>
      <c r="G3058" s="197">
        <f>Tabla111[[#This Row],[Importe]]-Tabla111[[#This Row],[Pagado]]</f>
        <v>0</v>
      </c>
      <c r="H3058" s="75" t="s">
        <v>10</v>
      </c>
    </row>
    <row r="3059" spans="1:8" x14ac:dyDescent="0.25">
      <c r="A3059" s="148">
        <v>44863</v>
      </c>
      <c r="B3059" s="149" t="s">
        <v>34704</v>
      </c>
      <c r="C3059" s="153" t="s">
        <v>109</v>
      </c>
      <c r="D3059" s="154">
        <v>10413</v>
      </c>
      <c r="E3059" s="231">
        <v>44865</v>
      </c>
      <c r="F3059" s="154">
        <v>10413</v>
      </c>
      <c r="G3059" s="197">
        <f>Tabla111[[#This Row],[Importe]]-Tabla111[[#This Row],[Pagado]]</f>
        <v>0</v>
      </c>
      <c r="H3059" s="153" t="s">
        <v>10</v>
      </c>
    </row>
    <row r="3060" spans="1:8" x14ac:dyDescent="0.25">
      <c r="A3060" s="73">
        <v>44863</v>
      </c>
      <c r="B3060" s="74" t="s">
        <v>34705</v>
      </c>
      <c r="C3060" s="75" t="s">
        <v>2151</v>
      </c>
      <c r="D3060" s="81">
        <v>28615.200000000001</v>
      </c>
      <c r="E3060" s="230">
        <v>44863</v>
      </c>
      <c r="F3060" s="81">
        <v>28615.200000000001</v>
      </c>
      <c r="G3060" s="197">
        <f>Tabla111[[#This Row],[Importe]]-Tabla111[[#This Row],[Pagado]]</f>
        <v>0</v>
      </c>
      <c r="H3060" s="75" t="s">
        <v>10</v>
      </c>
    </row>
    <row r="3061" spans="1:8" x14ac:dyDescent="0.25">
      <c r="A3061" s="148">
        <v>44863</v>
      </c>
      <c r="B3061" s="149" t="s">
        <v>34706</v>
      </c>
      <c r="C3061" s="153" t="s">
        <v>64</v>
      </c>
      <c r="D3061" s="154">
        <v>10114</v>
      </c>
      <c r="E3061" s="231">
        <v>44865</v>
      </c>
      <c r="F3061" s="154">
        <v>10114</v>
      </c>
      <c r="G3061" s="197">
        <f>Tabla111[[#This Row],[Importe]]-Tabla111[[#This Row],[Pagado]]</f>
        <v>0</v>
      </c>
      <c r="H3061" s="153" t="s">
        <v>10</v>
      </c>
    </row>
    <row r="3062" spans="1:8" x14ac:dyDescent="0.25">
      <c r="A3062" s="73">
        <v>44863</v>
      </c>
      <c r="B3062" s="74" t="s">
        <v>34707</v>
      </c>
      <c r="C3062" s="75" t="s">
        <v>1187</v>
      </c>
      <c r="D3062" s="81">
        <v>2670.8</v>
      </c>
      <c r="E3062" s="230">
        <v>44863</v>
      </c>
      <c r="F3062" s="81">
        <v>2670.8</v>
      </c>
      <c r="G3062" s="197">
        <f>Tabla111[[#This Row],[Importe]]-Tabla111[[#This Row],[Pagado]]</f>
        <v>0</v>
      </c>
      <c r="H3062" s="75" t="s">
        <v>10</v>
      </c>
    </row>
    <row r="3063" spans="1:8" x14ac:dyDescent="0.25">
      <c r="A3063" s="148">
        <v>44863</v>
      </c>
      <c r="B3063" s="149" t="s">
        <v>34708</v>
      </c>
      <c r="C3063" s="153" t="s">
        <v>22</v>
      </c>
      <c r="D3063" s="154">
        <v>50966.8</v>
      </c>
      <c r="E3063" s="231">
        <v>44864</v>
      </c>
      <c r="F3063" s="154">
        <v>50966.8</v>
      </c>
      <c r="G3063" s="197">
        <f>Tabla111[[#This Row],[Importe]]-Tabla111[[#This Row],[Pagado]]</f>
        <v>0</v>
      </c>
      <c r="H3063" s="153" t="s">
        <v>10</v>
      </c>
    </row>
    <row r="3064" spans="1:8" x14ac:dyDescent="0.25">
      <c r="A3064" s="73">
        <v>44863</v>
      </c>
      <c r="B3064" s="74" t="s">
        <v>34709</v>
      </c>
      <c r="C3064" s="75" t="s">
        <v>111</v>
      </c>
      <c r="D3064" s="81">
        <v>11323</v>
      </c>
      <c r="E3064" s="230">
        <v>44865</v>
      </c>
      <c r="F3064" s="81">
        <v>11323</v>
      </c>
      <c r="G3064" s="197">
        <f>Tabla111[[#This Row],[Importe]]-Tabla111[[#This Row],[Pagado]]</f>
        <v>0</v>
      </c>
      <c r="H3064" s="75" t="s">
        <v>10</v>
      </c>
    </row>
    <row r="3065" spans="1:8" x14ac:dyDescent="0.25">
      <c r="A3065" s="148">
        <v>44863</v>
      </c>
      <c r="B3065" s="149" t="s">
        <v>34710</v>
      </c>
      <c r="C3065" s="153" t="s">
        <v>97</v>
      </c>
      <c r="D3065" s="154">
        <v>19376</v>
      </c>
      <c r="E3065" s="231">
        <v>44865</v>
      </c>
      <c r="F3065" s="154">
        <v>19376</v>
      </c>
      <c r="G3065" s="197">
        <f>Tabla111[[#This Row],[Importe]]-Tabla111[[#This Row],[Pagado]]</f>
        <v>0</v>
      </c>
      <c r="H3065" s="153" t="s">
        <v>10</v>
      </c>
    </row>
    <row r="3066" spans="1:8" x14ac:dyDescent="0.25">
      <c r="A3066" s="73">
        <v>44863</v>
      </c>
      <c r="B3066" s="74" t="s">
        <v>34711</v>
      </c>
      <c r="C3066" s="75" t="s">
        <v>75</v>
      </c>
      <c r="D3066" s="81">
        <v>14000.8</v>
      </c>
      <c r="E3066" s="230">
        <v>44863</v>
      </c>
      <c r="F3066" s="81">
        <v>14000.8</v>
      </c>
      <c r="G3066" s="197">
        <f>Tabla111[[#This Row],[Importe]]-Tabla111[[#This Row],[Pagado]]</f>
        <v>0</v>
      </c>
      <c r="H3066" s="75" t="s">
        <v>10</v>
      </c>
    </row>
    <row r="3067" spans="1:8" x14ac:dyDescent="0.25">
      <c r="A3067" s="148">
        <v>44863</v>
      </c>
      <c r="B3067" s="149" t="s">
        <v>34712</v>
      </c>
      <c r="C3067" s="153" t="s">
        <v>16</v>
      </c>
      <c r="D3067" s="154">
        <v>7972.2</v>
      </c>
      <c r="E3067" s="231">
        <v>44863</v>
      </c>
      <c r="F3067" s="154">
        <v>7972.2</v>
      </c>
      <c r="G3067" s="197">
        <f>Tabla111[[#This Row],[Importe]]-Tabla111[[#This Row],[Pagado]]</f>
        <v>0</v>
      </c>
      <c r="H3067" s="153" t="s">
        <v>10</v>
      </c>
    </row>
    <row r="3068" spans="1:8" x14ac:dyDescent="0.25">
      <c r="A3068" s="73">
        <v>44863</v>
      </c>
      <c r="B3068" s="74" t="s">
        <v>34713</v>
      </c>
      <c r="C3068" s="75" t="s">
        <v>9</v>
      </c>
      <c r="D3068" s="81">
        <v>9304.5</v>
      </c>
      <c r="E3068" s="230">
        <v>44863</v>
      </c>
      <c r="F3068" s="81">
        <v>9304.5</v>
      </c>
      <c r="G3068" s="197">
        <f>Tabla111[[#This Row],[Importe]]-Tabla111[[#This Row],[Pagado]]</f>
        <v>0</v>
      </c>
      <c r="H3068" s="75" t="s">
        <v>10</v>
      </c>
    </row>
    <row r="3069" spans="1:8" x14ac:dyDescent="0.25">
      <c r="A3069" s="148">
        <v>44863</v>
      </c>
      <c r="B3069" s="149" t="s">
        <v>34714</v>
      </c>
      <c r="C3069" s="153" t="s">
        <v>105</v>
      </c>
      <c r="D3069" s="154">
        <v>21827.1</v>
      </c>
      <c r="E3069" s="231">
        <v>44865</v>
      </c>
      <c r="F3069" s="154">
        <v>21827.1</v>
      </c>
      <c r="G3069" s="197">
        <f>Tabla111[[#This Row],[Importe]]-Tabla111[[#This Row],[Pagado]]</f>
        <v>0</v>
      </c>
      <c r="H3069" s="153" t="s">
        <v>10</v>
      </c>
    </row>
    <row r="3070" spans="1:8" x14ac:dyDescent="0.25">
      <c r="A3070" s="73">
        <v>44863</v>
      </c>
      <c r="B3070" s="74" t="s">
        <v>34715</v>
      </c>
      <c r="C3070" s="75" t="s">
        <v>2563</v>
      </c>
      <c r="D3070" s="81">
        <v>5179.1000000000004</v>
      </c>
      <c r="E3070" s="230">
        <v>44865</v>
      </c>
      <c r="F3070" s="81">
        <v>5179.1000000000004</v>
      </c>
      <c r="G3070" s="197">
        <f>Tabla111[[#This Row],[Importe]]-Tabla111[[#This Row],[Pagado]]</f>
        <v>0</v>
      </c>
      <c r="H3070" s="75" t="s">
        <v>10</v>
      </c>
    </row>
    <row r="3071" spans="1:8" x14ac:dyDescent="0.25">
      <c r="A3071" s="148">
        <v>44863</v>
      </c>
      <c r="B3071" s="149" t="s">
        <v>34716</v>
      </c>
      <c r="C3071" s="153" t="s">
        <v>345</v>
      </c>
      <c r="D3071" s="154">
        <v>8129.7</v>
      </c>
      <c r="E3071" s="231" t="s">
        <v>34587</v>
      </c>
      <c r="F3071" s="154">
        <f>4000+4129.7</f>
        <v>8129.7</v>
      </c>
      <c r="G3071" s="197">
        <f>Tabla111[[#This Row],[Importe]]-Tabla111[[#This Row],[Pagado]]</f>
        <v>0</v>
      </c>
      <c r="H3071" s="153" t="s">
        <v>10</v>
      </c>
    </row>
    <row r="3072" spans="1:8" x14ac:dyDescent="0.25">
      <c r="A3072" s="73">
        <v>44863</v>
      </c>
      <c r="B3072" s="74" t="s">
        <v>34717</v>
      </c>
      <c r="C3072" s="75" t="s">
        <v>314</v>
      </c>
      <c r="D3072" s="81">
        <v>5817.2</v>
      </c>
      <c r="E3072" s="230">
        <v>44863</v>
      </c>
      <c r="F3072" s="81">
        <v>5817.2</v>
      </c>
      <c r="G3072" s="197">
        <f>Tabla111[[#This Row],[Importe]]-Tabla111[[#This Row],[Pagado]]</f>
        <v>0</v>
      </c>
      <c r="H3072" s="75" t="s">
        <v>10</v>
      </c>
    </row>
    <row r="3073" spans="1:8" x14ac:dyDescent="0.25">
      <c r="A3073" s="148">
        <v>44863</v>
      </c>
      <c r="B3073" s="149" t="s">
        <v>34718</v>
      </c>
      <c r="C3073" s="153" t="s">
        <v>56</v>
      </c>
      <c r="D3073" s="154">
        <v>9401.4</v>
      </c>
      <c r="E3073" s="231">
        <v>44863</v>
      </c>
      <c r="F3073" s="154">
        <v>9401.4</v>
      </c>
      <c r="G3073" s="197">
        <f>Tabla111[[#This Row],[Importe]]-Tabla111[[#This Row],[Pagado]]</f>
        <v>0</v>
      </c>
      <c r="H3073" s="153" t="s">
        <v>10</v>
      </c>
    </row>
    <row r="3074" spans="1:8" x14ac:dyDescent="0.25">
      <c r="A3074" s="73">
        <v>44863</v>
      </c>
      <c r="B3074" s="74" t="s">
        <v>34719</v>
      </c>
      <c r="C3074" s="75" t="s">
        <v>151</v>
      </c>
      <c r="D3074" s="81">
        <v>19993.2</v>
      </c>
      <c r="E3074" s="230">
        <v>44863</v>
      </c>
      <c r="F3074" s="81">
        <v>19993.2</v>
      </c>
      <c r="G3074" s="197">
        <f>Tabla111[[#This Row],[Importe]]-Tabla111[[#This Row],[Pagado]]</f>
        <v>0</v>
      </c>
      <c r="H3074" s="75" t="s">
        <v>10</v>
      </c>
    </row>
    <row r="3075" spans="1:8" x14ac:dyDescent="0.25">
      <c r="A3075" s="148">
        <v>44863</v>
      </c>
      <c r="B3075" s="149" t="s">
        <v>34720</v>
      </c>
      <c r="C3075" s="153" t="s">
        <v>151</v>
      </c>
      <c r="D3075" s="154">
        <v>1370</v>
      </c>
      <c r="E3075" s="231">
        <v>44863</v>
      </c>
      <c r="F3075" s="154">
        <v>1370</v>
      </c>
      <c r="G3075" s="197">
        <f>Tabla111[[#This Row],[Importe]]-Tabla111[[#This Row],[Pagado]]</f>
        <v>0</v>
      </c>
      <c r="H3075" s="153" t="s">
        <v>10</v>
      </c>
    </row>
    <row r="3076" spans="1:8" x14ac:dyDescent="0.25">
      <c r="A3076" s="73">
        <v>44863</v>
      </c>
      <c r="B3076" s="74" t="s">
        <v>34721</v>
      </c>
      <c r="C3076" s="75" t="s">
        <v>87</v>
      </c>
      <c r="D3076" s="81">
        <v>9101</v>
      </c>
      <c r="E3076" s="230">
        <v>44863</v>
      </c>
      <c r="F3076" s="81">
        <v>9101</v>
      </c>
      <c r="G3076" s="197">
        <f>Tabla111[[#This Row],[Importe]]-Tabla111[[#This Row],[Pagado]]</f>
        <v>0</v>
      </c>
      <c r="H3076" s="75" t="s">
        <v>10</v>
      </c>
    </row>
    <row r="3077" spans="1:8" x14ac:dyDescent="0.25">
      <c r="A3077" s="148">
        <v>44863</v>
      </c>
      <c r="B3077" s="149" t="s">
        <v>34722</v>
      </c>
      <c r="C3077" s="153" t="s">
        <v>79</v>
      </c>
      <c r="D3077" s="154">
        <v>34868.800000000003</v>
      </c>
      <c r="E3077" s="231">
        <v>44863</v>
      </c>
      <c r="F3077" s="154">
        <v>34868.800000000003</v>
      </c>
      <c r="G3077" s="197">
        <f>Tabla111[[#This Row],[Importe]]-Tabla111[[#This Row],[Pagado]]</f>
        <v>0</v>
      </c>
      <c r="H3077" s="153" t="s">
        <v>10</v>
      </c>
    </row>
    <row r="3078" spans="1:8" x14ac:dyDescent="0.25">
      <c r="A3078" s="73">
        <v>44863</v>
      </c>
      <c r="B3078" s="74" t="s">
        <v>34723</v>
      </c>
      <c r="C3078" s="75" t="s">
        <v>348</v>
      </c>
      <c r="D3078" s="81">
        <v>4906.8</v>
      </c>
      <c r="E3078" s="230">
        <v>44863</v>
      </c>
      <c r="F3078" s="81">
        <v>4906.8</v>
      </c>
      <c r="G3078" s="197">
        <f>Tabla111[[#This Row],[Importe]]-Tabla111[[#This Row],[Pagado]]</f>
        <v>0</v>
      </c>
      <c r="H3078" s="75" t="s">
        <v>10</v>
      </c>
    </row>
    <row r="3079" spans="1:8" x14ac:dyDescent="0.25">
      <c r="A3079" s="148">
        <v>44863</v>
      </c>
      <c r="B3079" s="149" t="s">
        <v>34724</v>
      </c>
      <c r="C3079" s="153" t="s">
        <v>4136</v>
      </c>
      <c r="D3079" s="154">
        <v>2299.9</v>
      </c>
      <c r="E3079" s="231">
        <v>44863</v>
      </c>
      <c r="F3079" s="154">
        <v>2299.9</v>
      </c>
      <c r="G3079" s="197">
        <f>Tabla111[[#This Row],[Importe]]-Tabla111[[#This Row],[Pagado]]</f>
        <v>0</v>
      </c>
      <c r="H3079" s="153" t="s">
        <v>10</v>
      </c>
    </row>
    <row r="3080" spans="1:8" x14ac:dyDescent="0.25">
      <c r="A3080" s="73">
        <v>44863</v>
      </c>
      <c r="B3080" s="74" t="s">
        <v>34725</v>
      </c>
      <c r="C3080" s="75" t="s">
        <v>31</v>
      </c>
      <c r="D3080" s="81">
        <v>3391.9</v>
      </c>
      <c r="E3080" s="230">
        <v>44863</v>
      </c>
      <c r="F3080" s="81">
        <v>3391.9</v>
      </c>
      <c r="G3080" s="197">
        <f>Tabla111[[#This Row],[Importe]]-Tabla111[[#This Row],[Pagado]]</f>
        <v>0</v>
      </c>
      <c r="H3080" s="75" t="s">
        <v>10</v>
      </c>
    </row>
    <row r="3081" spans="1:8" x14ac:dyDescent="0.25">
      <c r="A3081" s="148">
        <v>44863</v>
      </c>
      <c r="B3081" s="149" t="s">
        <v>34726</v>
      </c>
      <c r="C3081" s="153" t="s">
        <v>31988</v>
      </c>
      <c r="D3081" s="154">
        <v>0</v>
      </c>
      <c r="E3081" s="233" t="s">
        <v>189</v>
      </c>
      <c r="F3081" s="154">
        <v>0</v>
      </c>
      <c r="G3081" s="197">
        <f>Tabla111[[#This Row],[Importe]]-Tabla111[[#This Row],[Pagado]]</f>
        <v>0</v>
      </c>
      <c r="H3081" s="153" t="s">
        <v>189</v>
      </c>
    </row>
    <row r="3082" spans="1:8" x14ac:dyDescent="0.25">
      <c r="A3082" s="73">
        <v>44863</v>
      </c>
      <c r="B3082" s="74" t="s">
        <v>34727</v>
      </c>
      <c r="C3082" s="75" t="s">
        <v>357</v>
      </c>
      <c r="D3082" s="81">
        <v>520</v>
      </c>
      <c r="E3082" s="230">
        <v>44863</v>
      </c>
      <c r="F3082" s="81">
        <v>520</v>
      </c>
      <c r="G3082" s="197">
        <f>Tabla111[[#This Row],[Importe]]-Tabla111[[#This Row],[Pagado]]</f>
        <v>0</v>
      </c>
      <c r="H3082" s="75" t="s">
        <v>10</v>
      </c>
    </row>
    <row r="3083" spans="1:8" x14ac:dyDescent="0.25">
      <c r="A3083" s="148">
        <v>44863</v>
      </c>
      <c r="B3083" s="149" t="s">
        <v>34728</v>
      </c>
      <c r="C3083" s="153" t="s">
        <v>140</v>
      </c>
      <c r="D3083" s="154">
        <v>4202.8</v>
      </c>
      <c r="E3083" s="231">
        <v>44863</v>
      </c>
      <c r="F3083" s="154">
        <v>4202.8</v>
      </c>
      <c r="G3083" s="197">
        <f>Tabla111[[#This Row],[Importe]]-Tabla111[[#This Row],[Pagado]]</f>
        <v>0</v>
      </c>
      <c r="H3083" s="153" t="s">
        <v>10</v>
      </c>
    </row>
    <row r="3084" spans="1:8" x14ac:dyDescent="0.25">
      <c r="A3084" s="73">
        <v>44863</v>
      </c>
      <c r="B3084" s="74" t="s">
        <v>34729</v>
      </c>
      <c r="C3084" s="75" t="s">
        <v>127</v>
      </c>
      <c r="D3084" s="81">
        <v>5975</v>
      </c>
      <c r="E3084" s="230">
        <v>44863</v>
      </c>
      <c r="F3084" s="81">
        <v>5975</v>
      </c>
      <c r="G3084" s="197">
        <f>Tabla111[[#This Row],[Importe]]-Tabla111[[#This Row],[Pagado]]</f>
        <v>0</v>
      </c>
      <c r="H3084" s="75" t="s">
        <v>10</v>
      </c>
    </row>
    <row r="3085" spans="1:8" x14ac:dyDescent="0.25">
      <c r="A3085" s="148">
        <v>44863</v>
      </c>
      <c r="B3085" s="149" t="s">
        <v>34730</v>
      </c>
      <c r="C3085" s="153" t="s">
        <v>129</v>
      </c>
      <c r="D3085" s="154">
        <v>5206</v>
      </c>
      <c r="E3085" s="231">
        <v>44863</v>
      </c>
      <c r="F3085" s="154">
        <v>5206</v>
      </c>
      <c r="G3085" s="197">
        <f>Tabla111[[#This Row],[Importe]]-Tabla111[[#This Row],[Pagado]]</f>
        <v>0</v>
      </c>
      <c r="H3085" s="153" t="s">
        <v>10</v>
      </c>
    </row>
    <row r="3086" spans="1:8" x14ac:dyDescent="0.25">
      <c r="A3086" s="73">
        <v>44863</v>
      </c>
      <c r="B3086" s="74" t="s">
        <v>34731</v>
      </c>
      <c r="C3086" s="75" t="s">
        <v>230</v>
      </c>
      <c r="D3086" s="81">
        <v>8863.5</v>
      </c>
      <c r="E3086" s="230">
        <v>44863</v>
      </c>
      <c r="F3086" s="81">
        <v>8863.5</v>
      </c>
      <c r="G3086" s="197">
        <f>Tabla111[[#This Row],[Importe]]-Tabla111[[#This Row],[Pagado]]</f>
        <v>0</v>
      </c>
      <c r="H3086" s="75" t="s">
        <v>10</v>
      </c>
    </row>
    <row r="3087" spans="1:8" x14ac:dyDescent="0.25">
      <c r="A3087" s="148">
        <v>44863</v>
      </c>
      <c r="B3087" s="149" t="s">
        <v>34732</v>
      </c>
      <c r="C3087" s="153" t="s">
        <v>230</v>
      </c>
      <c r="D3087" s="154">
        <v>1570.8</v>
      </c>
      <c r="E3087" s="231">
        <v>44863</v>
      </c>
      <c r="F3087" s="154">
        <v>1570.8</v>
      </c>
      <c r="G3087" s="197">
        <f>Tabla111[[#This Row],[Importe]]-Tabla111[[#This Row],[Pagado]]</f>
        <v>0</v>
      </c>
      <c r="H3087" s="153" t="s">
        <v>10</v>
      </c>
    </row>
    <row r="3088" spans="1:8" x14ac:dyDescent="0.25">
      <c r="A3088" s="73">
        <v>44863</v>
      </c>
      <c r="B3088" s="74" t="s">
        <v>34733</v>
      </c>
      <c r="C3088" s="75" t="s">
        <v>45</v>
      </c>
      <c r="D3088" s="81">
        <v>11135</v>
      </c>
      <c r="E3088" s="230">
        <v>44863</v>
      </c>
      <c r="F3088" s="81">
        <v>11135</v>
      </c>
      <c r="G3088" s="197">
        <f>Tabla111[[#This Row],[Importe]]-Tabla111[[#This Row],[Pagado]]</f>
        <v>0</v>
      </c>
      <c r="H3088" s="75" t="s">
        <v>10</v>
      </c>
    </row>
    <row r="3089" spans="1:8" x14ac:dyDescent="0.25">
      <c r="A3089" s="148">
        <v>44863</v>
      </c>
      <c r="B3089" s="149" t="s">
        <v>34734</v>
      </c>
      <c r="C3089" s="153" t="s">
        <v>154</v>
      </c>
      <c r="D3089" s="154">
        <v>2504.2399999999998</v>
      </c>
      <c r="E3089" s="231">
        <v>44866</v>
      </c>
      <c r="F3089" s="154">
        <v>2504.2399999999998</v>
      </c>
      <c r="G3089" s="197">
        <f>Tabla111[[#This Row],[Importe]]-Tabla111[[#This Row],[Pagado]]</f>
        <v>0</v>
      </c>
      <c r="H3089" s="153" t="s">
        <v>10</v>
      </c>
    </row>
    <row r="3090" spans="1:8" x14ac:dyDescent="0.25">
      <c r="A3090" s="73">
        <v>44863</v>
      </c>
      <c r="B3090" s="74" t="s">
        <v>34735</v>
      </c>
      <c r="C3090" s="75" t="s">
        <v>244</v>
      </c>
      <c r="D3090" s="81">
        <v>3060</v>
      </c>
      <c r="E3090" s="230">
        <v>44863</v>
      </c>
      <c r="F3090" s="81">
        <v>3060</v>
      </c>
      <c r="G3090" s="197">
        <f>Tabla111[[#This Row],[Importe]]-Tabla111[[#This Row],[Pagado]]</f>
        <v>0</v>
      </c>
      <c r="H3090" s="75" t="s">
        <v>10</v>
      </c>
    </row>
    <row r="3091" spans="1:8" x14ac:dyDescent="0.25">
      <c r="A3091" s="148">
        <v>44863</v>
      </c>
      <c r="B3091" s="149" t="s">
        <v>34736</v>
      </c>
      <c r="C3091" s="153" t="s">
        <v>131</v>
      </c>
      <c r="D3091" s="154">
        <v>4669.3999999999996</v>
      </c>
      <c r="E3091" s="231">
        <v>44863</v>
      </c>
      <c r="F3091" s="154">
        <v>4669.3999999999996</v>
      </c>
      <c r="G3091" s="197">
        <f>Tabla111[[#This Row],[Importe]]-Tabla111[[#This Row],[Pagado]]</f>
        <v>0</v>
      </c>
      <c r="H3091" s="153" t="s">
        <v>10</v>
      </c>
    </row>
    <row r="3092" spans="1:8" x14ac:dyDescent="0.25">
      <c r="A3092" s="73">
        <v>44863</v>
      </c>
      <c r="B3092" s="74" t="s">
        <v>34737</v>
      </c>
      <c r="C3092" s="75" t="s">
        <v>37</v>
      </c>
      <c r="D3092" s="81">
        <v>5783.6</v>
      </c>
      <c r="E3092" s="230">
        <v>44863</v>
      </c>
      <c r="F3092" s="81">
        <v>5783.6</v>
      </c>
      <c r="G3092" s="197">
        <f>Tabla111[[#This Row],[Importe]]-Tabla111[[#This Row],[Pagado]]</f>
        <v>0</v>
      </c>
      <c r="H3092" s="75" t="s">
        <v>10</v>
      </c>
    </row>
    <row r="3093" spans="1:8" x14ac:dyDescent="0.25">
      <c r="A3093" s="148">
        <v>44863</v>
      </c>
      <c r="B3093" s="149" t="s">
        <v>34738</v>
      </c>
      <c r="C3093" s="153" t="s">
        <v>348</v>
      </c>
      <c r="D3093" s="154">
        <v>6291.2</v>
      </c>
      <c r="E3093" s="231">
        <v>44863</v>
      </c>
      <c r="F3093" s="154">
        <v>6291.2</v>
      </c>
      <c r="G3093" s="197">
        <f>Tabla111[[#This Row],[Importe]]-Tabla111[[#This Row],[Pagado]]</f>
        <v>0</v>
      </c>
      <c r="H3093" s="153" t="s">
        <v>10</v>
      </c>
    </row>
    <row r="3094" spans="1:8" x14ac:dyDescent="0.25">
      <c r="A3094" s="73">
        <v>44863</v>
      </c>
      <c r="B3094" s="74" t="s">
        <v>34739</v>
      </c>
      <c r="C3094" s="75" t="s">
        <v>815</v>
      </c>
      <c r="D3094" s="81">
        <v>1144.5</v>
      </c>
      <c r="E3094" s="230">
        <v>44863</v>
      </c>
      <c r="F3094" s="81">
        <v>1144.5</v>
      </c>
      <c r="G3094" s="197">
        <f>Tabla111[[#This Row],[Importe]]-Tabla111[[#This Row],[Pagado]]</f>
        <v>0</v>
      </c>
      <c r="H3094" s="75" t="s">
        <v>10</v>
      </c>
    </row>
    <row r="3095" spans="1:8" x14ac:dyDescent="0.25">
      <c r="A3095" s="148">
        <v>44863</v>
      </c>
      <c r="B3095" s="149" t="s">
        <v>34740</v>
      </c>
      <c r="C3095" s="153" t="s">
        <v>135</v>
      </c>
      <c r="D3095" s="154">
        <v>1438</v>
      </c>
      <c r="E3095" s="231">
        <v>44863</v>
      </c>
      <c r="F3095" s="154">
        <v>1438</v>
      </c>
      <c r="G3095" s="197">
        <f>Tabla111[[#This Row],[Importe]]-Tabla111[[#This Row],[Pagado]]</f>
        <v>0</v>
      </c>
      <c r="H3095" s="153" t="s">
        <v>10</v>
      </c>
    </row>
    <row r="3096" spans="1:8" x14ac:dyDescent="0.25">
      <c r="A3096" s="73">
        <v>44863</v>
      </c>
      <c r="B3096" s="74" t="s">
        <v>34741</v>
      </c>
      <c r="C3096" s="75" t="s">
        <v>3971</v>
      </c>
      <c r="D3096" s="81">
        <v>5827.5</v>
      </c>
      <c r="E3096" s="230">
        <v>44863</v>
      </c>
      <c r="F3096" s="81">
        <v>5827.5</v>
      </c>
      <c r="G3096" s="197">
        <f>Tabla111[[#This Row],[Importe]]-Tabla111[[#This Row],[Pagado]]</f>
        <v>0</v>
      </c>
      <c r="H3096" s="75" t="s">
        <v>10</v>
      </c>
    </row>
    <row r="3097" spans="1:8" x14ac:dyDescent="0.25">
      <c r="A3097" s="148">
        <v>44863</v>
      </c>
      <c r="B3097" s="149" t="s">
        <v>34742</v>
      </c>
      <c r="C3097" s="153" t="s">
        <v>35</v>
      </c>
      <c r="D3097" s="154">
        <v>4378.8999999999996</v>
      </c>
      <c r="E3097" s="231">
        <v>44863</v>
      </c>
      <c r="F3097" s="154">
        <v>4378.8999999999996</v>
      </c>
      <c r="G3097" s="197">
        <f>Tabla111[[#This Row],[Importe]]-Tabla111[[#This Row],[Pagado]]</f>
        <v>0</v>
      </c>
      <c r="H3097" s="153" t="s">
        <v>10</v>
      </c>
    </row>
    <row r="3098" spans="1:8" x14ac:dyDescent="0.25">
      <c r="A3098" s="73">
        <v>44863</v>
      </c>
      <c r="B3098" s="74" t="s">
        <v>34743</v>
      </c>
      <c r="C3098" s="75" t="s">
        <v>520</v>
      </c>
      <c r="D3098" s="81">
        <v>19889</v>
      </c>
      <c r="E3098" s="230">
        <v>44863</v>
      </c>
      <c r="F3098" s="81">
        <v>19889</v>
      </c>
      <c r="G3098" s="197">
        <f>Tabla111[[#This Row],[Importe]]-Tabla111[[#This Row],[Pagado]]</f>
        <v>0</v>
      </c>
      <c r="H3098" s="75" t="s">
        <v>10</v>
      </c>
    </row>
    <row r="3099" spans="1:8" x14ac:dyDescent="0.25">
      <c r="A3099" s="148">
        <v>44863</v>
      </c>
      <c r="B3099" s="149" t="s">
        <v>34744</v>
      </c>
      <c r="C3099" s="153" t="s">
        <v>319</v>
      </c>
      <c r="D3099" s="154">
        <v>7616.7</v>
      </c>
      <c r="E3099" s="231">
        <v>44863</v>
      </c>
      <c r="F3099" s="154">
        <v>7616.7</v>
      </c>
      <c r="G3099" s="197">
        <f>Tabla111[[#This Row],[Importe]]-Tabla111[[#This Row],[Pagado]]</f>
        <v>0</v>
      </c>
      <c r="H3099" s="153" t="s">
        <v>10</v>
      </c>
    </row>
    <row r="3100" spans="1:8" x14ac:dyDescent="0.25">
      <c r="A3100" s="73">
        <v>44863</v>
      </c>
      <c r="B3100" s="74" t="s">
        <v>34745</v>
      </c>
      <c r="C3100" s="75" t="s">
        <v>698</v>
      </c>
      <c r="D3100" s="81">
        <v>8456.7999999999993</v>
      </c>
      <c r="E3100" s="230">
        <v>44863</v>
      </c>
      <c r="F3100" s="81">
        <v>8456.7999999999993</v>
      </c>
      <c r="G3100" s="197">
        <f>Tabla111[[#This Row],[Importe]]-Tabla111[[#This Row],[Pagado]]</f>
        <v>0</v>
      </c>
      <c r="H3100" s="75" t="s">
        <v>10</v>
      </c>
    </row>
    <row r="3101" spans="1:8" x14ac:dyDescent="0.25">
      <c r="A3101" s="148">
        <v>44863</v>
      </c>
      <c r="B3101" s="149" t="s">
        <v>34746</v>
      </c>
      <c r="C3101" s="153" t="s">
        <v>525</v>
      </c>
      <c r="D3101" s="154">
        <v>7461.6</v>
      </c>
      <c r="E3101" s="231">
        <v>44863</v>
      </c>
      <c r="F3101" s="154">
        <v>7461.6</v>
      </c>
      <c r="G3101" s="197">
        <f>Tabla111[[#This Row],[Importe]]-Tabla111[[#This Row],[Pagado]]</f>
        <v>0</v>
      </c>
      <c r="H3101" s="153" t="s">
        <v>10</v>
      </c>
    </row>
    <row r="3102" spans="1:8" x14ac:dyDescent="0.25">
      <c r="A3102" s="73">
        <v>44863</v>
      </c>
      <c r="B3102" s="74" t="s">
        <v>34747</v>
      </c>
      <c r="C3102" s="75" t="s">
        <v>31</v>
      </c>
      <c r="D3102" s="81">
        <v>1147</v>
      </c>
      <c r="E3102" s="230">
        <v>44863</v>
      </c>
      <c r="F3102" s="81">
        <v>1147</v>
      </c>
      <c r="G3102" s="197">
        <f>Tabla111[[#This Row],[Importe]]-Tabla111[[#This Row],[Pagado]]</f>
        <v>0</v>
      </c>
      <c r="H3102" s="75" t="s">
        <v>10</v>
      </c>
    </row>
    <row r="3103" spans="1:8" x14ac:dyDescent="0.25">
      <c r="A3103" s="148">
        <v>44863</v>
      </c>
      <c r="B3103" s="149" t="s">
        <v>34748</v>
      </c>
      <c r="C3103" s="153" t="s">
        <v>28087</v>
      </c>
      <c r="D3103" s="154">
        <v>216299.57</v>
      </c>
      <c r="E3103" s="231">
        <v>44866</v>
      </c>
      <c r="F3103" s="154">
        <v>216299.57</v>
      </c>
      <c r="G3103" s="197">
        <f>Tabla111[[#This Row],[Importe]]-Tabla111[[#This Row],[Pagado]]</f>
        <v>0</v>
      </c>
      <c r="H3103" s="153" t="s">
        <v>10</v>
      </c>
    </row>
    <row r="3104" spans="1:8" x14ac:dyDescent="0.25">
      <c r="A3104" s="73">
        <v>44863</v>
      </c>
      <c r="B3104" s="74" t="s">
        <v>34749</v>
      </c>
      <c r="C3104" s="75" t="s">
        <v>214</v>
      </c>
      <c r="D3104" s="81">
        <v>1820.4</v>
      </c>
      <c r="E3104" s="230">
        <v>44863</v>
      </c>
      <c r="F3104" s="81">
        <v>1820.4</v>
      </c>
      <c r="G3104" s="197">
        <f>Tabla111[[#This Row],[Importe]]-Tabla111[[#This Row],[Pagado]]</f>
        <v>0</v>
      </c>
      <c r="H3104" s="75" t="s">
        <v>10</v>
      </c>
    </row>
    <row r="3105" spans="1:8" x14ac:dyDescent="0.25">
      <c r="A3105" s="148">
        <v>44863</v>
      </c>
      <c r="B3105" s="149" t="s">
        <v>34750</v>
      </c>
      <c r="C3105" s="153" t="s">
        <v>62</v>
      </c>
      <c r="D3105" s="154">
        <v>4005.2</v>
      </c>
      <c r="E3105" s="231">
        <v>44863</v>
      </c>
      <c r="F3105" s="154">
        <v>4005.2</v>
      </c>
      <c r="G3105" s="197">
        <f>Tabla111[[#This Row],[Importe]]-Tabla111[[#This Row],[Pagado]]</f>
        <v>0</v>
      </c>
      <c r="H3105" s="153" t="s">
        <v>10</v>
      </c>
    </row>
    <row r="3106" spans="1:8" x14ac:dyDescent="0.25">
      <c r="A3106" s="73">
        <v>44863</v>
      </c>
      <c r="B3106" s="74" t="s">
        <v>34751</v>
      </c>
      <c r="C3106" s="75" t="s">
        <v>263</v>
      </c>
      <c r="D3106" s="81">
        <v>20043</v>
      </c>
      <c r="E3106" s="230">
        <v>44863</v>
      </c>
      <c r="F3106" s="81">
        <v>20043</v>
      </c>
      <c r="G3106" s="197">
        <f>Tabla111[[#This Row],[Importe]]-Tabla111[[#This Row],[Pagado]]</f>
        <v>0</v>
      </c>
      <c r="H3106" s="75" t="s">
        <v>10</v>
      </c>
    </row>
    <row r="3107" spans="1:8" x14ac:dyDescent="0.25">
      <c r="A3107" s="148">
        <v>44863</v>
      </c>
      <c r="B3107" s="149" t="s">
        <v>34752</v>
      </c>
      <c r="C3107" s="153" t="s">
        <v>159</v>
      </c>
      <c r="D3107" s="154">
        <v>3376.2</v>
      </c>
      <c r="E3107" s="231">
        <v>44863</v>
      </c>
      <c r="F3107" s="154">
        <v>3376.2</v>
      </c>
      <c r="G3107" s="197">
        <f>Tabla111[[#This Row],[Importe]]-Tabla111[[#This Row],[Pagado]]</f>
        <v>0</v>
      </c>
      <c r="H3107" s="153" t="s">
        <v>10</v>
      </c>
    </row>
    <row r="3108" spans="1:8" x14ac:dyDescent="0.25">
      <c r="A3108" s="73">
        <v>44863</v>
      </c>
      <c r="B3108" s="74" t="s">
        <v>34753</v>
      </c>
      <c r="C3108" s="75" t="s">
        <v>157</v>
      </c>
      <c r="D3108" s="81">
        <v>7938.7</v>
      </c>
      <c r="E3108" s="230">
        <v>44863</v>
      </c>
      <c r="F3108" s="81">
        <v>7938.7</v>
      </c>
      <c r="G3108" s="197">
        <f>Tabla111[[#This Row],[Importe]]-Tabla111[[#This Row],[Pagado]]</f>
        <v>0</v>
      </c>
      <c r="H3108" s="75" t="s">
        <v>10</v>
      </c>
    </row>
    <row r="3109" spans="1:8" x14ac:dyDescent="0.25">
      <c r="A3109" s="148">
        <v>44863</v>
      </c>
      <c r="B3109" s="149" t="s">
        <v>34754</v>
      </c>
      <c r="C3109" s="153" t="s">
        <v>31</v>
      </c>
      <c r="D3109" s="154">
        <v>5043.2</v>
      </c>
      <c r="E3109" s="231">
        <v>44863</v>
      </c>
      <c r="F3109" s="154">
        <v>5043.2</v>
      </c>
      <c r="G3109" s="197">
        <f>Tabla111[[#This Row],[Importe]]-Tabla111[[#This Row],[Pagado]]</f>
        <v>0</v>
      </c>
      <c r="H3109" s="153" t="s">
        <v>10</v>
      </c>
    </row>
    <row r="3110" spans="1:8" x14ac:dyDescent="0.25">
      <c r="A3110" s="73">
        <v>44863</v>
      </c>
      <c r="B3110" s="74" t="s">
        <v>34755</v>
      </c>
      <c r="C3110" s="75" t="s">
        <v>261</v>
      </c>
      <c r="D3110" s="81">
        <v>49795.199999999997</v>
      </c>
      <c r="E3110" s="230">
        <v>44863</v>
      </c>
      <c r="F3110" s="81">
        <v>49795.199999999997</v>
      </c>
      <c r="G3110" s="197">
        <f>Tabla111[[#This Row],[Importe]]-Tabla111[[#This Row],[Pagado]]</f>
        <v>0</v>
      </c>
      <c r="H3110" s="75" t="s">
        <v>10</v>
      </c>
    </row>
    <row r="3111" spans="1:8" x14ac:dyDescent="0.25">
      <c r="A3111" s="148">
        <v>44863</v>
      </c>
      <c r="B3111" s="149" t="s">
        <v>34756</v>
      </c>
      <c r="C3111" s="153" t="s">
        <v>233</v>
      </c>
      <c r="D3111" s="154">
        <v>5820</v>
      </c>
      <c r="E3111" s="231">
        <v>44863</v>
      </c>
      <c r="F3111" s="154">
        <v>5820</v>
      </c>
      <c r="G3111" s="197">
        <f>Tabla111[[#This Row],[Importe]]-Tabla111[[#This Row],[Pagado]]</f>
        <v>0</v>
      </c>
      <c r="H3111" s="153" t="s">
        <v>10</v>
      </c>
    </row>
    <row r="3112" spans="1:8" x14ac:dyDescent="0.25">
      <c r="A3112" s="73">
        <v>44863</v>
      </c>
      <c r="B3112" s="74" t="s">
        <v>34757</v>
      </c>
      <c r="C3112" s="75" t="s">
        <v>296</v>
      </c>
      <c r="D3112" s="81">
        <v>6380.7</v>
      </c>
      <c r="E3112" s="230">
        <v>44863</v>
      </c>
      <c r="F3112" s="81">
        <v>6380.7</v>
      </c>
      <c r="G3112" s="197">
        <f>Tabla111[[#This Row],[Importe]]-Tabla111[[#This Row],[Pagado]]</f>
        <v>0</v>
      </c>
      <c r="H3112" s="75" t="s">
        <v>10</v>
      </c>
    </row>
    <row r="3113" spans="1:8" x14ac:dyDescent="0.25">
      <c r="A3113" s="148">
        <v>44863</v>
      </c>
      <c r="B3113" s="149" t="s">
        <v>34758</v>
      </c>
      <c r="C3113" s="153" t="s">
        <v>681</v>
      </c>
      <c r="D3113" s="154">
        <v>11.54</v>
      </c>
      <c r="E3113" s="231">
        <v>44868</v>
      </c>
      <c r="F3113" s="154">
        <v>11.54</v>
      </c>
      <c r="G3113" s="197">
        <f>Tabla111[[#This Row],[Importe]]-Tabla111[[#This Row],[Pagado]]</f>
        <v>0</v>
      </c>
      <c r="H3113" s="153" t="s">
        <v>10</v>
      </c>
    </row>
    <row r="3114" spans="1:8" x14ac:dyDescent="0.25">
      <c r="A3114" s="73">
        <v>44863</v>
      </c>
      <c r="B3114" s="74" t="s">
        <v>34759</v>
      </c>
      <c r="C3114" s="75" t="s">
        <v>6405</v>
      </c>
      <c r="D3114" s="81">
        <v>10.29</v>
      </c>
      <c r="E3114" s="230" t="s">
        <v>4813</v>
      </c>
      <c r="F3114" s="81">
        <v>0</v>
      </c>
      <c r="G3114" s="197">
        <f>Tabla111[[#This Row],[Importe]]-Tabla111[[#This Row],[Pagado]]</f>
        <v>10.29</v>
      </c>
      <c r="H3114" s="75" t="s">
        <v>4814</v>
      </c>
    </row>
    <row r="3115" spans="1:8" x14ac:dyDescent="0.25">
      <c r="A3115" s="148">
        <v>44863</v>
      </c>
      <c r="B3115" s="149" t="s">
        <v>34760</v>
      </c>
      <c r="C3115" s="153" t="s">
        <v>392</v>
      </c>
      <c r="D3115" s="154">
        <v>2390.1999999999998</v>
      </c>
      <c r="E3115" s="231">
        <v>44863</v>
      </c>
      <c r="F3115" s="154">
        <v>2390.1999999999998</v>
      </c>
      <c r="G3115" s="197">
        <f>Tabla111[[#This Row],[Importe]]-Tabla111[[#This Row],[Pagado]]</f>
        <v>0</v>
      </c>
      <c r="H3115" s="153" t="s">
        <v>10</v>
      </c>
    </row>
    <row r="3116" spans="1:8" x14ac:dyDescent="0.25">
      <c r="A3116" s="73">
        <v>44863</v>
      </c>
      <c r="B3116" s="74" t="s">
        <v>34761</v>
      </c>
      <c r="C3116" s="75" t="s">
        <v>24</v>
      </c>
      <c r="D3116" s="81">
        <v>4354.1000000000004</v>
      </c>
      <c r="E3116" s="230">
        <v>44863</v>
      </c>
      <c r="F3116" s="81">
        <v>4354.1000000000004</v>
      </c>
      <c r="G3116" s="197">
        <f>Tabla111[[#This Row],[Importe]]-Tabla111[[#This Row],[Pagado]]</f>
        <v>0</v>
      </c>
      <c r="H3116" s="75" t="s">
        <v>10</v>
      </c>
    </row>
    <row r="3117" spans="1:8" x14ac:dyDescent="0.25">
      <c r="A3117" s="148">
        <v>44863</v>
      </c>
      <c r="B3117" s="149" t="s">
        <v>34762</v>
      </c>
      <c r="C3117" s="153" t="s">
        <v>583</v>
      </c>
      <c r="D3117" s="154">
        <v>2761</v>
      </c>
      <c r="E3117" s="231">
        <v>44863</v>
      </c>
      <c r="F3117" s="154">
        <v>2761</v>
      </c>
      <c r="G3117" s="197">
        <f>Tabla111[[#This Row],[Importe]]-Tabla111[[#This Row],[Pagado]]</f>
        <v>0</v>
      </c>
      <c r="H3117" s="153" t="s">
        <v>10</v>
      </c>
    </row>
    <row r="3118" spans="1:8" x14ac:dyDescent="0.25">
      <c r="A3118" s="73">
        <v>44863</v>
      </c>
      <c r="B3118" s="74" t="s">
        <v>34763</v>
      </c>
      <c r="C3118" s="75" t="s">
        <v>9827</v>
      </c>
      <c r="D3118" s="81">
        <v>8857.7999999999993</v>
      </c>
      <c r="E3118" s="230">
        <v>44863</v>
      </c>
      <c r="F3118" s="81">
        <v>8857.7999999999993</v>
      </c>
      <c r="G3118" s="197">
        <f>Tabla111[[#This Row],[Importe]]-Tabla111[[#This Row],[Pagado]]</f>
        <v>0</v>
      </c>
      <c r="H3118" s="75" t="s">
        <v>10</v>
      </c>
    </row>
    <row r="3119" spans="1:8" x14ac:dyDescent="0.25">
      <c r="A3119" s="148">
        <v>44863</v>
      </c>
      <c r="B3119" s="149" t="s">
        <v>34764</v>
      </c>
      <c r="C3119" s="153" t="s">
        <v>69</v>
      </c>
      <c r="D3119" s="154">
        <v>3100.6</v>
      </c>
      <c r="E3119" s="231">
        <v>44863</v>
      </c>
      <c r="F3119" s="154">
        <v>3100.6</v>
      </c>
      <c r="G3119" s="197">
        <f>Tabla111[[#This Row],[Importe]]-Tabla111[[#This Row],[Pagado]]</f>
        <v>0</v>
      </c>
      <c r="H3119" s="153" t="s">
        <v>10</v>
      </c>
    </row>
    <row r="3120" spans="1:8" x14ac:dyDescent="0.25">
      <c r="A3120" s="73">
        <v>44863</v>
      </c>
      <c r="B3120" s="74" t="s">
        <v>34765</v>
      </c>
      <c r="C3120" s="75" t="s">
        <v>419</v>
      </c>
      <c r="D3120" s="81">
        <v>6130.4</v>
      </c>
      <c r="E3120" s="230">
        <v>44863</v>
      </c>
      <c r="F3120" s="81">
        <v>6130.4</v>
      </c>
      <c r="G3120" s="197">
        <f>Tabla111[[#This Row],[Importe]]-Tabla111[[#This Row],[Pagado]]</f>
        <v>0</v>
      </c>
      <c r="H3120" s="75" t="s">
        <v>10</v>
      </c>
    </row>
    <row r="3121" spans="1:8" x14ac:dyDescent="0.25">
      <c r="A3121" s="148">
        <v>44863</v>
      </c>
      <c r="B3121" s="149" t="s">
        <v>34766</v>
      </c>
      <c r="C3121" s="153" t="s">
        <v>419</v>
      </c>
      <c r="D3121" s="154">
        <v>1687.6</v>
      </c>
      <c r="E3121" s="231">
        <v>44863</v>
      </c>
      <c r="F3121" s="154">
        <v>1687.6</v>
      </c>
      <c r="G3121" s="197">
        <f>Tabla111[[#This Row],[Importe]]-Tabla111[[#This Row],[Pagado]]</f>
        <v>0</v>
      </c>
      <c r="H3121" s="153" t="s">
        <v>10</v>
      </c>
    </row>
    <row r="3122" spans="1:8" x14ac:dyDescent="0.25">
      <c r="A3122" s="73">
        <v>44863</v>
      </c>
      <c r="B3122" s="74" t="s">
        <v>34767</v>
      </c>
      <c r="C3122" s="75" t="s">
        <v>24284</v>
      </c>
      <c r="D3122" s="81">
        <v>1139.5999999999999</v>
      </c>
      <c r="E3122" s="230">
        <v>44863</v>
      </c>
      <c r="F3122" s="81">
        <v>1139.5999999999999</v>
      </c>
      <c r="G3122" s="197">
        <f>Tabla111[[#This Row],[Importe]]-Tabla111[[#This Row],[Pagado]]</f>
        <v>0</v>
      </c>
      <c r="H3122" s="75" t="s">
        <v>10</v>
      </c>
    </row>
    <row r="3123" spans="1:8" x14ac:dyDescent="0.25">
      <c r="A3123" s="148">
        <v>44863</v>
      </c>
      <c r="B3123" s="149" t="s">
        <v>34768</v>
      </c>
      <c r="C3123" s="153" t="s">
        <v>142</v>
      </c>
      <c r="D3123" s="154">
        <v>107038.8</v>
      </c>
      <c r="E3123" s="231" t="s">
        <v>4813</v>
      </c>
      <c r="F3123" s="154">
        <v>0</v>
      </c>
      <c r="G3123" s="197">
        <f>Tabla111[[#This Row],[Importe]]-Tabla111[[#This Row],[Pagado]]</f>
        <v>107038.8</v>
      </c>
      <c r="H3123" s="153" t="s">
        <v>4814</v>
      </c>
    </row>
    <row r="3124" spans="1:8" x14ac:dyDescent="0.25">
      <c r="A3124" s="73">
        <v>44863</v>
      </c>
      <c r="B3124" s="74" t="s">
        <v>34769</v>
      </c>
      <c r="C3124" s="75" t="s">
        <v>67</v>
      </c>
      <c r="D3124" s="81">
        <v>2696</v>
      </c>
      <c r="E3124" s="230">
        <v>44863</v>
      </c>
      <c r="F3124" s="81">
        <v>2696</v>
      </c>
      <c r="G3124" s="197">
        <f>Tabla111[[#This Row],[Importe]]-Tabla111[[#This Row],[Pagado]]</f>
        <v>0</v>
      </c>
      <c r="H3124" s="75" t="s">
        <v>10</v>
      </c>
    </row>
    <row r="3125" spans="1:8" x14ac:dyDescent="0.25">
      <c r="A3125" s="148">
        <v>44863</v>
      </c>
      <c r="B3125" s="149" t="s">
        <v>34770</v>
      </c>
      <c r="C3125" s="153" t="s">
        <v>1421</v>
      </c>
      <c r="D3125" s="154">
        <v>65225.599999999999</v>
      </c>
      <c r="E3125" s="231">
        <v>44863</v>
      </c>
      <c r="F3125" s="154">
        <v>65225.599999999999</v>
      </c>
      <c r="G3125" s="197">
        <f>Tabla111[[#This Row],[Importe]]-Tabla111[[#This Row],[Pagado]]</f>
        <v>0</v>
      </c>
      <c r="H3125" s="153" t="s">
        <v>10</v>
      </c>
    </row>
    <row r="3126" spans="1:8" x14ac:dyDescent="0.25">
      <c r="A3126" s="73">
        <v>44863</v>
      </c>
      <c r="B3126" s="74" t="s">
        <v>34771</v>
      </c>
      <c r="C3126" s="75" t="s">
        <v>214</v>
      </c>
      <c r="D3126" s="81">
        <v>9773.6</v>
      </c>
      <c r="E3126" s="230">
        <v>44863</v>
      </c>
      <c r="F3126" s="81">
        <v>9773.6</v>
      </c>
      <c r="G3126" s="197">
        <f>Tabla111[[#This Row],[Importe]]-Tabla111[[#This Row],[Pagado]]</f>
        <v>0</v>
      </c>
      <c r="H3126" s="75" t="s">
        <v>10</v>
      </c>
    </row>
    <row r="3127" spans="1:8" x14ac:dyDescent="0.25">
      <c r="A3127" s="148">
        <v>44863</v>
      </c>
      <c r="B3127" s="149" t="s">
        <v>34772</v>
      </c>
      <c r="C3127" s="153" t="s">
        <v>450</v>
      </c>
      <c r="D3127" s="154">
        <v>2853.3</v>
      </c>
      <c r="E3127" s="231">
        <v>44863</v>
      </c>
      <c r="F3127" s="154">
        <v>2853.3</v>
      </c>
      <c r="G3127" s="197">
        <f>Tabla111[[#This Row],[Importe]]-Tabla111[[#This Row],[Pagado]]</f>
        <v>0</v>
      </c>
      <c r="H3127" s="153" t="s">
        <v>10</v>
      </c>
    </row>
    <row r="3128" spans="1:8" x14ac:dyDescent="0.25">
      <c r="A3128" s="73">
        <v>44863</v>
      </c>
      <c r="B3128" s="74" t="s">
        <v>34773</v>
      </c>
      <c r="C3128" s="75" t="s">
        <v>107</v>
      </c>
      <c r="D3128" s="81">
        <v>36849.800000000003</v>
      </c>
      <c r="E3128" s="230">
        <v>44863</v>
      </c>
      <c r="F3128" s="81">
        <v>36849.800000000003</v>
      </c>
      <c r="G3128" s="197">
        <f>Tabla111[[#This Row],[Importe]]-Tabla111[[#This Row],[Pagado]]</f>
        <v>0</v>
      </c>
      <c r="H3128" s="75" t="s">
        <v>10</v>
      </c>
    </row>
    <row r="3129" spans="1:8" x14ac:dyDescent="0.25">
      <c r="A3129" s="148">
        <v>44863</v>
      </c>
      <c r="B3129" s="149" t="s">
        <v>34774</v>
      </c>
      <c r="C3129" s="153" t="s">
        <v>146</v>
      </c>
      <c r="D3129" s="154">
        <v>10381.200000000001</v>
      </c>
      <c r="E3129" s="231">
        <v>44863</v>
      </c>
      <c r="F3129" s="154">
        <v>10381.200000000001</v>
      </c>
      <c r="G3129" s="197">
        <f>Tabla111[[#This Row],[Importe]]-Tabla111[[#This Row],[Pagado]]</f>
        <v>0</v>
      </c>
      <c r="H3129" s="153" t="s">
        <v>10</v>
      </c>
    </row>
    <row r="3130" spans="1:8" x14ac:dyDescent="0.25">
      <c r="A3130" s="73">
        <v>44863</v>
      </c>
      <c r="B3130" s="74" t="s">
        <v>34775</v>
      </c>
      <c r="C3130" s="75" t="s">
        <v>31</v>
      </c>
      <c r="D3130" s="81">
        <v>3513.9</v>
      </c>
      <c r="E3130" s="230">
        <v>44863</v>
      </c>
      <c r="F3130" s="81">
        <v>3513.9</v>
      </c>
      <c r="G3130" s="197">
        <f>Tabla111[[#This Row],[Importe]]-Tabla111[[#This Row],[Pagado]]</f>
        <v>0</v>
      </c>
      <c r="H3130" s="75" t="s">
        <v>10</v>
      </c>
    </row>
    <row r="3131" spans="1:8" x14ac:dyDescent="0.25">
      <c r="A3131" s="148">
        <v>44863</v>
      </c>
      <c r="B3131" s="149" t="s">
        <v>34776</v>
      </c>
      <c r="C3131" s="153" t="s">
        <v>31</v>
      </c>
      <c r="D3131" s="154">
        <v>5920.2</v>
      </c>
      <c r="E3131" s="231">
        <v>44863</v>
      </c>
      <c r="F3131" s="154">
        <v>5920.2</v>
      </c>
      <c r="G3131" s="197">
        <f>Tabla111[[#This Row],[Importe]]-Tabla111[[#This Row],[Pagado]]</f>
        <v>0</v>
      </c>
      <c r="H3131" s="153" t="s">
        <v>10</v>
      </c>
    </row>
    <row r="3132" spans="1:8" x14ac:dyDescent="0.25">
      <c r="A3132" s="73">
        <v>44863</v>
      </c>
      <c r="B3132" s="74" t="s">
        <v>34777</v>
      </c>
      <c r="C3132" s="75" t="s">
        <v>31</v>
      </c>
      <c r="D3132" s="81">
        <v>5553.6</v>
      </c>
      <c r="E3132" s="230">
        <v>44863</v>
      </c>
      <c r="F3132" s="81">
        <v>5553.6</v>
      </c>
      <c r="G3132" s="197">
        <f>Tabla111[[#This Row],[Importe]]-Tabla111[[#This Row],[Pagado]]</f>
        <v>0</v>
      </c>
      <c r="H3132" s="75" t="s">
        <v>10</v>
      </c>
    </row>
    <row r="3133" spans="1:8" x14ac:dyDescent="0.25">
      <c r="A3133" s="148">
        <v>44863</v>
      </c>
      <c r="B3133" s="149" t="s">
        <v>34778</v>
      </c>
      <c r="C3133" s="153" t="s">
        <v>280</v>
      </c>
      <c r="D3133" s="154">
        <v>2131.1999999999998</v>
      </c>
      <c r="E3133" s="231">
        <v>44865</v>
      </c>
      <c r="F3133" s="154">
        <v>2131.1999999999998</v>
      </c>
      <c r="G3133" s="197">
        <f>Tabla111[[#This Row],[Importe]]-Tabla111[[#This Row],[Pagado]]</f>
        <v>0</v>
      </c>
      <c r="H3133" s="153" t="s">
        <v>10</v>
      </c>
    </row>
    <row r="3134" spans="1:8" x14ac:dyDescent="0.25">
      <c r="A3134" s="73">
        <v>44863</v>
      </c>
      <c r="B3134" s="74" t="s">
        <v>34779</v>
      </c>
      <c r="C3134" s="75" t="s">
        <v>282</v>
      </c>
      <c r="D3134" s="81">
        <v>2434.6</v>
      </c>
      <c r="E3134" s="230">
        <v>44865</v>
      </c>
      <c r="F3134" s="81">
        <v>2434.6</v>
      </c>
      <c r="G3134" s="197">
        <f>Tabla111[[#This Row],[Importe]]-Tabla111[[#This Row],[Pagado]]</f>
        <v>0</v>
      </c>
      <c r="H3134" s="75" t="s">
        <v>10</v>
      </c>
    </row>
    <row r="3135" spans="1:8" x14ac:dyDescent="0.25">
      <c r="A3135" s="148">
        <v>44863</v>
      </c>
      <c r="B3135" s="149" t="s">
        <v>34780</v>
      </c>
      <c r="C3135" s="153" t="s">
        <v>431</v>
      </c>
      <c r="D3135" s="154">
        <v>1946.2</v>
      </c>
      <c r="E3135" s="231">
        <v>44865</v>
      </c>
      <c r="F3135" s="154">
        <v>1946.2</v>
      </c>
      <c r="G3135" s="197">
        <f>Tabla111[[#This Row],[Importe]]-Tabla111[[#This Row],[Pagado]]</f>
        <v>0</v>
      </c>
      <c r="H3135" s="153" t="s">
        <v>10</v>
      </c>
    </row>
    <row r="3136" spans="1:8" x14ac:dyDescent="0.25">
      <c r="A3136" s="73">
        <v>44863</v>
      </c>
      <c r="B3136" s="74" t="s">
        <v>34781</v>
      </c>
      <c r="C3136" s="75" t="s">
        <v>10819</v>
      </c>
      <c r="D3136" s="81">
        <v>2567.8000000000002</v>
      </c>
      <c r="E3136" s="230">
        <v>44865</v>
      </c>
      <c r="F3136" s="81">
        <v>2567.8000000000002</v>
      </c>
      <c r="G3136" s="197">
        <f>Tabla111[[#This Row],[Importe]]-Tabla111[[#This Row],[Pagado]]</f>
        <v>0</v>
      </c>
      <c r="H3136" s="75" t="s">
        <v>10</v>
      </c>
    </row>
    <row r="3137" spans="1:8" x14ac:dyDescent="0.25">
      <c r="A3137" s="148">
        <v>44863</v>
      </c>
      <c r="B3137" s="149" t="s">
        <v>34782</v>
      </c>
      <c r="C3137" s="153" t="s">
        <v>5345</v>
      </c>
      <c r="D3137" s="154">
        <v>9620</v>
      </c>
      <c r="E3137" s="231">
        <v>44865</v>
      </c>
      <c r="F3137" s="154">
        <v>9620</v>
      </c>
      <c r="G3137" s="197">
        <f>Tabla111[[#This Row],[Importe]]-Tabla111[[#This Row],[Pagado]]</f>
        <v>0</v>
      </c>
      <c r="H3137" s="153" t="s">
        <v>10</v>
      </c>
    </row>
    <row r="3138" spans="1:8" x14ac:dyDescent="0.25">
      <c r="A3138" s="73">
        <v>44863</v>
      </c>
      <c r="B3138" s="74" t="s">
        <v>34783</v>
      </c>
      <c r="C3138" s="75" t="s">
        <v>284</v>
      </c>
      <c r="D3138" s="81">
        <v>22126</v>
      </c>
      <c r="E3138" s="230">
        <v>44865</v>
      </c>
      <c r="F3138" s="81">
        <v>22126</v>
      </c>
      <c r="G3138" s="197">
        <f>Tabla111[[#This Row],[Importe]]-Tabla111[[#This Row],[Pagado]]</f>
        <v>0</v>
      </c>
      <c r="H3138" s="75" t="s">
        <v>10</v>
      </c>
    </row>
    <row r="3139" spans="1:8" x14ac:dyDescent="0.25">
      <c r="A3139" s="148">
        <v>44863</v>
      </c>
      <c r="B3139" s="149" t="s">
        <v>34784</v>
      </c>
      <c r="C3139" s="153" t="s">
        <v>31</v>
      </c>
      <c r="D3139" s="154">
        <v>126</v>
      </c>
      <c r="E3139" s="231">
        <v>44863</v>
      </c>
      <c r="F3139" s="154">
        <v>126</v>
      </c>
      <c r="G3139" s="197">
        <f>Tabla111[[#This Row],[Importe]]-Tabla111[[#This Row],[Pagado]]</f>
        <v>0</v>
      </c>
      <c r="H3139" s="153" t="s">
        <v>10</v>
      </c>
    </row>
    <row r="3140" spans="1:8" x14ac:dyDescent="0.25">
      <c r="A3140" s="73">
        <v>44863</v>
      </c>
      <c r="B3140" s="74" t="s">
        <v>34785</v>
      </c>
      <c r="C3140" s="75" t="s">
        <v>28087</v>
      </c>
      <c r="D3140" s="81">
        <v>35350.75</v>
      </c>
      <c r="E3140" s="230">
        <v>44866</v>
      </c>
      <c r="F3140" s="81">
        <v>35350.75</v>
      </c>
      <c r="G3140" s="197">
        <f>Tabla111[[#This Row],[Importe]]-Tabla111[[#This Row],[Pagado]]</f>
        <v>0</v>
      </c>
      <c r="H3140" s="75" t="s">
        <v>10</v>
      </c>
    </row>
    <row r="3141" spans="1:8" x14ac:dyDescent="0.25">
      <c r="A3141" s="148">
        <v>44863</v>
      </c>
      <c r="B3141" s="149" t="s">
        <v>34786</v>
      </c>
      <c r="C3141" s="153" t="s">
        <v>16</v>
      </c>
      <c r="D3141" s="154">
        <v>1813</v>
      </c>
      <c r="E3141" s="231">
        <v>44863</v>
      </c>
      <c r="F3141" s="154">
        <v>1813</v>
      </c>
      <c r="G3141" s="197">
        <f>Tabla111[[#This Row],[Importe]]-Tabla111[[#This Row],[Pagado]]</f>
        <v>0</v>
      </c>
      <c r="H3141" s="153" t="s">
        <v>10</v>
      </c>
    </row>
    <row r="3142" spans="1:8" x14ac:dyDescent="0.25">
      <c r="A3142" s="73">
        <v>44863</v>
      </c>
      <c r="B3142" s="74" t="s">
        <v>34787</v>
      </c>
      <c r="C3142" s="75" t="s">
        <v>31</v>
      </c>
      <c r="D3142" s="81">
        <v>2688.6</v>
      </c>
      <c r="E3142" s="230">
        <v>44863</v>
      </c>
      <c r="F3142" s="81">
        <v>2688.6</v>
      </c>
      <c r="G3142" s="197">
        <f>Tabla111[[#This Row],[Importe]]-Tabla111[[#This Row],[Pagado]]</f>
        <v>0</v>
      </c>
      <c r="H3142" s="75" t="s">
        <v>10</v>
      </c>
    </row>
    <row r="3143" spans="1:8" x14ac:dyDescent="0.25">
      <c r="A3143" s="148">
        <v>44863</v>
      </c>
      <c r="B3143" s="149" t="s">
        <v>34788</v>
      </c>
      <c r="C3143" s="153" t="s">
        <v>58</v>
      </c>
      <c r="D3143" s="154">
        <v>1537</v>
      </c>
      <c r="E3143" s="231">
        <v>44863</v>
      </c>
      <c r="F3143" s="154">
        <v>1537</v>
      </c>
      <c r="G3143" s="197">
        <f>Tabla111[[#This Row],[Importe]]-Tabla111[[#This Row],[Pagado]]</f>
        <v>0</v>
      </c>
      <c r="H3143" s="153" t="s">
        <v>10</v>
      </c>
    </row>
    <row r="3144" spans="1:8" x14ac:dyDescent="0.25">
      <c r="A3144" s="73">
        <v>44863</v>
      </c>
      <c r="B3144" s="74" t="s">
        <v>34789</v>
      </c>
      <c r="C3144" s="75" t="s">
        <v>1008</v>
      </c>
      <c r="D3144" s="81">
        <v>4559.6000000000004</v>
      </c>
      <c r="E3144" s="230">
        <v>44863</v>
      </c>
      <c r="F3144" s="81">
        <v>4559.6000000000004</v>
      </c>
      <c r="G3144" s="197">
        <f>Tabla111[[#This Row],[Importe]]-Tabla111[[#This Row],[Pagado]]</f>
        <v>0</v>
      </c>
      <c r="H3144" s="75" t="s">
        <v>10</v>
      </c>
    </row>
    <row r="3145" spans="1:8" x14ac:dyDescent="0.25">
      <c r="A3145" s="148">
        <v>44863</v>
      </c>
      <c r="B3145" s="149" t="s">
        <v>34790</v>
      </c>
      <c r="C3145" s="153" t="s">
        <v>196</v>
      </c>
      <c r="D3145" s="154">
        <v>174485.08</v>
      </c>
      <c r="E3145" s="231">
        <v>44870</v>
      </c>
      <c r="F3145" s="154">
        <v>174485.08</v>
      </c>
      <c r="G3145" s="197">
        <f>Tabla111[[#This Row],[Importe]]-Tabla111[[#This Row],[Pagado]]</f>
        <v>0</v>
      </c>
      <c r="H3145" s="153" t="s">
        <v>10</v>
      </c>
    </row>
    <row r="3146" spans="1:8" x14ac:dyDescent="0.25">
      <c r="A3146" s="73">
        <v>44863</v>
      </c>
      <c r="B3146" s="74" t="s">
        <v>34791</v>
      </c>
      <c r="C3146" s="75" t="s">
        <v>12</v>
      </c>
      <c r="D3146" s="81">
        <v>1363</v>
      </c>
      <c r="E3146" s="230">
        <v>44863</v>
      </c>
      <c r="F3146" s="81">
        <v>1363</v>
      </c>
      <c r="G3146" s="197">
        <f>Tabla111[[#This Row],[Importe]]-Tabla111[[#This Row],[Pagado]]</f>
        <v>0</v>
      </c>
      <c r="H3146" s="75" t="s">
        <v>10</v>
      </c>
    </row>
    <row r="3147" spans="1:8" x14ac:dyDescent="0.25">
      <c r="A3147" s="148">
        <v>44863</v>
      </c>
      <c r="B3147" s="149" t="s">
        <v>34792</v>
      </c>
      <c r="C3147" s="153" t="s">
        <v>31</v>
      </c>
      <c r="D3147" s="154">
        <v>216</v>
      </c>
      <c r="E3147" s="231">
        <v>44863</v>
      </c>
      <c r="F3147" s="154">
        <v>216</v>
      </c>
      <c r="G3147" s="197">
        <f>Tabla111[[#This Row],[Importe]]-Tabla111[[#This Row],[Pagado]]</f>
        <v>0</v>
      </c>
      <c r="H3147" s="153" t="s">
        <v>10</v>
      </c>
    </row>
    <row r="3148" spans="1:8" x14ac:dyDescent="0.25">
      <c r="A3148" s="73">
        <v>44863</v>
      </c>
      <c r="B3148" s="74" t="s">
        <v>34793</v>
      </c>
      <c r="C3148" s="75" t="s">
        <v>35</v>
      </c>
      <c r="D3148" s="81">
        <v>3750.2</v>
      </c>
      <c r="E3148" s="230">
        <v>44863</v>
      </c>
      <c r="F3148" s="81">
        <v>3750.2</v>
      </c>
      <c r="G3148" s="197">
        <f>Tabla111[[#This Row],[Importe]]-Tabla111[[#This Row],[Pagado]]</f>
        <v>0</v>
      </c>
      <c r="H3148" s="75" t="s">
        <v>10</v>
      </c>
    </row>
    <row r="3149" spans="1:8" x14ac:dyDescent="0.25">
      <c r="A3149" s="148">
        <v>44863</v>
      </c>
      <c r="B3149" s="149" t="s">
        <v>34794</v>
      </c>
      <c r="C3149" s="153" t="s">
        <v>463</v>
      </c>
      <c r="D3149" s="154">
        <v>550</v>
      </c>
      <c r="E3149" s="231">
        <v>44867</v>
      </c>
      <c r="F3149" s="154">
        <v>550</v>
      </c>
      <c r="G3149" s="197">
        <f>Tabla111[[#This Row],[Importe]]-Tabla111[[#This Row],[Pagado]]</f>
        <v>0</v>
      </c>
      <c r="H3149" s="153" t="s">
        <v>10</v>
      </c>
    </row>
    <row r="3150" spans="1:8" x14ac:dyDescent="0.25">
      <c r="A3150" s="73">
        <v>44863</v>
      </c>
      <c r="B3150" s="74" t="s">
        <v>34795</v>
      </c>
      <c r="C3150" s="75" t="s">
        <v>461</v>
      </c>
      <c r="D3150" s="81">
        <v>394</v>
      </c>
      <c r="E3150" s="230">
        <v>44865</v>
      </c>
      <c r="F3150" s="81">
        <v>394</v>
      </c>
      <c r="G3150" s="197">
        <f>Tabla111[[#This Row],[Importe]]-Tabla111[[#This Row],[Pagado]]</f>
        <v>0</v>
      </c>
      <c r="H3150" s="75" t="s">
        <v>10</v>
      </c>
    </row>
    <row r="3151" spans="1:8" x14ac:dyDescent="0.25">
      <c r="A3151" s="148">
        <v>44863</v>
      </c>
      <c r="B3151" s="149" t="s">
        <v>34796</v>
      </c>
      <c r="C3151" s="153" t="s">
        <v>843</v>
      </c>
      <c r="D3151" s="154">
        <v>15162</v>
      </c>
      <c r="E3151" s="231">
        <v>44864</v>
      </c>
      <c r="F3151" s="154">
        <v>15162</v>
      </c>
      <c r="G3151" s="197">
        <f>Tabla111[[#This Row],[Importe]]-Tabla111[[#This Row],[Pagado]]</f>
        <v>0</v>
      </c>
      <c r="H3151" s="153" t="s">
        <v>10</v>
      </c>
    </row>
    <row r="3152" spans="1:8" x14ac:dyDescent="0.25">
      <c r="A3152" s="73">
        <v>44863</v>
      </c>
      <c r="B3152" s="74" t="s">
        <v>34797</v>
      </c>
      <c r="C3152" s="75" t="s">
        <v>51</v>
      </c>
      <c r="D3152" s="81">
        <v>5485.4</v>
      </c>
      <c r="E3152" s="230">
        <v>44863</v>
      </c>
      <c r="F3152" s="81">
        <v>5485.4</v>
      </c>
      <c r="G3152" s="197">
        <f>Tabla111[[#This Row],[Importe]]-Tabla111[[#This Row],[Pagado]]</f>
        <v>0</v>
      </c>
      <c r="H3152" s="75" t="s">
        <v>10</v>
      </c>
    </row>
    <row r="3153" spans="1:8" x14ac:dyDescent="0.25">
      <c r="A3153" s="148">
        <v>44863</v>
      </c>
      <c r="B3153" s="149" t="s">
        <v>34798</v>
      </c>
      <c r="C3153" s="153" t="s">
        <v>261</v>
      </c>
      <c r="D3153" s="154">
        <v>104452.5</v>
      </c>
      <c r="E3153" s="231">
        <v>44864</v>
      </c>
      <c r="F3153" s="154">
        <v>104452.5</v>
      </c>
      <c r="G3153" s="197">
        <f>Tabla111[[#This Row],[Importe]]-Tabla111[[#This Row],[Pagado]]</f>
        <v>0</v>
      </c>
      <c r="H3153" s="153" t="s">
        <v>10</v>
      </c>
    </row>
    <row r="3154" spans="1:8" x14ac:dyDescent="0.25">
      <c r="A3154" s="73">
        <v>44863</v>
      </c>
      <c r="B3154" s="74" t="s">
        <v>34799</v>
      </c>
      <c r="C3154" s="75" t="s">
        <v>459</v>
      </c>
      <c r="D3154" s="81">
        <v>248</v>
      </c>
      <c r="E3154" s="230">
        <v>44863</v>
      </c>
      <c r="F3154" s="81">
        <v>248</v>
      </c>
      <c r="G3154" s="197">
        <f>Tabla111[[#This Row],[Importe]]-Tabla111[[#This Row],[Pagado]]</f>
        <v>0</v>
      </c>
      <c r="H3154" s="75" t="s">
        <v>10</v>
      </c>
    </row>
    <row r="3155" spans="1:8" x14ac:dyDescent="0.25">
      <c r="A3155" s="148">
        <v>44863</v>
      </c>
      <c r="B3155" s="149" t="s">
        <v>34800</v>
      </c>
      <c r="C3155" s="153" t="s">
        <v>457</v>
      </c>
      <c r="D3155" s="154">
        <v>213</v>
      </c>
      <c r="E3155" s="231">
        <v>44863</v>
      </c>
      <c r="F3155" s="154">
        <v>213</v>
      </c>
      <c r="G3155" s="197">
        <f>Tabla111[[#This Row],[Importe]]-Tabla111[[#This Row],[Pagado]]</f>
        <v>0</v>
      </c>
      <c r="H3155" s="153" t="s">
        <v>10</v>
      </c>
    </row>
    <row r="3156" spans="1:8" x14ac:dyDescent="0.25">
      <c r="A3156" s="73">
        <v>44863</v>
      </c>
      <c r="B3156" s="74" t="s">
        <v>34801</v>
      </c>
      <c r="C3156" s="75" t="s">
        <v>421</v>
      </c>
      <c r="D3156" s="81">
        <v>2533.8000000000002</v>
      </c>
      <c r="E3156" s="230">
        <v>44863</v>
      </c>
      <c r="F3156" s="81">
        <v>2533.8000000000002</v>
      </c>
      <c r="G3156" s="197">
        <f>Tabla111[[#This Row],[Importe]]-Tabla111[[#This Row],[Pagado]]</f>
        <v>0</v>
      </c>
      <c r="H3156" s="75" t="s">
        <v>10</v>
      </c>
    </row>
    <row r="3157" spans="1:8" x14ac:dyDescent="0.25">
      <c r="A3157" s="148">
        <v>44863</v>
      </c>
      <c r="B3157" s="149" t="s">
        <v>34802</v>
      </c>
      <c r="C3157" s="153" t="s">
        <v>56</v>
      </c>
      <c r="D3157" s="154">
        <v>12051.8</v>
      </c>
      <c r="E3157" s="231">
        <v>44863</v>
      </c>
      <c r="F3157" s="154">
        <v>12051.8</v>
      </c>
      <c r="G3157" s="197">
        <f>Tabla111[[#This Row],[Importe]]-Tabla111[[#This Row],[Pagado]]</f>
        <v>0</v>
      </c>
      <c r="H3157" s="153" t="s">
        <v>10</v>
      </c>
    </row>
    <row r="3158" spans="1:8" x14ac:dyDescent="0.25">
      <c r="A3158" s="73">
        <v>44863</v>
      </c>
      <c r="B3158" s="74" t="s">
        <v>34803</v>
      </c>
      <c r="C3158" s="75" t="s">
        <v>56</v>
      </c>
      <c r="D3158" s="81">
        <v>170.5</v>
      </c>
      <c r="E3158" s="230">
        <v>44863</v>
      </c>
      <c r="F3158" s="81">
        <v>170.5</v>
      </c>
      <c r="G3158" s="197">
        <f>Tabla111[[#This Row],[Importe]]-Tabla111[[#This Row],[Pagado]]</f>
        <v>0</v>
      </c>
      <c r="H3158" s="75" t="s">
        <v>10</v>
      </c>
    </row>
    <row r="3159" spans="1:8" x14ac:dyDescent="0.25">
      <c r="A3159" s="148">
        <v>44864</v>
      </c>
      <c r="B3159" s="149" t="s">
        <v>34804</v>
      </c>
      <c r="C3159" s="153" t="s">
        <v>29</v>
      </c>
      <c r="D3159" s="154">
        <v>11958.4</v>
      </c>
      <c r="E3159" s="231">
        <v>44864</v>
      </c>
      <c r="F3159" s="154">
        <v>11958.4</v>
      </c>
      <c r="G3159" s="197">
        <f>Tabla111[[#This Row],[Importe]]-Tabla111[[#This Row],[Pagado]]</f>
        <v>0</v>
      </c>
      <c r="H3159" s="153" t="s">
        <v>10</v>
      </c>
    </row>
    <row r="3160" spans="1:8" x14ac:dyDescent="0.25">
      <c r="A3160" s="73">
        <v>44864</v>
      </c>
      <c r="B3160" s="74" t="s">
        <v>34805</v>
      </c>
      <c r="C3160" s="75" t="s">
        <v>5375</v>
      </c>
      <c r="D3160" s="81">
        <v>0</v>
      </c>
      <c r="E3160" s="232" t="s">
        <v>189</v>
      </c>
      <c r="F3160" s="81">
        <v>0</v>
      </c>
      <c r="G3160" s="197">
        <f>Tabla111[[#This Row],[Importe]]-Tabla111[[#This Row],[Pagado]]</f>
        <v>0</v>
      </c>
      <c r="H3160" s="75" t="s">
        <v>189</v>
      </c>
    </row>
    <row r="3161" spans="1:8" x14ac:dyDescent="0.25">
      <c r="A3161" s="148">
        <v>44864</v>
      </c>
      <c r="B3161" s="149" t="s">
        <v>34806</v>
      </c>
      <c r="C3161" s="153" t="s">
        <v>9</v>
      </c>
      <c r="D3161" s="154">
        <v>9749.7000000000007</v>
      </c>
      <c r="E3161" s="231">
        <v>44864</v>
      </c>
      <c r="F3161" s="154">
        <v>9749.7000000000007</v>
      </c>
      <c r="G3161" s="197">
        <f>Tabla111[[#This Row],[Importe]]-Tabla111[[#This Row],[Pagado]]</f>
        <v>0</v>
      </c>
      <c r="H3161" s="153" t="s">
        <v>10</v>
      </c>
    </row>
    <row r="3162" spans="1:8" x14ac:dyDescent="0.25">
      <c r="A3162" s="73">
        <v>44864</v>
      </c>
      <c r="B3162" s="74" t="s">
        <v>34807</v>
      </c>
      <c r="C3162" s="75" t="s">
        <v>12</v>
      </c>
      <c r="D3162" s="81">
        <v>60699.05</v>
      </c>
      <c r="E3162" s="230">
        <v>44864</v>
      </c>
      <c r="F3162" s="81">
        <v>60699.05</v>
      </c>
      <c r="G3162" s="197">
        <f>Tabla111[[#This Row],[Importe]]-Tabla111[[#This Row],[Pagado]]</f>
        <v>0</v>
      </c>
      <c r="H3162" s="75" t="s">
        <v>10</v>
      </c>
    </row>
    <row r="3163" spans="1:8" x14ac:dyDescent="0.25">
      <c r="A3163" s="148">
        <v>44864</v>
      </c>
      <c r="B3163" s="149" t="s">
        <v>34808</v>
      </c>
      <c r="C3163" s="153" t="s">
        <v>31</v>
      </c>
      <c r="D3163" s="154">
        <v>6880.8</v>
      </c>
      <c r="E3163" s="231">
        <v>44864</v>
      </c>
      <c r="F3163" s="154">
        <v>6880.8</v>
      </c>
      <c r="G3163" s="197">
        <f>Tabla111[[#This Row],[Importe]]-Tabla111[[#This Row],[Pagado]]</f>
        <v>0</v>
      </c>
      <c r="H3163" s="153" t="s">
        <v>10</v>
      </c>
    </row>
    <row r="3164" spans="1:8" x14ac:dyDescent="0.25">
      <c r="A3164" s="73">
        <v>44864</v>
      </c>
      <c r="B3164" s="74" t="s">
        <v>34809</v>
      </c>
      <c r="C3164" s="75" t="s">
        <v>24768</v>
      </c>
      <c r="D3164" s="81">
        <v>4399.6000000000004</v>
      </c>
      <c r="E3164" s="230">
        <v>44864</v>
      </c>
      <c r="F3164" s="81">
        <v>4399.6000000000004</v>
      </c>
      <c r="G3164" s="197">
        <f>Tabla111[[#This Row],[Importe]]-Tabla111[[#This Row],[Pagado]]</f>
        <v>0</v>
      </c>
      <c r="H3164" s="75" t="s">
        <v>10</v>
      </c>
    </row>
    <row r="3165" spans="1:8" x14ac:dyDescent="0.25">
      <c r="A3165" s="148">
        <v>44864</v>
      </c>
      <c r="B3165" s="149" t="s">
        <v>34810</v>
      </c>
      <c r="C3165" s="153" t="s">
        <v>16</v>
      </c>
      <c r="D3165" s="154">
        <v>12774.9</v>
      </c>
      <c r="E3165" s="231">
        <v>44864</v>
      </c>
      <c r="F3165" s="154">
        <v>12774.9</v>
      </c>
      <c r="G3165" s="197">
        <f>Tabla111[[#This Row],[Importe]]-Tabla111[[#This Row],[Pagado]]</f>
        <v>0</v>
      </c>
      <c r="H3165" s="153" t="s">
        <v>10</v>
      </c>
    </row>
    <row r="3166" spans="1:8" x14ac:dyDescent="0.25">
      <c r="A3166" s="73">
        <v>44864</v>
      </c>
      <c r="B3166" s="74" t="s">
        <v>34811</v>
      </c>
      <c r="C3166" s="75" t="s">
        <v>1187</v>
      </c>
      <c r="D3166" s="81">
        <v>3071.5</v>
      </c>
      <c r="E3166" s="230">
        <v>44864</v>
      </c>
      <c r="F3166" s="81">
        <v>3071.5</v>
      </c>
      <c r="G3166" s="197">
        <f>Tabla111[[#This Row],[Importe]]-Tabla111[[#This Row],[Pagado]]</f>
        <v>0</v>
      </c>
      <c r="H3166" s="75" t="s">
        <v>10</v>
      </c>
    </row>
    <row r="3167" spans="1:8" x14ac:dyDescent="0.25">
      <c r="A3167" s="148">
        <v>44864</v>
      </c>
      <c r="B3167" s="149" t="s">
        <v>34812</v>
      </c>
      <c r="C3167" s="153" t="s">
        <v>31</v>
      </c>
      <c r="D3167" s="154">
        <v>625</v>
      </c>
      <c r="E3167" s="231">
        <v>44864</v>
      </c>
      <c r="F3167" s="154">
        <v>625</v>
      </c>
      <c r="G3167" s="197">
        <f>Tabla111[[#This Row],[Importe]]-Tabla111[[#This Row],[Pagado]]</f>
        <v>0</v>
      </c>
      <c r="H3167" s="153" t="s">
        <v>10</v>
      </c>
    </row>
    <row r="3168" spans="1:8" x14ac:dyDescent="0.25">
      <c r="A3168" s="73">
        <v>44864</v>
      </c>
      <c r="B3168" s="74" t="s">
        <v>34813</v>
      </c>
      <c r="C3168" s="75" t="s">
        <v>2780</v>
      </c>
      <c r="D3168" s="81">
        <v>10115.6</v>
      </c>
      <c r="E3168" s="230">
        <v>44864</v>
      </c>
      <c r="F3168" s="81">
        <v>10115.6</v>
      </c>
      <c r="G3168" s="197">
        <f>Tabla111[[#This Row],[Importe]]-Tabla111[[#This Row],[Pagado]]</f>
        <v>0</v>
      </c>
      <c r="H3168" s="75" t="s">
        <v>10</v>
      </c>
    </row>
    <row r="3169" spans="1:8" x14ac:dyDescent="0.25">
      <c r="A3169" s="148">
        <v>44864</v>
      </c>
      <c r="B3169" s="149" t="s">
        <v>34814</v>
      </c>
      <c r="C3169" s="153" t="s">
        <v>475</v>
      </c>
      <c r="D3169" s="154">
        <v>30282.5</v>
      </c>
      <c r="E3169" s="231" t="s">
        <v>34994</v>
      </c>
      <c r="F3169" s="154">
        <f>10000+20282.5</f>
        <v>30282.5</v>
      </c>
      <c r="G3169" s="197">
        <f>Tabla111[[#This Row],[Importe]]-Tabla111[[#This Row],[Pagado]]</f>
        <v>0</v>
      </c>
      <c r="H3169" s="153" t="s">
        <v>10</v>
      </c>
    </row>
    <row r="3170" spans="1:8" x14ac:dyDescent="0.25">
      <c r="A3170" s="73">
        <v>44864</v>
      </c>
      <c r="B3170" s="74" t="s">
        <v>34815</v>
      </c>
      <c r="C3170" s="75" t="s">
        <v>481</v>
      </c>
      <c r="D3170" s="81">
        <v>1361.2</v>
      </c>
      <c r="E3170" s="230">
        <v>44864</v>
      </c>
      <c r="F3170" s="81">
        <v>1361.2</v>
      </c>
      <c r="G3170" s="197">
        <f>Tabla111[[#This Row],[Importe]]-Tabla111[[#This Row],[Pagado]]</f>
        <v>0</v>
      </c>
      <c r="H3170" s="75" t="s">
        <v>10</v>
      </c>
    </row>
    <row r="3171" spans="1:8" x14ac:dyDescent="0.25">
      <c r="A3171" s="148">
        <v>44864</v>
      </c>
      <c r="B3171" s="149" t="s">
        <v>34816</v>
      </c>
      <c r="C3171" s="153" t="s">
        <v>20</v>
      </c>
      <c r="D3171" s="154">
        <v>10948.5</v>
      </c>
      <c r="E3171" s="231">
        <v>44864</v>
      </c>
      <c r="F3171" s="154">
        <v>10948.5</v>
      </c>
      <c r="G3171" s="197">
        <f>Tabla111[[#This Row],[Importe]]-Tabla111[[#This Row],[Pagado]]</f>
        <v>0</v>
      </c>
      <c r="H3171" s="153" t="s">
        <v>10</v>
      </c>
    </row>
    <row r="3172" spans="1:8" x14ac:dyDescent="0.25">
      <c r="A3172" s="73">
        <v>44864</v>
      </c>
      <c r="B3172" s="74" t="s">
        <v>34817</v>
      </c>
      <c r="C3172" s="75" t="s">
        <v>849</v>
      </c>
      <c r="D3172" s="81">
        <v>958.8</v>
      </c>
      <c r="E3172" s="230">
        <v>44864</v>
      </c>
      <c r="F3172" s="81">
        <v>958.8</v>
      </c>
      <c r="G3172" s="197">
        <f>Tabla111[[#This Row],[Importe]]-Tabla111[[#This Row],[Pagado]]</f>
        <v>0</v>
      </c>
      <c r="H3172" s="75" t="s">
        <v>10</v>
      </c>
    </row>
    <row r="3173" spans="1:8" x14ac:dyDescent="0.25">
      <c r="A3173" s="148">
        <v>44864</v>
      </c>
      <c r="B3173" s="149" t="s">
        <v>34818</v>
      </c>
      <c r="C3173" s="153" t="s">
        <v>37</v>
      </c>
      <c r="D3173" s="154">
        <v>2516</v>
      </c>
      <c r="E3173" s="231">
        <v>44864</v>
      </c>
      <c r="F3173" s="154">
        <v>2516</v>
      </c>
      <c r="G3173" s="197">
        <f>Tabla111[[#This Row],[Importe]]-Tabla111[[#This Row],[Pagado]]</f>
        <v>0</v>
      </c>
      <c r="H3173" s="153" t="s">
        <v>10</v>
      </c>
    </row>
    <row r="3174" spans="1:8" x14ac:dyDescent="0.25">
      <c r="A3174" s="73">
        <v>44864</v>
      </c>
      <c r="B3174" s="74" t="s">
        <v>34819</v>
      </c>
      <c r="C3174" s="75" t="s">
        <v>924</v>
      </c>
      <c r="D3174" s="81">
        <v>13388.8</v>
      </c>
      <c r="E3174" s="230">
        <v>44864</v>
      </c>
      <c r="F3174" s="81">
        <v>13388.8</v>
      </c>
      <c r="G3174" s="197">
        <f>Tabla111[[#This Row],[Importe]]-Tabla111[[#This Row],[Pagado]]</f>
        <v>0</v>
      </c>
      <c r="H3174" s="75" t="s">
        <v>10</v>
      </c>
    </row>
    <row r="3175" spans="1:8" x14ac:dyDescent="0.25">
      <c r="A3175" s="148">
        <v>44864</v>
      </c>
      <c r="B3175" s="149" t="s">
        <v>34820</v>
      </c>
      <c r="C3175" s="153" t="s">
        <v>382</v>
      </c>
      <c r="D3175" s="154">
        <v>6277.5</v>
      </c>
      <c r="E3175" s="231">
        <v>44864</v>
      </c>
      <c r="F3175" s="154">
        <v>6277.5</v>
      </c>
      <c r="G3175" s="197">
        <f>Tabla111[[#This Row],[Importe]]-Tabla111[[#This Row],[Pagado]]</f>
        <v>0</v>
      </c>
      <c r="H3175" s="153" t="s">
        <v>10</v>
      </c>
    </row>
    <row r="3176" spans="1:8" x14ac:dyDescent="0.25">
      <c r="A3176" s="73">
        <v>44864</v>
      </c>
      <c r="B3176" s="74" t="s">
        <v>34821</v>
      </c>
      <c r="C3176" s="75" t="s">
        <v>22</v>
      </c>
      <c r="D3176" s="81">
        <v>35050.199999999997</v>
      </c>
      <c r="E3176" s="230">
        <v>44865</v>
      </c>
      <c r="F3176" s="81">
        <v>35050.199999999997</v>
      </c>
      <c r="G3176" s="197">
        <f>Tabla111[[#This Row],[Importe]]-Tabla111[[#This Row],[Pagado]]</f>
        <v>0</v>
      </c>
      <c r="H3176" s="75" t="s">
        <v>10</v>
      </c>
    </row>
    <row r="3177" spans="1:8" x14ac:dyDescent="0.25">
      <c r="A3177" s="148">
        <v>44864</v>
      </c>
      <c r="B3177" s="149" t="s">
        <v>34822</v>
      </c>
      <c r="C3177" s="153" t="s">
        <v>501</v>
      </c>
      <c r="D3177" s="154">
        <v>13467.6</v>
      </c>
      <c r="E3177" s="231">
        <v>44864</v>
      </c>
      <c r="F3177" s="154">
        <v>13467.6</v>
      </c>
      <c r="G3177" s="197">
        <f>Tabla111[[#This Row],[Importe]]-Tabla111[[#This Row],[Pagado]]</f>
        <v>0</v>
      </c>
      <c r="H3177" s="153" t="s">
        <v>10</v>
      </c>
    </row>
    <row r="3178" spans="1:8" x14ac:dyDescent="0.25">
      <c r="A3178" s="73">
        <v>44864</v>
      </c>
      <c r="B3178" s="74" t="s">
        <v>34823</v>
      </c>
      <c r="C3178" s="75" t="s">
        <v>1676</v>
      </c>
      <c r="D3178" s="81">
        <v>4373.3999999999996</v>
      </c>
      <c r="E3178" s="230">
        <v>44864</v>
      </c>
      <c r="F3178" s="81">
        <v>4373.3999999999996</v>
      </c>
      <c r="G3178" s="197">
        <f>Tabla111[[#This Row],[Importe]]-Tabla111[[#This Row],[Pagado]]</f>
        <v>0</v>
      </c>
      <c r="H3178" s="75" t="s">
        <v>10</v>
      </c>
    </row>
    <row r="3179" spans="1:8" x14ac:dyDescent="0.25">
      <c r="A3179" s="148">
        <v>44864</v>
      </c>
      <c r="B3179" s="149" t="s">
        <v>34824</v>
      </c>
      <c r="C3179" s="153" t="s">
        <v>348</v>
      </c>
      <c r="D3179" s="154">
        <v>5603.5</v>
      </c>
      <c r="E3179" s="231">
        <v>44864</v>
      </c>
      <c r="F3179" s="154">
        <v>5603.5</v>
      </c>
      <c r="G3179" s="197">
        <f>Tabla111[[#This Row],[Importe]]-Tabla111[[#This Row],[Pagado]]</f>
        <v>0</v>
      </c>
      <c r="H3179" s="153" t="s">
        <v>10</v>
      </c>
    </row>
    <row r="3180" spans="1:8" x14ac:dyDescent="0.25">
      <c r="A3180" s="73">
        <v>44864</v>
      </c>
      <c r="B3180" s="74" t="s">
        <v>34825</v>
      </c>
      <c r="C3180" s="75" t="s">
        <v>24</v>
      </c>
      <c r="D3180" s="81">
        <v>2199.6</v>
      </c>
      <c r="E3180" s="230">
        <v>44864</v>
      </c>
      <c r="F3180" s="81">
        <v>2199.6</v>
      </c>
      <c r="G3180" s="197">
        <f>Tabla111[[#This Row],[Importe]]-Tabla111[[#This Row],[Pagado]]</f>
        <v>0</v>
      </c>
      <c r="H3180" s="75" t="s">
        <v>10</v>
      </c>
    </row>
    <row r="3181" spans="1:8" x14ac:dyDescent="0.25">
      <c r="A3181" s="148">
        <v>44864</v>
      </c>
      <c r="B3181" s="149" t="s">
        <v>34826</v>
      </c>
      <c r="C3181" s="153" t="s">
        <v>27</v>
      </c>
      <c r="D3181" s="154">
        <v>777.2</v>
      </c>
      <c r="E3181" s="231">
        <v>44864</v>
      </c>
      <c r="F3181" s="154">
        <v>777.2</v>
      </c>
      <c r="G3181" s="197">
        <f>Tabla111[[#This Row],[Importe]]-Tabla111[[#This Row],[Pagado]]</f>
        <v>0</v>
      </c>
      <c r="H3181" s="153" t="s">
        <v>10</v>
      </c>
    </row>
    <row r="3182" spans="1:8" x14ac:dyDescent="0.25">
      <c r="A3182" s="73">
        <v>44864</v>
      </c>
      <c r="B3182" s="74" t="s">
        <v>34827</v>
      </c>
      <c r="C3182" s="75" t="s">
        <v>51</v>
      </c>
      <c r="D3182" s="81">
        <v>1350</v>
      </c>
      <c r="E3182" s="230">
        <v>44864</v>
      </c>
      <c r="F3182" s="81">
        <v>1350</v>
      </c>
      <c r="G3182" s="197">
        <f>Tabla111[[#This Row],[Importe]]-Tabla111[[#This Row],[Pagado]]</f>
        <v>0</v>
      </c>
      <c r="H3182" s="75" t="s">
        <v>10</v>
      </c>
    </row>
    <row r="3183" spans="1:8" x14ac:dyDescent="0.25">
      <c r="A3183" s="148">
        <v>44864</v>
      </c>
      <c r="B3183" s="149" t="s">
        <v>34828</v>
      </c>
      <c r="C3183" s="153" t="s">
        <v>9993</v>
      </c>
      <c r="D3183" s="154">
        <v>72219</v>
      </c>
      <c r="E3183" s="231">
        <v>44864</v>
      </c>
      <c r="F3183" s="154">
        <v>72219</v>
      </c>
      <c r="G3183" s="197">
        <f>Tabla111[[#This Row],[Importe]]-Tabla111[[#This Row],[Pagado]]</f>
        <v>0</v>
      </c>
      <c r="H3183" s="153" t="s">
        <v>10</v>
      </c>
    </row>
    <row r="3184" spans="1:8" x14ac:dyDescent="0.25">
      <c r="A3184" s="73">
        <v>44864</v>
      </c>
      <c r="B3184" s="74" t="s">
        <v>34829</v>
      </c>
      <c r="C3184" s="75" t="s">
        <v>49</v>
      </c>
      <c r="D3184" s="81">
        <v>4434.1000000000004</v>
      </c>
      <c r="E3184" s="230">
        <v>44864</v>
      </c>
      <c r="F3184" s="81">
        <v>4434.1000000000004</v>
      </c>
      <c r="G3184" s="197">
        <f>Tabla111[[#This Row],[Importe]]-Tabla111[[#This Row],[Pagado]]</f>
        <v>0</v>
      </c>
      <c r="H3184" s="75" t="s">
        <v>10</v>
      </c>
    </row>
    <row r="3185" spans="1:8" x14ac:dyDescent="0.25">
      <c r="A3185" s="148">
        <v>44864</v>
      </c>
      <c r="B3185" s="149" t="s">
        <v>34830</v>
      </c>
      <c r="C3185" s="153" t="s">
        <v>9993</v>
      </c>
      <c r="D3185" s="154">
        <v>6498</v>
      </c>
      <c r="E3185" s="231">
        <v>44864</v>
      </c>
      <c r="F3185" s="154">
        <v>6498</v>
      </c>
      <c r="G3185" s="197">
        <f>Tabla111[[#This Row],[Importe]]-Tabla111[[#This Row],[Pagado]]</f>
        <v>0</v>
      </c>
      <c r="H3185" s="153" t="s">
        <v>10</v>
      </c>
    </row>
    <row r="3186" spans="1:8" x14ac:dyDescent="0.25">
      <c r="A3186" s="73">
        <v>44864</v>
      </c>
      <c r="B3186" s="74" t="s">
        <v>34831</v>
      </c>
      <c r="C3186" s="75" t="s">
        <v>815</v>
      </c>
      <c r="D3186" s="81">
        <v>1374</v>
      </c>
      <c r="E3186" s="230">
        <v>44864</v>
      </c>
      <c r="F3186" s="81">
        <v>1374</v>
      </c>
      <c r="G3186" s="197">
        <f>Tabla111[[#This Row],[Importe]]-Tabla111[[#This Row],[Pagado]]</f>
        <v>0</v>
      </c>
      <c r="H3186" s="75" t="s">
        <v>10</v>
      </c>
    </row>
    <row r="3187" spans="1:8" x14ac:dyDescent="0.25">
      <c r="A3187" s="148">
        <v>44864</v>
      </c>
      <c r="B3187" s="149" t="s">
        <v>34832</v>
      </c>
      <c r="C3187" s="153" t="s">
        <v>289</v>
      </c>
      <c r="D3187" s="154">
        <v>16070</v>
      </c>
      <c r="E3187" s="231">
        <v>44864</v>
      </c>
      <c r="F3187" s="154">
        <v>16070</v>
      </c>
      <c r="G3187" s="197">
        <f>Tabla111[[#This Row],[Importe]]-Tabla111[[#This Row],[Pagado]]</f>
        <v>0</v>
      </c>
      <c r="H3187" s="153" t="s">
        <v>10</v>
      </c>
    </row>
    <row r="3188" spans="1:8" x14ac:dyDescent="0.25">
      <c r="A3188" s="73">
        <v>44864</v>
      </c>
      <c r="B3188" s="74" t="s">
        <v>34833</v>
      </c>
      <c r="C3188" s="75" t="s">
        <v>475</v>
      </c>
      <c r="D3188" s="81">
        <v>9146.4</v>
      </c>
      <c r="E3188" s="230">
        <v>44865</v>
      </c>
      <c r="F3188" s="81">
        <v>9146.4</v>
      </c>
      <c r="G3188" s="197">
        <f>Tabla111[[#This Row],[Importe]]-Tabla111[[#This Row],[Pagado]]</f>
        <v>0</v>
      </c>
      <c r="H3188" s="75" t="s">
        <v>10</v>
      </c>
    </row>
    <row r="3189" spans="1:8" x14ac:dyDescent="0.25">
      <c r="A3189" s="148">
        <v>44864</v>
      </c>
      <c r="B3189" s="149" t="s">
        <v>34834</v>
      </c>
      <c r="C3189" s="153" t="s">
        <v>475</v>
      </c>
      <c r="D3189" s="154">
        <v>436.6</v>
      </c>
      <c r="E3189" s="231">
        <v>44865</v>
      </c>
      <c r="F3189" s="154">
        <v>436.6</v>
      </c>
      <c r="G3189" s="197">
        <f>Tabla111[[#This Row],[Importe]]-Tabla111[[#This Row],[Pagado]]</f>
        <v>0</v>
      </c>
      <c r="H3189" s="153" t="s">
        <v>10</v>
      </c>
    </row>
    <row r="3190" spans="1:8" x14ac:dyDescent="0.25">
      <c r="A3190" s="73">
        <v>44864</v>
      </c>
      <c r="B3190" s="74" t="s">
        <v>34835</v>
      </c>
      <c r="C3190" s="75" t="s">
        <v>97</v>
      </c>
      <c r="D3190" s="81">
        <v>4703.7</v>
      </c>
      <c r="E3190" s="230" t="s">
        <v>34997</v>
      </c>
      <c r="F3190" s="81">
        <f>3500+1203.7</f>
        <v>4703.7</v>
      </c>
      <c r="G3190" s="197">
        <f>Tabla111[[#This Row],[Importe]]-Tabla111[[#This Row],[Pagado]]</f>
        <v>0</v>
      </c>
      <c r="H3190" s="75" t="s">
        <v>10</v>
      </c>
    </row>
    <row r="3191" spans="1:8" x14ac:dyDescent="0.25">
      <c r="A3191" s="148">
        <v>44864</v>
      </c>
      <c r="B3191" s="149" t="s">
        <v>34836</v>
      </c>
      <c r="C3191" s="153" t="s">
        <v>1676</v>
      </c>
      <c r="D3191" s="154">
        <v>8014.2</v>
      </c>
      <c r="E3191" s="231">
        <v>44864</v>
      </c>
      <c r="F3191" s="154">
        <v>8014.2</v>
      </c>
      <c r="G3191" s="197">
        <f>Tabla111[[#This Row],[Importe]]-Tabla111[[#This Row],[Pagado]]</f>
        <v>0</v>
      </c>
      <c r="H3191" s="153" t="s">
        <v>10</v>
      </c>
    </row>
    <row r="3192" spans="1:8" x14ac:dyDescent="0.25">
      <c r="A3192" s="73">
        <v>44864</v>
      </c>
      <c r="B3192" s="74" t="s">
        <v>34837</v>
      </c>
      <c r="C3192" s="75" t="s">
        <v>69</v>
      </c>
      <c r="D3192" s="81">
        <v>3596.4</v>
      </c>
      <c r="E3192" s="230">
        <v>44864</v>
      </c>
      <c r="F3192" s="81">
        <v>3596.4</v>
      </c>
      <c r="G3192" s="197">
        <f>Tabla111[[#This Row],[Importe]]-Tabla111[[#This Row],[Pagado]]</f>
        <v>0</v>
      </c>
      <c r="H3192" s="75" t="s">
        <v>10</v>
      </c>
    </row>
    <row r="3193" spans="1:8" x14ac:dyDescent="0.25">
      <c r="A3193" s="148">
        <v>44864</v>
      </c>
      <c r="B3193" s="149" t="s">
        <v>34838</v>
      </c>
      <c r="C3193" s="153" t="s">
        <v>45</v>
      </c>
      <c r="D3193" s="154">
        <v>8812.9</v>
      </c>
      <c r="E3193" s="231">
        <v>44864</v>
      </c>
      <c r="F3193" s="154">
        <v>8812.9</v>
      </c>
      <c r="G3193" s="197">
        <f>Tabla111[[#This Row],[Importe]]-Tabla111[[#This Row],[Pagado]]</f>
        <v>0</v>
      </c>
      <c r="H3193" s="153" t="s">
        <v>10</v>
      </c>
    </row>
    <row r="3194" spans="1:8" x14ac:dyDescent="0.25">
      <c r="A3194" s="73">
        <v>44864</v>
      </c>
      <c r="B3194" s="74" t="s">
        <v>34839</v>
      </c>
      <c r="C3194" s="75" t="s">
        <v>31</v>
      </c>
      <c r="D3194" s="81">
        <v>1003.2</v>
      </c>
      <c r="E3194" s="230">
        <v>44864</v>
      </c>
      <c r="F3194" s="81">
        <v>1003.2</v>
      </c>
      <c r="G3194" s="197">
        <f>Tabla111[[#This Row],[Importe]]-Tabla111[[#This Row],[Pagado]]</f>
        <v>0</v>
      </c>
      <c r="H3194" s="75" t="s">
        <v>10</v>
      </c>
    </row>
    <row r="3195" spans="1:8" x14ac:dyDescent="0.25">
      <c r="A3195" s="148">
        <v>44864</v>
      </c>
      <c r="B3195" s="149" t="s">
        <v>34840</v>
      </c>
      <c r="C3195" s="153" t="s">
        <v>216</v>
      </c>
      <c r="D3195" s="154">
        <v>3122.8</v>
      </c>
      <c r="E3195" s="231">
        <v>44864</v>
      </c>
      <c r="F3195" s="154">
        <v>3122.8</v>
      </c>
      <c r="G3195" s="197">
        <f>Tabla111[[#This Row],[Importe]]-Tabla111[[#This Row],[Pagado]]</f>
        <v>0</v>
      </c>
      <c r="H3195" s="153" t="s">
        <v>10</v>
      </c>
    </row>
    <row r="3196" spans="1:8" x14ac:dyDescent="0.25">
      <c r="A3196" s="73">
        <v>44864</v>
      </c>
      <c r="B3196" s="74" t="s">
        <v>34841</v>
      </c>
      <c r="C3196" s="75" t="s">
        <v>4136</v>
      </c>
      <c r="D3196" s="81">
        <v>1351.1</v>
      </c>
      <c r="E3196" s="230">
        <v>44864</v>
      </c>
      <c r="F3196" s="81">
        <v>1351.1</v>
      </c>
      <c r="G3196" s="197">
        <f>Tabla111[[#This Row],[Importe]]-Tabla111[[#This Row],[Pagado]]</f>
        <v>0</v>
      </c>
      <c r="H3196" s="75" t="s">
        <v>10</v>
      </c>
    </row>
    <row r="3197" spans="1:8" x14ac:dyDescent="0.25">
      <c r="A3197" s="148">
        <v>44864</v>
      </c>
      <c r="B3197" s="149" t="s">
        <v>34842</v>
      </c>
      <c r="C3197" s="153" t="s">
        <v>24284</v>
      </c>
      <c r="D3197" s="154">
        <v>1820.4</v>
      </c>
      <c r="E3197" s="231">
        <v>44864</v>
      </c>
      <c r="F3197" s="154">
        <v>1820.4</v>
      </c>
      <c r="G3197" s="197">
        <f>Tabla111[[#This Row],[Importe]]-Tabla111[[#This Row],[Pagado]]</f>
        <v>0</v>
      </c>
      <c r="H3197" s="153" t="s">
        <v>10</v>
      </c>
    </row>
    <row r="3198" spans="1:8" x14ac:dyDescent="0.25">
      <c r="A3198" s="73">
        <v>44864</v>
      </c>
      <c r="B3198" s="74" t="s">
        <v>34843</v>
      </c>
      <c r="C3198" s="75" t="s">
        <v>31</v>
      </c>
      <c r="D3198" s="81">
        <v>2726.2</v>
      </c>
      <c r="E3198" s="230">
        <v>44864</v>
      </c>
      <c r="F3198" s="81">
        <v>2726.2</v>
      </c>
      <c r="G3198" s="197">
        <f>Tabla111[[#This Row],[Importe]]-Tabla111[[#This Row],[Pagado]]</f>
        <v>0</v>
      </c>
      <c r="H3198" s="75" t="s">
        <v>10</v>
      </c>
    </row>
    <row r="3199" spans="1:8" x14ac:dyDescent="0.25">
      <c r="A3199" s="148">
        <v>44864</v>
      </c>
      <c r="B3199" s="149" t="s">
        <v>34844</v>
      </c>
      <c r="C3199" s="153" t="s">
        <v>58</v>
      </c>
      <c r="D3199" s="154">
        <v>3477.2</v>
      </c>
      <c r="E3199" s="231">
        <v>44864</v>
      </c>
      <c r="F3199" s="154">
        <v>3477.2</v>
      </c>
      <c r="G3199" s="197">
        <f>Tabla111[[#This Row],[Importe]]-Tabla111[[#This Row],[Pagado]]</f>
        <v>0</v>
      </c>
      <c r="H3199" s="153" t="s">
        <v>10</v>
      </c>
    </row>
    <row r="3200" spans="1:8" x14ac:dyDescent="0.25">
      <c r="A3200" s="73">
        <v>44864</v>
      </c>
      <c r="B3200" s="74" t="s">
        <v>34845</v>
      </c>
      <c r="C3200" s="75" t="s">
        <v>296</v>
      </c>
      <c r="D3200" s="81">
        <v>5417.5</v>
      </c>
      <c r="E3200" s="230">
        <v>44864</v>
      </c>
      <c r="F3200" s="81">
        <v>5417.5</v>
      </c>
      <c r="G3200" s="197">
        <f>Tabla111[[#This Row],[Importe]]-Tabla111[[#This Row],[Pagado]]</f>
        <v>0</v>
      </c>
      <c r="H3200" s="75" t="s">
        <v>10</v>
      </c>
    </row>
    <row r="3201" spans="1:8" x14ac:dyDescent="0.25">
      <c r="A3201" s="148">
        <v>44864</v>
      </c>
      <c r="B3201" s="149" t="s">
        <v>34846</v>
      </c>
      <c r="C3201" s="153" t="s">
        <v>214</v>
      </c>
      <c r="D3201" s="154">
        <v>2323.6</v>
      </c>
      <c r="E3201" s="231">
        <v>44864</v>
      </c>
      <c r="F3201" s="154">
        <v>2323.6</v>
      </c>
      <c r="G3201" s="197">
        <f>Tabla111[[#This Row],[Importe]]-Tabla111[[#This Row],[Pagado]]</f>
        <v>0</v>
      </c>
      <c r="H3201" s="153" t="s">
        <v>10</v>
      </c>
    </row>
    <row r="3202" spans="1:8" x14ac:dyDescent="0.25">
      <c r="A3202" s="73">
        <v>44864</v>
      </c>
      <c r="B3202" s="74" t="s">
        <v>34847</v>
      </c>
      <c r="C3202" s="75" t="s">
        <v>31</v>
      </c>
      <c r="D3202" s="81">
        <v>673.4</v>
      </c>
      <c r="E3202" s="230">
        <v>44864</v>
      </c>
      <c r="F3202" s="81">
        <v>673.4</v>
      </c>
      <c r="G3202" s="197">
        <f>Tabla111[[#This Row],[Importe]]-Tabla111[[#This Row],[Pagado]]</f>
        <v>0</v>
      </c>
      <c r="H3202" s="75" t="s">
        <v>10</v>
      </c>
    </row>
    <row r="3203" spans="1:8" x14ac:dyDescent="0.25">
      <c r="A3203" s="148">
        <v>44864</v>
      </c>
      <c r="B3203" s="149" t="s">
        <v>34848</v>
      </c>
      <c r="C3203" s="153" t="s">
        <v>71</v>
      </c>
      <c r="D3203" s="154">
        <v>725.7</v>
      </c>
      <c r="E3203" s="231">
        <v>44864</v>
      </c>
      <c r="F3203" s="154">
        <v>725.7</v>
      </c>
      <c r="G3203" s="197">
        <f>Tabla111[[#This Row],[Importe]]-Tabla111[[#This Row],[Pagado]]</f>
        <v>0</v>
      </c>
      <c r="H3203" s="153" t="s">
        <v>10</v>
      </c>
    </row>
    <row r="3204" spans="1:8" x14ac:dyDescent="0.25">
      <c r="A3204" s="73">
        <v>44864</v>
      </c>
      <c r="B3204" s="74" t="s">
        <v>34849</v>
      </c>
      <c r="C3204" s="75" t="s">
        <v>67</v>
      </c>
      <c r="D3204" s="81">
        <v>3759.2</v>
      </c>
      <c r="E3204" s="230">
        <v>44864</v>
      </c>
      <c r="F3204" s="81">
        <v>3759.2</v>
      </c>
      <c r="G3204" s="197">
        <f>Tabla111[[#This Row],[Importe]]-Tabla111[[#This Row],[Pagado]]</f>
        <v>0</v>
      </c>
      <c r="H3204" s="75" t="s">
        <v>10</v>
      </c>
    </row>
    <row r="3205" spans="1:8" x14ac:dyDescent="0.25">
      <c r="A3205" s="148">
        <v>44864</v>
      </c>
      <c r="B3205" s="149" t="s">
        <v>34850</v>
      </c>
      <c r="C3205" s="153" t="s">
        <v>421</v>
      </c>
      <c r="D3205" s="154">
        <v>3050.4</v>
      </c>
      <c r="E3205" s="231">
        <v>44864</v>
      </c>
      <c r="F3205" s="154">
        <v>3050.4</v>
      </c>
      <c r="G3205" s="197">
        <f>Tabla111[[#This Row],[Importe]]-Tabla111[[#This Row],[Pagado]]</f>
        <v>0</v>
      </c>
      <c r="H3205" s="153" t="s">
        <v>10</v>
      </c>
    </row>
    <row r="3206" spans="1:8" x14ac:dyDescent="0.25">
      <c r="A3206" s="73">
        <v>44864</v>
      </c>
      <c r="B3206" s="74" t="s">
        <v>34851</v>
      </c>
      <c r="C3206" s="75" t="s">
        <v>56</v>
      </c>
      <c r="D3206" s="81">
        <v>4233.2</v>
      </c>
      <c r="E3206" s="230">
        <v>44864</v>
      </c>
      <c r="F3206" s="81">
        <v>4233.2</v>
      </c>
      <c r="G3206" s="197">
        <f>Tabla111[[#This Row],[Importe]]-Tabla111[[#This Row],[Pagado]]</f>
        <v>0</v>
      </c>
      <c r="H3206" s="75" t="s">
        <v>10</v>
      </c>
    </row>
    <row r="3207" spans="1:8" x14ac:dyDescent="0.25">
      <c r="A3207" s="148">
        <v>44864</v>
      </c>
      <c r="B3207" s="149" t="s">
        <v>34852</v>
      </c>
      <c r="C3207" s="153" t="s">
        <v>16</v>
      </c>
      <c r="D3207" s="154">
        <v>1345.2</v>
      </c>
      <c r="E3207" s="231">
        <v>44864</v>
      </c>
      <c r="F3207" s="154">
        <v>1345.2</v>
      </c>
      <c r="G3207" s="197">
        <f>Tabla111[[#This Row],[Importe]]-Tabla111[[#This Row],[Pagado]]</f>
        <v>0</v>
      </c>
      <c r="H3207" s="153" t="s">
        <v>10</v>
      </c>
    </row>
    <row r="3208" spans="1:8" x14ac:dyDescent="0.25">
      <c r="A3208" s="73">
        <v>44864</v>
      </c>
      <c r="B3208" s="74" t="s">
        <v>34853</v>
      </c>
      <c r="C3208" s="75" t="s">
        <v>857</v>
      </c>
      <c r="D3208" s="81">
        <v>630</v>
      </c>
      <c r="E3208" s="230">
        <v>44864</v>
      </c>
      <c r="F3208" s="81">
        <v>630</v>
      </c>
      <c r="G3208" s="197">
        <f>Tabla111[[#This Row],[Importe]]-Tabla111[[#This Row],[Pagado]]</f>
        <v>0</v>
      </c>
      <c r="H3208" s="75" t="s">
        <v>10</v>
      </c>
    </row>
    <row r="3209" spans="1:8" x14ac:dyDescent="0.25">
      <c r="A3209" s="148">
        <v>44864</v>
      </c>
      <c r="B3209" s="149" t="s">
        <v>34854</v>
      </c>
      <c r="C3209" s="153" t="s">
        <v>31</v>
      </c>
      <c r="D3209" s="154">
        <v>590</v>
      </c>
      <c r="E3209" s="231">
        <v>44864</v>
      </c>
      <c r="F3209" s="154">
        <v>590</v>
      </c>
      <c r="G3209" s="197">
        <f>Tabla111[[#This Row],[Importe]]-Tabla111[[#This Row],[Pagado]]</f>
        <v>0</v>
      </c>
      <c r="H3209" s="153" t="s">
        <v>10</v>
      </c>
    </row>
    <row r="3210" spans="1:8" x14ac:dyDescent="0.25">
      <c r="A3210" s="73">
        <v>44864</v>
      </c>
      <c r="B3210" s="74" t="s">
        <v>34855</v>
      </c>
      <c r="C3210" s="75" t="s">
        <v>31</v>
      </c>
      <c r="D3210" s="81">
        <v>614.20000000000005</v>
      </c>
      <c r="E3210" s="230">
        <v>44864</v>
      </c>
      <c r="F3210" s="81">
        <v>614.20000000000005</v>
      </c>
      <c r="G3210" s="197">
        <f>Tabla111[[#This Row],[Importe]]-Tabla111[[#This Row],[Pagado]]</f>
        <v>0</v>
      </c>
      <c r="H3210" s="75" t="s">
        <v>10</v>
      </c>
    </row>
    <row r="3211" spans="1:8" x14ac:dyDescent="0.25">
      <c r="A3211" s="148">
        <v>44864</v>
      </c>
      <c r="B3211" s="149" t="s">
        <v>34856</v>
      </c>
      <c r="C3211" s="153" t="s">
        <v>196</v>
      </c>
      <c r="D3211" s="154">
        <v>153694.9</v>
      </c>
      <c r="E3211" s="231">
        <v>44870</v>
      </c>
      <c r="F3211" s="154">
        <v>153694.9</v>
      </c>
      <c r="G3211" s="197">
        <f>Tabla111[[#This Row],[Importe]]-Tabla111[[#This Row],[Pagado]]</f>
        <v>0</v>
      </c>
      <c r="H3211" s="153" t="s">
        <v>10</v>
      </c>
    </row>
    <row r="3212" spans="1:8" x14ac:dyDescent="0.25">
      <c r="A3212" s="73">
        <v>44864</v>
      </c>
      <c r="B3212" s="74" t="s">
        <v>34857</v>
      </c>
      <c r="C3212" s="75" t="s">
        <v>51</v>
      </c>
      <c r="D3212" s="81">
        <v>3030.8</v>
      </c>
      <c r="E3212" s="230">
        <v>44864</v>
      </c>
      <c r="F3212" s="81">
        <v>3030.8</v>
      </c>
      <c r="G3212" s="197">
        <f>Tabla111[[#This Row],[Importe]]-Tabla111[[#This Row],[Pagado]]</f>
        <v>0</v>
      </c>
      <c r="H3212" s="75" t="s">
        <v>10</v>
      </c>
    </row>
    <row r="3213" spans="1:8" x14ac:dyDescent="0.25">
      <c r="A3213" s="148">
        <v>44864</v>
      </c>
      <c r="B3213" s="149" t="s">
        <v>34858</v>
      </c>
      <c r="C3213" s="153" t="s">
        <v>31</v>
      </c>
      <c r="D3213" s="154">
        <v>621.6</v>
      </c>
      <c r="E3213" s="231">
        <v>44864</v>
      </c>
      <c r="F3213" s="154">
        <v>621.6</v>
      </c>
      <c r="G3213" s="197">
        <f>Tabla111[[#This Row],[Importe]]-Tabla111[[#This Row],[Pagado]]</f>
        <v>0</v>
      </c>
      <c r="H3213" s="153" t="s">
        <v>10</v>
      </c>
    </row>
    <row r="3214" spans="1:8" x14ac:dyDescent="0.25">
      <c r="A3214" s="73">
        <v>44864</v>
      </c>
      <c r="B3214" s="74" t="s">
        <v>34859</v>
      </c>
      <c r="C3214" s="75" t="s">
        <v>75</v>
      </c>
      <c r="D3214" s="81">
        <v>13986</v>
      </c>
      <c r="E3214" s="230">
        <v>44864</v>
      </c>
      <c r="F3214" s="81">
        <v>13986</v>
      </c>
      <c r="G3214" s="197">
        <f>Tabla111[[#This Row],[Importe]]-Tabla111[[#This Row],[Pagado]]</f>
        <v>0</v>
      </c>
      <c r="H3214" s="75" t="s">
        <v>10</v>
      </c>
    </row>
    <row r="3215" spans="1:8" x14ac:dyDescent="0.25">
      <c r="A3215" s="148">
        <v>44864</v>
      </c>
      <c r="B3215" s="149" t="s">
        <v>34860</v>
      </c>
      <c r="C3215" s="153" t="s">
        <v>67</v>
      </c>
      <c r="D3215" s="154">
        <v>2394</v>
      </c>
      <c r="E3215" s="231">
        <v>44864</v>
      </c>
      <c r="F3215" s="154">
        <v>2394</v>
      </c>
      <c r="G3215" s="197">
        <f>Tabla111[[#This Row],[Importe]]-Tabla111[[#This Row],[Pagado]]</f>
        <v>0</v>
      </c>
      <c r="H3215" s="153" t="s">
        <v>10</v>
      </c>
    </row>
    <row r="3216" spans="1:8" x14ac:dyDescent="0.25">
      <c r="A3216" s="73">
        <v>44864</v>
      </c>
      <c r="B3216" s="74" t="s">
        <v>34861</v>
      </c>
      <c r="C3216" s="75" t="s">
        <v>31</v>
      </c>
      <c r="D3216" s="81">
        <v>1656.8</v>
      </c>
      <c r="E3216" s="230">
        <v>44864</v>
      </c>
      <c r="F3216" s="81">
        <v>1656.8</v>
      </c>
      <c r="G3216" s="197">
        <f>Tabla111[[#This Row],[Importe]]-Tabla111[[#This Row],[Pagado]]</f>
        <v>0</v>
      </c>
      <c r="H3216" s="75" t="s">
        <v>10</v>
      </c>
    </row>
    <row r="3217" spans="1:8" x14ac:dyDescent="0.25">
      <c r="A3217" s="148">
        <v>44864</v>
      </c>
      <c r="B3217" s="149" t="s">
        <v>34862</v>
      </c>
      <c r="C3217" s="153" t="s">
        <v>28087</v>
      </c>
      <c r="D3217" s="154">
        <v>49532</v>
      </c>
      <c r="E3217" s="231" t="s">
        <v>35000</v>
      </c>
      <c r="F3217" s="154">
        <f>6680.82+42851.18</f>
        <v>49532</v>
      </c>
      <c r="G3217" s="197">
        <f>Tabla111[[#This Row],[Importe]]-Tabla111[[#This Row],[Pagado]]</f>
        <v>0</v>
      </c>
      <c r="H3217" s="153" t="s">
        <v>10</v>
      </c>
    </row>
    <row r="3218" spans="1:8" x14ac:dyDescent="0.25">
      <c r="A3218" s="217">
        <v>44865</v>
      </c>
      <c r="B3218" s="218" t="s">
        <v>34863</v>
      </c>
      <c r="C3218" s="219" t="s">
        <v>887</v>
      </c>
      <c r="D3218" s="220">
        <v>20287.599999999999</v>
      </c>
      <c r="E3218" s="234">
        <v>44866</v>
      </c>
      <c r="F3218" s="220">
        <v>20287.599999999999</v>
      </c>
      <c r="G3218" s="221">
        <f>D3218-F3218</f>
        <v>0</v>
      </c>
      <c r="H3218" s="222" t="s">
        <v>10</v>
      </c>
    </row>
    <row r="3219" spans="1:8" x14ac:dyDescent="0.25">
      <c r="A3219" s="223">
        <v>44865</v>
      </c>
      <c r="B3219" s="224" t="s">
        <v>34864</v>
      </c>
      <c r="C3219" s="225" t="s">
        <v>12</v>
      </c>
      <c r="D3219" s="226">
        <v>29437.8</v>
      </c>
      <c r="E3219" s="235">
        <v>44865</v>
      </c>
      <c r="F3219" s="226">
        <v>29437.8</v>
      </c>
      <c r="G3219" s="12">
        <f t="shared" ref="G3219:G3282" si="0">D3219-F3219</f>
        <v>0</v>
      </c>
      <c r="H3219" s="227" t="s">
        <v>10</v>
      </c>
    </row>
    <row r="3220" spans="1:8" x14ac:dyDescent="0.25">
      <c r="A3220" s="217">
        <v>44865</v>
      </c>
      <c r="B3220" s="218" t="s">
        <v>34865</v>
      </c>
      <c r="C3220" s="219" t="s">
        <v>31</v>
      </c>
      <c r="D3220" s="220">
        <v>2619.6</v>
      </c>
      <c r="E3220" s="234">
        <v>44865</v>
      </c>
      <c r="F3220" s="220">
        <v>2619.6</v>
      </c>
      <c r="G3220" s="221">
        <f t="shared" si="0"/>
        <v>0</v>
      </c>
      <c r="H3220" s="222" t="s">
        <v>10</v>
      </c>
    </row>
    <row r="3221" spans="1:8" x14ac:dyDescent="0.25">
      <c r="A3221" s="223">
        <v>44865</v>
      </c>
      <c r="B3221" s="224" t="s">
        <v>34866</v>
      </c>
      <c r="C3221" s="225" t="s">
        <v>475</v>
      </c>
      <c r="D3221" s="226">
        <v>74765.3</v>
      </c>
      <c r="E3221" s="235" t="s">
        <v>34996</v>
      </c>
      <c r="F3221" s="226">
        <f>58000+16765.3</f>
        <v>74765.3</v>
      </c>
      <c r="G3221" s="12">
        <f t="shared" si="0"/>
        <v>0</v>
      </c>
      <c r="H3221" s="227" t="s">
        <v>10</v>
      </c>
    </row>
    <row r="3222" spans="1:8" x14ac:dyDescent="0.25">
      <c r="A3222" s="217">
        <v>44865</v>
      </c>
      <c r="B3222" s="218" t="s">
        <v>34867</v>
      </c>
      <c r="C3222" s="219" t="s">
        <v>27</v>
      </c>
      <c r="D3222" s="220">
        <v>5132.2</v>
      </c>
      <c r="E3222" s="234">
        <v>44865</v>
      </c>
      <c r="F3222" s="220">
        <v>5132.2</v>
      </c>
      <c r="G3222" s="221">
        <f t="shared" si="0"/>
        <v>0</v>
      </c>
      <c r="H3222" s="222" t="s">
        <v>10</v>
      </c>
    </row>
    <row r="3223" spans="1:8" x14ac:dyDescent="0.25">
      <c r="A3223" s="223">
        <v>44865</v>
      </c>
      <c r="B3223" s="224" t="s">
        <v>34868</v>
      </c>
      <c r="C3223" s="225" t="s">
        <v>75</v>
      </c>
      <c r="D3223" s="226">
        <v>10626.4</v>
      </c>
      <c r="E3223" s="235">
        <v>44865</v>
      </c>
      <c r="F3223" s="226">
        <v>10626.4</v>
      </c>
      <c r="G3223" s="12">
        <f t="shared" si="0"/>
        <v>0</v>
      </c>
      <c r="H3223" s="227" t="s">
        <v>10</v>
      </c>
    </row>
    <row r="3224" spans="1:8" x14ac:dyDescent="0.25">
      <c r="A3224" s="217">
        <v>44865</v>
      </c>
      <c r="B3224" s="218" t="s">
        <v>34869</v>
      </c>
      <c r="C3224" s="219" t="s">
        <v>20</v>
      </c>
      <c r="D3224" s="220">
        <v>2251.1999999999998</v>
      </c>
      <c r="E3224" s="234">
        <v>44865</v>
      </c>
      <c r="F3224" s="220">
        <v>2251.1999999999998</v>
      </c>
      <c r="G3224" s="221">
        <f t="shared" si="0"/>
        <v>0</v>
      </c>
      <c r="H3224" s="222" t="s">
        <v>10</v>
      </c>
    </row>
    <row r="3225" spans="1:8" x14ac:dyDescent="0.25">
      <c r="A3225" s="223">
        <v>44865</v>
      </c>
      <c r="B3225" s="224" t="s">
        <v>34870</v>
      </c>
      <c r="C3225" s="225" t="s">
        <v>62</v>
      </c>
      <c r="D3225" s="226">
        <v>3990</v>
      </c>
      <c r="E3225" s="235">
        <v>44865</v>
      </c>
      <c r="F3225" s="226">
        <v>3990</v>
      </c>
      <c r="G3225" s="12">
        <f t="shared" si="0"/>
        <v>0</v>
      </c>
      <c r="H3225" s="227" t="s">
        <v>10</v>
      </c>
    </row>
    <row r="3226" spans="1:8" x14ac:dyDescent="0.25">
      <c r="A3226" s="217">
        <v>44865</v>
      </c>
      <c r="B3226" s="218" t="s">
        <v>34871</v>
      </c>
      <c r="C3226" s="219" t="s">
        <v>60</v>
      </c>
      <c r="D3226" s="220">
        <v>4842.5</v>
      </c>
      <c r="E3226" s="234">
        <v>44866</v>
      </c>
      <c r="F3226" s="220">
        <v>4842.5</v>
      </c>
      <c r="G3226" s="221">
        <f t="shared" si="0"/>
        <v>0</v>
      </c>
      <c r="H3226" s="222" t="s">
        <v>10</v>
      </c>
    </row>
    <row r="3227" spans="1:8" x14ac:dyDescent="0.25">
      <c r="A3227" s="223">
        <v>44865</v>
      </c>
      <c r="B3227" s="224" t="s">
        <v>34872</v>
      </c>
      <c r="C3227" s="225" t="s">
        <v>14944</v>
      </c>
      <c r="D3227" s="226">
        <v>3387.2</v>
      </c>
      <c r="E3227" s="235">
        <v>44865</v>
      </c>
      <c r="F3227" s="226">
        <v>3387.2</v>
      </c>
      <c r="G3227" s="12">
        <f t="shared" si="0"/>
        <v>0</v>
      </c>
      <c r="H3227" s="227" t="s">
        <v>10</v>
      </c>
    </row>
    <row r="3228" spans="1:8" x14ac:dyDescent="0.25">
      <c r="A3228" s="217">
        <v>44865</v>
      </c>
      <c r="B3228" s="218" t="s">
        <v>34873</v>
      </c>
      <c r="C3228" s="219" t="s">
        <v>17556</v>
      </c>
      <c r="D3228" s="220">
        <v>4335.1000000000004</v>
      </c>
      <c r="E3228" s="234">
        <v>44865</v>
      </c>
      <c r="F3228" s="220">
        <v>4335.1000000000004</v>
      </c>
      <c r="G3228" s="221">
        <f t="shared" si="0"/>
        <v>0</v>
      </c>
      <c r="H3228" s="222" t="s">
        <v>10</v>
      </c>
    </row>
    <row r="3229" spans="1:8" x14ac:dyDescent="0.25">
      <c r="A3229" s="223">
        <v>44865</v>
      </c>
      <c r="B3229" s="224" t="s">
        <v>34874</v>
      </c>
      <c r="C3229" s="225" t="s">
        <v>31</v>
      </c>
      <c r="D3229" s="226">
        <v>4580.3999999999996</v>
      </c>
      <c r="E3229" s="235">
        <v>44865</v>
      </c>
      <c r="F3229" s="226">
        <v>4580.3999999999996</v>
      </c>
      <c r="G3229" s="12">
        <f t="shared" si="0"/>
        <v>0</v>
      </c>
      <c r="H3229" s="227" t="s">
        <v>10</v>
      </c>
    </row>
    <row r="3230" spans="1:8" x14ac:dyDescent="0.25">
      <c r="A3230" s="217">
        <v>44865</v>
      </c>
      <c r="B3230" s="218" t="s">
        <v>34875</v>
      </c>
      <c r="C3230" s="219" t="s">
        <v>97</v>
      </c>
      <c r="D3230" s="220">
        <v>13886.3</v>
      </c>
      <c r="E3230" s="234" t="s">
        <v>34998</v>
      </c>
      <c r="F3230" s="220">
        <f>8000+5886.3</f>
        <v>13886.3</v>
      </c>
      <c r="G3230" s="221">
        <f t="shared" si="0"/>
        <v>0</v>
      </c>
      <c r="H3230" s="222" t="s">
        <v>10</v>
      </c>
    </row>
    <row r="3231" spans="1:8" x14ac:dyDescent="0.25">
      <c r="A3231" s="223">
        <v>44865</v>
      </c>
      <c r="B3231" s="224" t="s">
        <v>34876</v>
      </c>
      <c r="C3231" s="225" t="s">
        <v>2563</v>
      </c>
      <c r="D3231" s="226">
        <v>5929.5</v>
      </c>
      <c r="E3231" s="235">
        <v>44868</v>
      </c>
      <c r="F3231" s="226">
        <v>5929.5</v>
      </c>
      <c r="G3231" s="12">
        <f t="shared" si="0"/>
        <v>0</v>
      </c>
      <c r="H3231" s="227" t="s">
        <v>10</v>
      </c>
    </row>
    <row r="3232" spans="1:8" x14ac:dyDescent="0.25">
      <c r="A3232" s="217">
        <v>44865</v>
      </c>
      <c r="B3232" s="218" t="s">
        <v>34877</v>
      </c>
      <c r="C3232" s="219" t="s">
        <v>31</v>
      </c>
      <c r="D3232" s="220">
        <v>7035.6</v>
      </c>
      <c r="E3232" s="234">
        <v>44865</v>
      </c>
      <c r="F3232" s="220">
        <v>7035.6</v>
      </c>
      <c r="G3232" s="221">
        <f t="shared" si="0"/>
        <v>0</v>
      </c>
      <c r="H3232" s="222" t="s">
        <v>10</v>
      </c>
    </row>
    <row r="3233" spans="1:8" x14ac:dyDescent="0.25">
      <c r="A3233" s="223">
        <v>44865</v>
      </c>
      <c r="B3233" s="224" t="s">
        <v>34878</v>
      </c>
      <c r="C3233" s="225" t="s">
        <v>111</v>
      </c>
      <c r="D3233" s="226">
        <v>6188</v>
      </c>
      <c r="E3233" s="235">
        <v>44866</v>
      </c>
      <c r="F3233" s="226">
        <v>6188</v>
      </c>
      <c r="G3233" s="12">
        <f t="shared" si="0"/>
        <v>0</v>
      </c>
      <c r="H3233" s="227" t="s">
        <v>10</v>
      </c>
    </row>
    <row r="3234" spans="1:8" x14ac:dyDescent="0.25">
      <c r="A3234" s="217">
        <v>44865</v>
      </c>
      <c r="B3234" s="218" t="s">
        <v>34879</v>
      </c>
      <c r="C3234" s="219" t="s">
        <v>10586</v>
      </c>
      <c r="D3234" s="220">
        <v>6292</v>
      </c>
      <c r="E3234" s="239" t="s">
        <v>34996</v>
      </c>
      <c r="F3234" s="220">
        <f>4500+1792</f>
        <v>6292</v>
      </c>
      <c r="G3234" s="221">
        <f t="shared" si="0"/>
        <v>0</v>
      </c>
      <c r="H3234" s="222" t="s">
        <v>10</v>
      </c>
    </row>
    <row r="3235" spans="1:8" x14ac:dyDescent="0.25">
      <c r="A3235" s="223">
        <v>44865</v>
      </c>
      <c r="B3235" s="224" t="s">
        <v>34880</v>
      </c>
      <c r="C3235" s="225" t="s">
        <v>326</v>
      </c>
      <c r="D3235" s="226">
        <v>5306.4</v>
      </c>
      <c r="E3235" s="235">
        <v>44868</v>
      </c>
      <c r="F3235" s="226">
        <v>5306.4</v>
      </c>
      <c r="G3235" s="12">
        <f t="shared" si="0"/>
        <v>0</v>
      </c>
      <c r="H3235" s="227" t="s">
        <v>10</v>
      </c>
    </row>
    <row r="3236" spans="1:8" x14ac:dyDescent="0.25">
      <c r="A3236" s="217">
        <v>44865</v>
      </c>
      <c r="B3236" s="218" t="s">
        <v>34881</v>
      </c>
      <c r="C3236" s="219" t="s">
        <v>114</v>
      </c>
      <c r="D3236" s="220">
        <v>5850</v>
      </c>
      <c r="E3236" s="234">
        <v>44866</v>
      </c>
      <c r="F3236" s="220">
        <v>5850</v>
      </c>
      <c r="G3236" s="221">
        <f t="shared" si="0"/>
        <v>0</v>
      </c>
      <c r="H3236" s="222" t="s">
        <v>10</v>
      </c>
    </row>
    <row r="3237" spans="1:8" x14ac:dyDescent="0.25">
      <c r="A3237" s="223">
        <v>44865</v>
      </c>
      <c r="B3237" s="224" t="s">
        <v>34882</v>
      </c>
      <c r="C3237" s="225" t="s">
        <v>450</v>
      </c>
      <c r="D3237" s="226">
        <v>7619</v>
      </c>
      <c r="E3237" s="235">
        <v>44865</v>
      </c>
      <c r="F3237" s="226">
        <v>7619</v>
      </c>
      <c r="G3237" s="12">
        <f t="shared" si="0"/>
        <v>0</v>
      </c>
      <c r="H3237" s="227" t="s">
        <v>10</v>
      </c>
    </row>
    <row r="3238" spans="1:8" x14ac:dyDescent="0.25">
      <c r="A3238" s="217">
        <v>44865</v>
      </c>
      <c r="B3238" s="218" t="s">
        <v>34883</v>
      </c>
      <c r="C3238" s="219" t="s">
        <v>9</v>
      </c>
      <c r="D3238" s="220">
        <v>4418.7</v>
      </c>
      <c r="E3238" s="234">
        <v>44865</v>
      </c>
      <c r="F3238" s="220">
        <v>4418.7</v>
      </c>
      <c r="G3238" s="221">
        <f t="shared" si="0"/>
        <v>0</v>
      </c>
      <c r="H3238" s="222" t="s">
        <v>10</v>
      </c>
    </row>
    <row r="3239" spans="1:8" x14ac:dyDescent="0.25">
      <c r="A3239" s="223">
        <v>44865</v>
      </c>
      <c r="B3239" s="224" t="s">
        <v>34884</v>
      </c>
      <c r="C3239" s="225" t="s">
        <v>348</v>
      </c>
      <c r="D3239" s="226">
        <v>6519.2</v>
      </c>
      <c r="E3239" s="235">
        <v>44865</v>
      </c>
      <c r="F3239" s="226">
        <v>6519.2</v>
      </c>
      <c r="G3239" s="12">
        <f t="shared" si="0"/>
        <v>0</v>
      </c>
      <c r="H3239" s="227" t="s">
        <v>10</v>
      </c>
    </row>
    <row r="3240" spans="1:8" x14ac:dyDescent="0.25">
      <c r="A3240" s="217">
        <v>44865</v>
      </c>
      <c r="B3240" s="218" t="s">
        <v>34885</v>
      </c>
      <c r="C3240" s="219" t="s">
        <v>2780</v>
      </c>
      <c r="D3240" s="220">
        <v>14736.6</v>
      </c>
      <c r="E3240" s="234">
        <v>44865</v>
      </c>
      <c r="F3240" s="220">
        <v>14736.6</v>
      </c>
      <c r="G3240" s="221">
        <f t="shared" si="0"/>
        <v>0</v>
      </c>
      <c r="H3240" s="222" t="s">
        <v>10</v>
      </c>
    </row>
    <row r="3241" spans="1:8" x14ac:dyDescent="0.25">
      <c r="A3241" s="223">
        <v>44865</v>
      </c>
      <c r="B3241" s="224" t="s">
        <v>34886</v>
      </c>
      <c r="C3241" s="225" t="s">
        <v>348</v>
      </c>
      <c r="D3241" s="226">
        <v>446.4</v>
      </c>
      <c r="E3241" s="235">
        <v>44865</v>
      </c>
      <c r="F3241" s="226">
        <v>446.4</v>
      </c>
      <c r="G3241" s="12">
        <f t="shared" si="0"/>
        <v>0</v>
      </c>
      <c r="H3241" s="227" t="s">
        <v>10</v>
      </c>
    </row>
    <row r="3242" spans="1:8" x14ac:dyDescent="0.25">
      <c r="A3242" s="217">
        <v>44865</v>
      </c>
      <c r="B3242" s="218" t="s">
        <v>34887</v>
      </c>
      <c r="C3242" s="219" t="s">
        <v>64</v>
      </c>
      <c r="D3242" s="220">
        <v>5310.5</v>
      </c>
      <c r="E3242" s="234">
        <v>44866</v>
      </c>
      <c r="F3242" s="220">
        <v>5310.5</v>
      </c>
      <c r="G3242" s="221">
        <f t="shared" si="0"/>
        <v>0</v>
      </c>
      <c r="H3242" s="222" t="s">
        <v>10</v>
      </c>
    </row>
    <row r="3243" spans="1:8" x14ac:dyDescent="0.25">
      <c r="A3243" s="223">
        <v>44865</v>
      </c>
      <c r="B3243" s="224" t="s">
        <v>34888</v>
      </c>
      <c r="C3243" s="225" t="s">
        <v>105</v>
      </c>
      <c r="D3243" s="226">
        <v>11050</v>
      </c>
      <c r="E3243" s="240" t="s">
        <v>34999</v>
      </c>
      <c r="F3243" s="226">
        <f>5000+6050</f>
        <v>11050</v>
      </c>
      <c r="G3243" s="12">
        <f t="shared" si="0"/>
        <v>0</v>
      </c>
      <c r="H3243" s="227" t="s">
        <v>10</v>
      </c>
    </row>
    <row r="3244" spans="1:8" x14ac:dyDescent="0.25">
      <c r="A3244" s="217">
        <v>44865</v>
      </c>
      <c r="B3244" s="218" t="s">
        <v>34889</v>
      </c>
      <c r="C3244" s="219" t="s">
        <v>22</v>
      </c>
      <c r="D3244" s="220">
        <v>74405.8</v>
      </c>
      <c r="E3244" s="234">
        <v>44866</v>
      </c>
      <c r="F3244" s="220">
        <f>60000+14405.8</f>
        <v>74405.8</v>
      </c>
      <c r="G3244" s="221">
        <f t="shared" si="0"/>
        <v>0</v>
      </c>
      <c r="H3244" s="222" t="s">
        <v>10</v>
      </c>
    </row>
    <row r="3245" spans="1:8" x14ac:dyDescent="0.25">
      <c r="A3245" s="223">
        <v>44865</v>
      </c>
      <c r="B3245" s="224" t="s">
        <v>34890</v>
      </c>
      <c r="C3245" s="225" t="s">
        <v>2151</v>
      </c>
      <c r="D3245" s="226">
        <v>17873.599999999999</v>
      </c>
      <c r="E3245" s="235">
        <v>44865</v>
      </c>
      <c r="F3245" s="226">
        <v>17873.599999999999</v>
      </c>
      <c r="G3245" s="12">
        <f t="shared" si="0"/>
        <v>0</v>
      </c>
      <c r="H3245" s="227" t="s">
        <v>10</v>
      </c>
    </row>
    <row r="3246" spans="1:8" x14ac:dyDescent="0.25">
      <c r="A3246" s="217">
        <v>44865</v>
      </c>
      <c r="B3246" s="218" t="s">
        <v>34891</v>
      </c>
      <c r="C3246" s="219" t="s">
        <v>296</v>
      </c>
      <c r="D3246" s="220">
        <v>1725.2</v>
      </c>
      <c r="E3246" s="234">
        <v>44865</v>
      </c>
      <c r="F3246" s="220">
        <v>1725.2</v>
      </c>
      <c r="G3246" s="221">
        <f t="shared" si="0"/>
        <v>0</v>
      </c>
      <c r="H3246" s="222" t="s">
        <v>10</v>
      </c>
    </row>
    <row r="3247" spans="1:8" x14ac:dyDescent="0.25">
      <c r="A3247" s="223">
        <v>44865</v>
      </c>
      <c r="B3247" s="224" t="s">
        <v>34892</v>
      </c>
      <c r="C3247" s="225" t="s">
        <v>89</v>
      </c>
      <c r="D3247" s="226">
        <v>13171.8</v>
      </c>
      <c r="E3247" s="235">
        <v>44868</v>
      </c>
      <c r="F3247" s="226">
        <v>13171.8</v>
      </c>
      <c r="G3247" s="12">
        <f t="shared" si="0"/>
        <v>0</v>
      </c>
      <c r="H3247" s="227" t="s">
        <v>10</v>
      </c>
    </row>
    <row r="3248" spans="1:8" x14ac:dyDescent="0.25">
      <c r="A3248" s="217">
        <v>44865</v>
      </c>
      <c r="B3248" s="218" t="s">
        <v>34893</v>
      </c>
      <c r="C3248" s="219" t="s">
        <v>34894</v>
      </c>
      <c r="D3248" s="220">
        <v>0</v>
      </c>
      <c r="E3248" s="236" t="s">
        <v>189</v>
      </c>
      <c r="F3248" s="220">
        <v>0</v>
      </c>
      <c r="G3248" s="221">
        <f t="shared" si="0"/>
        <v>0</v>
      </c>
      <c r="H3248" s="222" t="s">
        <v>189</v>
      </c>
    </row>
    <row r="3249" spans="1:8" ht="31.5" customHeight="1" x14ac:dyDescent="0.25">
      <c r="A3249" s="223">
        <v>44865</v>
      </c>
      <c r="B3249" s="224" t="s">
        <v>34895</v>
      </c>
      <c r="C3249" s="225" t="s">
        <v>93</v>
      </c>
      <c r="D3249" s="226">
        <v>8675</v>
      </c>
      <c r="E3249" s="235" t="s">
        <v>34996</v>
      </c>
      <c r="F3249" s="226">
        <f>4000+4675</f>
        <v>8675</v>
      </c>
      <c r="G3249" s="12">
        <f t="shared" si="0"/>
        <v>0</v>
      </c>
      <c r="H3249" s="227" t="s">
        <v>10</v>
      </c>
    </row>
    <row r="3250" spans="1:8" x14ac:dyDescent="0.25">
      <c r="A3250" s="217">
        <v>44865</v>
      </c>
      <c r="B3250" s="218" t="s">
        <v>34896</v>
      </c>
      <c r="C3250" s="219" t="s">
        <v>345</v>
      </c>
      <c r="D3250" s="220">
        <v>820.8</v>
      </c>
      <c r="E3250" s="234">
        <v>44865</v>
      </c>
      <c r="F3250" s="220">
        <v>820.8</v>
      </c>
      <c r="G3250" s="221">
        <f t="shared" si="0"/>
        <v>0</v>
      </c>
      <c r="H3250" s="222" t="s">
        <v>10</v>
      </c>
    </row>
    <row r="3251" spans="1:8" x14ac:dyDescent="0.25">
      <c r="A3251" s="223">
        <v>44865</v>
      </c>
      <c r="B3251" s="224" t="s">
        <v>34897</v>
      </c>
      <c r="C3251" s="225" t="s">
        <v>137</v>
      </c>
      <c r="D3251" s="226">
        <v>6750.4</v>
      </c>
      <c r="E3251" s="235">
        <v>44865</v>
      </c>
      <c r="F3251" s="226">
        <v>6750.4</v>
      </c>
      <c r="G3251" s="12">
        <f t="shared" si="0"/>
        <v>0</v>
      </c>
      <c r="H3251" s="227" t="s">
        <v>10</v>
      </c>
    </row>
    <row r="3252" spans="1:8" x14ac:dyDescent="0.25">
      <c r="A3252" s="217">
        <v>44865</v>
      </c>
      <c r="B3252" s="218" t="s">
        <v>34898</v>
      </c>
      <c r="C3252" s="219" t="s">
        <v>30029</v>
      </c>
      <c r="D3252" s="220">
        <v>1972.5</v>
      </c>
      <c r="E3252" s="234">
        <v>44865</v>
      </c>
      <c r="F3252" s="220">
        <v>1972.5</v>
      </c>
      <c r="G3252" s="221">
        <f t="shared" si="0"/>
        <v>0</v>
      </c>
      <c r="H3252" s="222" t="s">
        <v>10</v>
      </c>
    </row>
    <row r="3253" spans="1:8" x14ac:dyDescent="0.25">
      <c r="A3253" s="223">
        <v>44865</v>
      </c>
      <c r="B3253" s="224" t="s">
        <v>34899</v>
      </c>
      <c r="C3253" s="225" t="s">
        <v>87</v>
      </c>
      <c r="D3253" s="226">
        <v>3125</v>
      </c>
      <c r="E3253" s="235">
        <v>44865</v>
      </c>
      <c r="F3253" s="226">
        <v>3125</v>
      </c>
      <c r="G3253" s="12">
        <f t="shared" si="0"/>
        <v>0</v>
      </c>
      <c r="H3253" s="227" t="s">
        <v>10</v>
      </c>
    </row>
    <row r="3254" spans="1:8" x14ac:dyDescent="0.25">
      <c r="A3254" s="217">
        <v>44865</v>
      </c>
      <c r="B3254" s="218" t="s">
        <v>34900</v>
      </c>
      <c r="C3254" s="219" t="s">
        <v>804</v>
      </c>
      <c r="D3254" s="220">
        <v>23290.2</v>
      </c>
      <c r="E3254" s="234">
        <v>44865</v>
      </c>
      <c r="F3254" s="220">
        <v>23290.2</v>
      </c>
      <c r="G3254" s="221">
        <f t="shared" si="0"/>
        <v>0</v>
      </c>
      <c r="H3254" s="222" t="s">
        <v>10</v>
      </c>
    </row>
    <row r="3255" spans="1:8" x14ac:dyDescent="0.25">
      <c r="A3255" s="223">
        <v>44865</v>
      </c>
      <c r="B3255" s="224" t="s">
        <v>34901</v>
      </c>
      <c r="C3255" s="225" t="s">
        <v>79</v>
      </c>
      <c r="D3255" s="226">
        <v>18991.8</v>
      </c>
      <c r="E3255" s="235">
        <v>44865</v>
      </c>
      <c r="F3255" s="226">
        <v>18991.8</v>
      </c>
      <c r="G3255" s="12">
        <f t="shared" si="0"/>
        <v>0</v>
      </c>
      <c r="H3255" s="227" t="s">
        <v>10</v>
      </c>
    </row>
    <row r="3256" spans="1:8" x14ac:dyDescent="0.25">
      <c r="A3256" s="217">
        <v>44865</v>
      </c>
      <c r="B3256" s="218" t="s">
        <v>34902</v>
      </c>
      <c r="C3256" s="219" t="s">
        <v>142</v>
      </c>
      <c r="D3256" s="220">
        <v>123171.5</v>
      </c>
      <c r="E3256" s="234" t="s">
        <v>4813</v>
      </c>
      <c r="F3256" s="220">
        <v>0</v>
      </c>
      <c r="G3256" s="221">
        <f t="shared" si="0"/>
        <v>123171.5</v>
      </c>
      <c r="H3256" s="222" t="s">
        <v>4814</v>
      </c>
    </row>
    <row r="3257" spans="1:8" x14ac:dyDescent="0.25">
      <c r="A3257" s="223">
        <v>44865</v>
      </c>
      <c r="B3257" s="224" t="s">
        <v>34903</v>
      </c>
      <c r="C3257" s="225" t="s">
        <v>49</v>
      </c>
      <c r="D3257" s="226">
        <v>9900.2000000000007</v>
      </c>
      <c r="E3257" s="235">
        <v>44865</v>
      </c>
      <c r="F3257" s="226">
        <v>9900.2000000000007</v>
      </c>
      <c r="G3257" s="12">
        <f t="shared" si="0"/>
        <v>0</v>
      </c>
      <c r="H3257" s="227" t="s">
        <v>10</v>
      </c>
    </row>
    <row r="3258" spans="1:8" x14ac:dyDescent="0.25">
      <c r="A3258" s="217">
        <v>44865</v>
      </c>
      <c r="B3258" s="218" t="s">
        <v>34904</v>
      </c>
      <c r="C3258" s="219" t="s">
        <v>314</v>
      </c>
      <c r="D3258" s="220">
        <v>3381.8</v>
      </c>
      <c r="E3258" s="234">
        <v>44865</v>
      </c>
      <c r="F3258" s="220">
        <v>3381.8</v>
      </c>
      <c r="G3258" s="221">
        <f t="shared" si="0"/>
        <v>0</v>
      </c>
      <c r="H3258" s="222" t="s">
        <v>10</v>
      </c>
    </row>
    <row r="3259" spans="1:8" x14ac:dyDescent="0.25">
      <c r="A3259" s="223">
        <v>44865</v>
      </c>
      <c r="B3259" s="224" t="s">
        <v>34905</v>
      </c>
      <c r="C3259" s="225" t="s">
        <v>79</v>
      </c>
      <c r="D3259" s="226">
        <v>8603.2999999999993</v>
      </c>
      <c r="E3259" s="235">
        <v>44865</v>
      </c>
      <c r="F3259" s="226">
        <v>8603.2999999999993</v>
      </c>
      <c r="G3259" s="12">
        <f t="shared" si="0"/>
        <v>0</v>
      </c>
      <c r="H3259" s="227" t="s">
        <v>10</v>
      </c>
    </row>
    <row r="3260" spans="1:8" x14ac:dyDescent="0.25">
      <c r="A3260" s="217">
        <v>44865</v>
      </c>
      <c r="B3260" s="218" t="s">
        <v>34906</v>
      </c>
      <c r="C3260" s="219" t="s">
        <v>357</v>
      </c>
      <c r="D3260" s="220">
        <v>1101</v>
      </c>
      <c r="E3260" s="234">
        <v>44865</v>
      </c>
      <c r="F3260" s="220">
        <v>1101</v>
      </c>
      <c r="G3260" s="221">
        <f t="shared" si="0"/>
        <v>0</v>
      </c>
      <c r="H3260" s="222" t="s">
        <v>10</v>
      </c>
    </row>
    <row r="3261" spans="1:8" x14ac:dyDescent="0.25">
      <c r="A3261" s="223">
        <v>44865</v>
      </c>
      <c r="B3261" s="224" t="s">
        <v>34907</v>
      </c>
      <c r="C3261" s="225" t="s">
        <v>16</v>
      </c>
      <c r="D3261" s="226">
        <v>8676.7000000000007</v>
      </c>
      <c r="E3261" s="235">
        <v>44865</v>
      </c>
      <c r="F3261" s="226">
        <v>8676.7000000000007</v>
      </c>
      <c r="G3261" s="12">
        <f t="shared" si="0"/>
        <v>0</v>
      </c>
      <c r="H3261" s="227" t="s">
        <v>10</v>
      </c>
    </row>
    <row r="3262" spans="1:8" x14ac:dyDescent="0.25">
      <c r="A3262" s="217">
        <v>44865</v>
      </c>
      <c r="B3262" s="218" t="s">
        <v>34908</v>
      </c>
      <c r="C3262" s="219" t="s">
        <v>95</v>
      </c>
      <c r="D3262" s="220">
        <v>22172.9</v>
      </c>
      <c r="E3262" s="234">
        <v>44865</v>
      </c>
      <c r="F3262" s="220">
        <v>22172.9</v>
      </c>
      <c r="G3262" s="221">
        <f t="shared" si="0"/>
        <v>0</v>
      </c>
      <c r="H3262" s="222" t="s">
        <v>10</v>
      </c>
    </row>
    <row r="3263" spans="1:8" x14ac:dyDescent="0.25">
      <c r="A3263" s="223">
        <v>44865</v>
      </c>
      <c r="B3263" s="224" t="s">
        <v>34909</v>
      </c>
      <c r="C3263" s="225" t="s">
        <v>53</v>
      </c>
      <c r="D3263" s="226">
        <v>1748</v>
      </c>
      <c r="E3263" s="235">
        <v>44865</v>
      </c>
      <c r="F3263" s="226">
        <v>1748</v>
      </c>
      <c r="G3263" s="12">
        <f t="shared" si="0"/>
        <v>0</v>
      </c>
      <c r="H3263" s="227" t="s">
        <v>10</v>
      </c>
    </row>
    <row r="3264" spans="1:8" x14ac:dyDescent="0.25">
      <c r="A3264" s="217">
        <v>44865</v>
      </c>
      <c r="B3264" s="218" t="s">
        <v>34910</v>
      </c>
      <c r="C3264" s="219" t="s">
        <v>140</v>
      </c>
      <c r="D3264" s="220">
        <v>5912.8</v>
      </c>
      <c r="E3264" s="234">
        <v>44865</v>
      </c>
      <c r="F3264" s="220">
        <v>5912.8</v>
      </c>
      <c r="G3264" s="221">
        <f t="shared" si="0"/>
        <v>0</v>
      </c>
      <c r="H3264" s="222" t="s">
        <v>10</v>
      </c>
    </row>
    <row r="3265" spans="1:8" x14ac:dyDescent="0.25">
      <c r="A3265" s="223">
        <v>44865</v>
      </c>
      <c r="B3265" s="224" t="s">
        <v>34911</v>
      </c>
      <c r="C3265" s="225" t="s">
        <v>129</v>
      </c>
      <c r="D3265" s="226">
        <v>1744.4</v>
      </c>
      <c r="E3265" s="235">
        <v>44865</v>
      </c>
      <c r="F3265" s="226">
        <v>1744.4</v>
      </c>
      <c r="G3265" s="12">
        <f t="shared" si="0"/>
        <v>0</v>
      </c>
      <c r="H3265" s="227" t="s">
        <v>10</v>
      </c>
    </row>
    <row r="3266" spans="1:8" x14ac:dyDescent="0.25">
      <c r="A3266" s="217">
        <v>44865</v>
      </c>
      <c r="B3266" s="218" t="s">
        <v>34912</v>
      </c>
      <c r="C3266" s="219" t="s">
        <v>127</v>
      </c>
      <c r="D3266" s="220">
        <v>912.4</v>
      </c>
      <c r="E3266" s="234">
        <v>44865</v>
      </c>
      <c r="F3266" s="220">
        <v>912.4</v>
      </c>
      <c r="G3266" s="221">
        <f t="shared" si="0"/>
        <v>0</v>
      </c>
      <c r="H3266" s="222" t="s">
        <v>10</v>
      </c>
    </row>
    <row r="3267" spans="1:8" x14ac:dyDescent="0.25">
      <c r="A3267" s="223">
        <v>44865</v>
      </c>
      <c r="B3267" s="224" t="s">
        <v>34913</v>
      </c>
      <c r="C3267" s="225" t="s">
        <v>45</v>
      </c>
      <c r="D3267" s="226">
        <v>15436.8</v>
      </c>
      <c r="E3267" s="235">
        <v>44865</v>
      </c>
      <c r="F3267" s="226">
        <v>15436.8</v>
      </c>
      <c r="G3267" s="12">
        <f t="shared" si="0"/>
        <v>0</v>
      </c>
      <c r="H3267" s="227" t="s">
        <v>10</v>
      </c>
    </row>
    <row r="3268" spans="1:8" x14ac:dyDescent="0.25">
      <c r="A3268" s="217">
        <v>44865</v>
      </c>
      <c r="B3268" s="218" t="s">
        <v>34914</v>
      </c>
      <c r="C3268" s="219" t="s">
        <v>31</v>
      </c>
      <c r="D3268" s="220">
        <v>325</v>
      </c>
      <c r="E3268" s="234">
        <v>44865</v>
      </c>
      <c r="F3268" s="220">
        <v>325</v>
      </c>
      <c r="G3268" s="221">
        <f t="shared" si="0"/>
        <v>0</v>
      </c>
      <c r="H3268" s="222" t="s">
        <v>10</v>
      </c>
    </row>
    <row r="3269" spans="1:8" x14ac:dyDescent="0.25">
      <c r="A3269" s="223">
        <v>44865</v>
      </c>
      <c r="B3269" s="224" t="s">
        <v>34915</v>
      </c>
      <c r="C3269" s="225" t="s">
        <v>348</v>
      </c>
      <c r="D3269" s="226">
        <v>4170.2</v>
      </c>
      <c r="E3269" s="235">
        <v>44865</v>
      </c>
      <c r="F3269" s="226">
        <v>4170.2</v>
      </c>
      <c r="G3269" s="12">
        <f t="shared" si="0"/>
        <v>0</v>
      </c>
      <c r="H3269" s="227" t="s">
        <v>10</v>
      </c>
    </row>
    <row r="3270" spans="1:8" x14ac:dyDescent="0.25">
      <c r="A3270" s="217">
        <v>44865</v>
      </c>
      <c r="B3270" s="218" t="s">
        <v>34916</v>
      </c>
      <c r="C3270" s="219" t="s">
        <v>670</v>
      </c>
      <c r="D3270" s="220">
        <v>5205</v>
      </c>
      <c r="E3270" s="234">
        <v>44865</v>
      </c>
      <c r="F3270" s="220">
        <v>5205</v>
      </c>
      <c r="G3270" s="221">
        <f t="shared" si="0"/>
        <v>0</v>
      </c>
      <c r="H3270" s="222" t="s">
        <v>10</v>
      </c>
    </row>
    <row r="3271" spans="1:8" x14ac:dyDescent="0.25">
      <c r="A3271" s="223">
        <v>44865</v>
      </c>
      <c r="B3271" s="224" t="s">
        <v>34917</v>
      </c>
      <c r="C3271" s="225" t="s">
        <v>24</v>
      </c>
      <c r="D3271" s="226">
        <v>2550</v>
      </c>
      <c r="E3271" s="235">
        <v>44865</v>
      </c>
      <c r="F3271" s="226">
        <v>2550</v>
      </c>
      <c r="G3271" s="12">
        <f t="shared" si="0"/>
        <v>0</v>
      </c>
      <c r="H3271" s="227" t="s">
        <v>10</v>
      </c>
    </row>
    <row r="3272" spans="1:8" x14ac:dyDescent="0.25">
      <c r="A3272" s="217">
        <v>44865</v>
      </c>
      <c r="B3272" s="218" t="s">
        <v>34918</v>
      </c>
      <c r="C3272" s="219" t="s">
        <v>12</v>
      </c>
      <c r="D3272" s="220">
        <v>7030</v>
      </c>
      <c r="E3272" s="234">
        <v>44866</v>
      </c>
      <c r="F3272" s="220">
        <v>7030</v>
      </c>
      <c r="G3272" s="221">
        <f t="shared" si="0"/>
        <v>0</v>
      </c>
      <c r="H3272" s="222" t="s">
        <v>10</v>
      </c>
    </row>
    <row r="3273" spans="1:8" x14ac:dyDescent="0.25">
      <c r="A3273" s="223">
        <v>44865</v>
      </c>
      <c r="B3273" s="224" t="s">
        <v>34919</v>
      </c>
      <c r="C3273" s="225" t="s">
        <v>191</v>
      </c>
      <c r="D3273" s="226">
        <v>4405.3</v>
      </c>
      <c r="E3273" s="235">
        <v>44865</v>
      </c>
      <c r="F3273" s="226">
        <v>4405.3</v>
      </c>
      <c r="G3273" s="12">
        <f t="shared" si="0"/>
        <v>0</v>
      </c>
      <c r="H3273" s="227" t="s">
        <v>10</v>
      </c>
    </row>
    <row r="3274" spans="1:8" x14ac:dyDescent="0.25">
      <c r="A3274" s="217">
        <v>44865</v>
      </c>
      <c r="B3274" s="218" t="s">
        <v>34920</v>
      </c>
      <c r="C3274" s="219" t="s">
        <v>11383</v>
      </c>
      <c r="D3274" s="220">
        <v>36783.699999999997</v>
      </c>
      <c r="E3274" s="234">
        <v>44865</v>
      </c>
      <c r="F3274" s="220">
        <v>36783.699999999997</v>
      </c>
      <c r="G3274" s="221">
        <f t="shared" si="0"/>
        <v>0</v>
      </c>
      <c r="H3274" s="222" t="s">
        <v>10</v>
      </c>
    </row>
    <row r="3275" spans="1:8" x14ac:dyDescent="0.25">
      <c r="A3275" s="223">
        <v>44865</v>
      </c>
      <c r="B3275" s="224" t="s">
        <v>34921</v>
      </c>
      <c r="C3275" s="225" t="s">
        <v>56</v>
      </c>
      <c r="D3275" s="226">
        <v>10547.8</v>
      </c>
      <c r="E3275" s="235">
        <v>44865</v>
      </c>
      <c r="F3275" s="226">
        <v>10547.8</v>
      </c>
      <c r="G3275" s="12">
        <f t="shared" si="0"/>
        <v>0</v>
      </c>
      <c r="H3275" s="227" t="s">
        <v>10</v>
      </c>
    </row>
    <row r="3276" spans="1:8" x14ac:dyDescent="0.25">
      <c r="A3276" s="217">
        <v>44865</v>
      </c>
      <c r="B3276" s="218" t="s">
        <v>34922</v>
      </c>
      <c r="C3276" s="219" t="s">
        <v>222</v>
      </c>
      <c r="D3276" s="220">
        <v>10530.9</v>
      </c>
      <c r="E3276" s="234">
        <v>44865</v>
      </c>
      <c r="F3276" s="220">
        <v>10530.9</v>
      </c>
      <c r="G3276" s="221">
        <f t="shared" si="0"/>
        <v>0</v>
      </c>
      <c r="H3276" s="222" t="s">
        <v>10</v>
      </c>
    </row>
    <row r="3277" spans="1:8" x14ac:dyDescent="0.25">
      <c r="A3277" s="223">
        <v>44865</v>
      </c>
      <c r="B3277" s="224" t="s">
        <v>34923</v>
      </c>
      <c r="C3277" s="225" t="s">
        <v>51</v>
      </c>
      <c r="D3277" s="226">
        <v>1946</v>
      </c>
      <c r="E3277" s="235">
        <v>44865</v>
      </c>
      <c r="F3277" s="226">
        <v>1946</v>
      </c>
      <c r="G3277" s="12">
        <f t="shared" si="0"/>
        <v>0</v>
      </c>
      <c r="H3277" s="227" t="s">
        <v>10</v>
      </c>
    </row>
    <row r="3278" spans="1:8" x14ac:dyDescent="0.25">
      <c r="A3278" s="217">
        <v>44865</v>
      </c>
      <c r="B3278" s="218" t="s">
        <v>34924</v>
      </c>
      <c r="C3278" s="219" t="s">
        <v>414</v>
      </c>
      <c r="D3278" s="220">
        <v>32441.599999999999</v>
      </c>
      <c r="E3278" s="234">
        <v>44870</v>
      </c>
      <c r="F3278" s="220">
        <v>32441.599999999999</v>
      </c>
      <c r="G3278" s="221">
        <f t="shared" si="0"/>
        <v>0</v>
      </c>
      <c r="H3278" s="222" t="s">
        <v>10</v>
      </c>
    </row>
    <row r="3279" spans="1:8" x14ac:dyDescent="0.25">
      <c r="A3279" s="223">
        <v>44865</v>
      </c>
      <c r="B3279" s="224" t="s">
        <v>34925</v>
      </c>
      <c r="C3279" s="225" t="s">
        <v>175</v>
      </c>
      <c r="D3279" s="226">
        <v>24768.7</v>
      </c>
      <c r="E3279" s="235">
        <v>44865</v>
      </c>
      <c r="F3279" s="226">
        <v>24768.7</v>
      </c>
      <c r="G3279" s="12">
        <f t="shared" si="0"/>
        <v>0</v>
      </c>
      <c r="H3279" s="227" t="s">
        <v>10</v>
      </c>
    </row>
    <row r="3280" spans="1:8" x14ac:dyDescent="0.25">
      <c r="A3280" s="217">
        <v>44865</v>
      </c>
      <c r="B3280" s="218" t="s">
        <v>34926</v>
      </c>
      <c r="C3280" s="219" t="s">
        <v>35</v>
      </c>
      <c r="D3280" s="220">
        <v>1940.1</v>
      </c>
      <c r="E3280" s="234">
        <v>44865</v>
      </c>
      <c r="F3280" s="220">
        <v>1940.1</v>
      </c>
      <c r="G3280" s="221">
        <f t="shared" si="0"/>
        <v>0</v>
      </c>
      <c r="H3280" s="222" t="s">
        <v>10</v>
      </c>
    </row>
    <row r="3281" spans="1:8" x14ac:dyDescent="0.25">
      <c r="A3281" s="223">
        <v>44865</v>
      </c>
      <c r="B3281" s="224" t="s">
        <v>34927</v>
      </c>
      <c r="C3281" s="225" t="s">
        <v>31</v>
      </c>
      <c r="D3281" s="226">
        <v>592</v>
      </c>
      <c r="E3281" s="235">
        <v>44865</v>
      </c>
      <c r="F3281" s="226">
        <v>592</v>
      </c>
      <c r="G3281" s="12">
        <f t="shared" si="0"/>
        <v>0</v>
      </c>
      <c r="H3281" s="227" t="s">
        <v>10</v>
      </c>
    </row>
    <row r="3282" spans="1:8" x14ac:dyDescent="0.25">
      <c r="A3282" s="217">
        <v>44865</v>
      </c>
      <c r="B3282" s="218" t="s">
        <v>34928</v>
      </c>
      <c r="C3282" s="219" t="s">
        <v>181</v>
      </c>
      <c r="D3282" s="220">
        <v>16183.4</v>
      </c>
      <c r="E3282" s="234">
        <v>44865</v>
      </c>
      <c r="F3282" s="220">
        <v>16183.4</v>
      </c>
      <c r="G3282" s="221">
        <f t="shared" si="0"/>
        <v>0</v>
      </c>
      <c r="H3282" s="222" t="s">
        <v>10</v>
      </c>
    </row>
    <row r="3283" spans="1:8" x14ac:dyDescent="0.25">
      <c r="A3283" s="223">
        <v>44865</v>
      </c>
      <c r="B3283" s="224" t="s">
        <v>34929</v>
      </c>
      <c r="C3283" s="225" t="s">
        <v>216</v>
      </c>
      <c r="D3283" s="226">
        <v>2079.4</v>
      </c>
      <c r="E3283" s="235">
        <v>44865</v>
      </c>
      <c r="F3283" s="226">
        <v>2079.4</v>
      </c>
      <c r="G3283" s="12">
        <f t="shared" ref="G3283:G3343" si="1">D3283-F3283</f>
        <v>0</v>
      </c>
      <c r="H3283" s="227" t="s">
        <v>10</v>
      </c>
    </row>
    <row r="3284" spans="1:8" x14ac:dyDescent="0.25">
      <c r="A3284" s="217">
        <v>44865</v>
      </c>
      <c r="B3284" s="218" t="s">
        <v>34930</v>
      </c>
      <c r="C3284" s="219" t="s">
        <v>359</v>
      </c>
      <c r="D3284" s="220">
        <v>2513.4</v>
      </c>
      <c r="E3284" s="234">
        <v>44865</v>
      </c>
      <c r="F3284" s="220">
        <v>2513.4</v>
      </c>
      <c r="G3284" s="221">
        <f t="shared" si="1"/>
        <v>0</v>
      </c>
      <c r="H3284" s="222" t="s">
        <v>10</v>
      </c>
    </row>
    <row r="3285" spans="1:8" x14ac:dyDescent="0.25">
      <c r="A3285" s="223">
        <v>44865</v>
      </c>
      <c r="B3285" s="224" t="s">
        <v>34931</v>
      </c>
      <c r="C3285" s="225" t="s">
        <v>426</v>
      </c>
      <c r="D3285" s="226">
        <v>4652.8</v>
      </c>
      <c r="E3285" s="235">
        <v>44865</v>
      </c>
      <c r="F3285" s="226">
        <v>4652.8</v>
      </c>
      <c r="G3285" s="12">
        <f t="shared" si="1"/>
        <v>0</v>
      </c>
      <c r="H3285" s="227" t="s">
        <v>10</v>
      </c>
    </row>
    <row r="3286" spans="1:8" x14ac:dyDescent="0.25">
      <c r="A3286" s="217">
        <v>44865</v>
      </c>
      <c r="B3286" s="218" t="s">
        <v>34932</v>
      </c>
      <c r="C3286" s="219" t="s">
        <v>1265</v>
      </c>
      <c r="D3286" s="220">
        <v>630</v>
      </c>
      <c r="E3286" s="234">
        <v>44865</v>
      </c>
      <c r="F3286" s="220">
        <v>630</v>
      </c>
      <c r="G3286" s="221">
        <f t="shared" si="1"/>
        <v>0</v>
      </c>
      <c r="H3286" s="222" t="s">
        <v>10</v>
      </c>
    </row>
    <row r="3287" spans="1:8" x14ac:dyDescent="0.25">
      <c r="A3287" s="223">
        <v>44865</v>
      </c>
      <c r="B3287" s="224" t="s">
        <v>34933</v>
      </c>
      <c r="C3287" s="225" t="s">
        <v>218</v>
      </c>
      <c r="D3287" s="226">
        <v>23760</v>
      </c>
      <c r="E3287" s="235">
        <v>44866</v>
      </c>
      <c r="F3287" s="226">
        <v>23760</v>
      </c>
      <c r="G3287" s="12">
        <f t="shared" si="1"/>
        <v>0</v>
      </c>
      <c r="H3287" s="227" t="s">
        <v>10</v>
      </c>
    </row>
    <row r="3288" spans="1:8" x14ac:dyDescent="0.25">
      <c r="A3288" s="217">
        <v>44865</v>
      </c>
      <c r="B3288" s="218" t="s">
        <v>34934</v>
      </c>
      <c r="C3288" s="219" t="s">
        <v>296</v>
      </c>
      <c r="D3288" s="220">
        <v>3996.3</v>
      </c>
      <c r="E3288" s="234">
        <v>44865</v>
      </c>
      <c r="F3288" s="220">
        <v>3996.3</v>
      </c>
      <c r="G3288" s="221">
        <f t="shared" si="1"/>
        <v>0</v>
      </c>
      <c r="H3288" s="222" t="s">
        <v>10</v>
      </c>
    </row>
    <row r="3289" spans="1:8" x14ac:dyDescent="0.25">
      <c r="A3289" s="223">
        <v>44865</v>
      </c>
      <c r="B3289" s="224" t="s">
        <v>34935</v>
      </c>
      <c r="C3289" s="225" t="s">
        <v>154</v>
      </c>
      <c r="D3289" s="226">
        <v>30579.5</v>
      </c>
      <c r="E3289" s="235">
        <v>44870</v>
      </c>
      <c r="F3289" s="226">
        <v>30579.5</v>
      </c>
      <c r="G3289" s="12">
        <f t="shared" si="1"/>
        <v>0</v>
      </c>
      <c r="H3289" s="227" t="s">
        <v>10</v>
      </c>
    </row>
    <row r="3290" spans="1:8" x14ac:dyDescent="0.25">
      <c r="A3290" s="217">
        <v>44865</v>
      </c>
      <c r="B3290" s="218" t="s">
        <v>34936</v>
      </c>
      <c r="C3290" s="219" t="s">
        <v>208</v>
      </c>
      <c r="D3290" s="220">
        <v>11872.5</v>
      </c>
      <c r="E3290" s="234">
        <v>44865</v>
      </c>
      <c r="F3290" s="220">
        <v>11872.5</v>
      </c>
      <c r="G3290" s="221">
        <f t="shared" si="1"/>
        <v>0</v>
      </c>
      <c r="H3290" s="222" t="s">
        <v>10</v>
      </c>
    </row>
    <row r="3291" spans="1:8" x14ac:dyDescent="0.25">
      <c r="A3291" s="223">
        <v>44865</v>
      </c>
      <c r="B3291" s="224" t="s">
        <v>34937</v>
      </c>
      <c r="C3291" s="225" t="s">
        <v>240</v>
      </c>
      <c r="D3291" s="226">
        <v>14939.4</v>
      </c>
      <c r="E3291" s="235">
        <v>44865</v>
      </c>
      <c r="F3291" s="226">
        <v>14939.4</v>
      </c>
      <c r="G3291" s="12">
        <f t="shared" si="1"/>
        <v>0</v>
      </c>
      <c r="H3291" s="227" t="s">
        <v>10</v>
      </c>
    </row>
    <row r="3292" spans="1:8" x14ac:dyDescent="0.25">
      <c r="A3292" s="217">
        <v>44865</v>
      </c>
      <c r="B3292" s="218" t="s">
        <v>34938</v>
      </c>
      <c r="C3292" s="219" t="s">
        <v>212</v>
      </c>
      <c r="D3292" s="220">
        <v>19953.240000000002</v>
      </c>
      <c r="E3292" s="234">
        <v>44870</v>
      </c>
      <c r="F3292" s="220">
        <v>19953.240000000002</v>
      </c>
      <c r="G3292" s="221">
        <f t="shared" si="1"/>
        <v>0</v>
      </c>
      <c r="H3292" s="222" t="s">
        <v>10</v>
      </c>
    </row>
    <row r="3293" spans="1:8" x14ac:dyDescent="0.25">
      <c r="A3293" s="223">
        <v>44865</v>
      </c>
      <c r="B3293" s="224" t="s">
        <v>34939</v>
      </c>
      <c r="C3293" s="225" t="s">
        <v>206</v>
      </c>
      <c r="D3293" s="226">
        <v>19401</v>
      </c>
      <c r="E3293" s="235">
        <v>44869</v>
      </c>
      <c r="F3293" s="226">
        <v>19401</v>
      </c>
      <c r="G3293" s="12">
        <f t="shared" si="1"/>
        <v>0</v>
      </c>
      <c r="H3293" s="227" t="s">
        <v>10</v>
      </c>
    </row>
    <row r="3294" spans="1:8" x14ac:dyDescent="0.25">
      <c r="A3294" s="217">
        <v>44865</v>
      </c>
      <c r="B3294" s="218" t="s">
        <v>34940</v>
      </c>
      <c r="C3294" s="219" t="s">
        <v>34941</v>
      </c>
      <c r="D3294" s="220">
        <v>0</v>
      </c>
      <c r="E3294" s="236" t="s">
        <v>189</v>
      </c>
      <c r="F3294" s="220">
        <v>0</v>
      </c>
      <c r="G3294" s="221">
        <f t="shared" si="1"/>
        <v>0</v>
      </c>
      <c r="H3294" s="222" t="s">
        <v>189</v>
      </c>
    </row>
    <row r="3295" spans="1:8" x14ac:dyDescent="0.25">
      <c r="A3295" s="223">
        <v>44865</v>
      </c>
      <c r="B3295" s="224" t="s">
        <v>34942</v>
      </c>
      <c r="C3295" s="225" t="s">
        <v>419</v>
      </c>
      <c r="D3295" s="226">
        <v>6782.4</v>
      </c>
      <c r="E3295" s="235">
        <v>44865</v>
      </c>
      <c r="F3295" s="226">
        <v>6782.4</v>
      </c>
      <c r="G3295" s="12">
        <f t="shared" si="1"/>
        <v>0</v>
      </c>
      <c r="H3295" s="227" t="s">
        <v>10</v>
      </c>
    </row>
    <row r="3296" spans="1:8" x14ac:dyDescent="0.25">
      <c r="A3296" s="217">
        <v>44865</v>
      </c>
      <c r="B3296" s="218" t="s">
        <v>34943</v>
      </c>
      <c r="C3296" s="219" t="s">
        <v>224</v>
      </c>
      <c r="D3296" s="220">
        <v>17067</v>
      </c>
      <c r="E3296" s="234">
        <v>44883</v>
      </c>
      <c r="F3296" s="220">
        <v>17067</v>
      </c>
      <c r="G3296" s="221">
        <f t="shared" si="1"/>
        <v>0</v>
      </c>
      <c r="H3296" s="222" t="s">
        <v>10</v>
      </c>
    </row>
    <row r="3297" spans="1:8" x14ac:dyDescent="0.25">
      <c r="A3297" s="223">
        <v>44865</v>
      </c>
      <c r="B3297" s="224" t="s">
        <v>34944</v>
      </c>
      <c r="C3297" s="225" t="s">
        <v>31</v>
      </c>
      <c r="D3297" s="226">
        <v>72000</v>
      </c>
      <c r="E3297" s="235">
        <v>44865</v>
      </c>
      <c r="F3297" s="226">
        <v>72000</v>
      </c>
      <c r="G3297" s="12">
        <f t="shared" si="1"/>
        <v>0</v>
      </c>
      <c r="H3297" s="227" t="s">
        <v>10</v>
      </c>
    </row>
    <row r="3298" spans="1:8" x14ac:dyDescent="0.25">
      <c r="A3298" s="217">
        <v>44865</v>
      </c>
      <c r="B3298" s="218" t="s">
        <v>34945</v>
      </c>
      <c r="C3298" s="219" t="s">
        <v>133</v>
      </c>
      <c r="D3298" s="220">
        <v>15135</v>
      </c>
      <c r="E3298" s="234">
        <v>44866</v>
      </c>
      <c r="F3298" s="220">
        <v>15135</v>
      </c>
      <c r="G3298" s="221">
        <f t="shared" si="1"/>
        <v>0</v>
      </c>
      <c r="H3298" s="222" t="s">
        <v>10</v>
      </c>
    </row>
    <row r="3299" spans="1:8" x14ac:dyDescent="0.25">
      <c r="A3299" s="223">
        <v>44865</v>
      </c>
      <c r="B3299" s="224" t="s">
        <v>34946</v>
      </c>
      <c r="C3299" s="225" t="s">
        <v>24</v>
      </c>
      <c r="D3299" s="226">
        <v>2177.8000000000002</v>
      </c>
      <c r="E3299" s="235">
        <v>44865</v>
      </c>
      <c r="F3299" s="226">
        <v>2177.8000000000002</v>
      </c>
      <c r="G3299" s="12">
        <f t="shared" si="1"/>
        <v>0</v>
      </c>
      <c r="H3299" s="227" t="s">
        <v>10</v>
      </c>
    </row>
    <row r="3300" spans="1:8" x14ac:dyDescent="0.25">
      <c r="A3300" s="217">
        <v>44865</v>
      </c>
      <c r="B3300" s="218" t="s">
        <v>34947</v>
      </c>
      <c r="C3300" s="219" t="s">
        <v>67</v>
      </c>
      <c r="D3300" s="220">
        <v>3265.4</v>
      </c>
      <c r="E3300" s="234">
        <v>44865</v>
      </c>
      <c r="F3300" s="220">
        <v>3265.4</v>
      </c>
      <c r="G3300" s="221">
        <f t="shared" si="1"/>
        <v>0</v>
      </c>
      <c r="H3300" s="222" t="s">
        <v>10</v>
      </c>
    </row>
    <row r="3301" spans="1:8" x14ac:dyDescent="0.25">
      <c r="A3301" s="223">
        <v>44865</v>
      </c>
      <c r="B3301" s="224" t="s">
        <v>34948</v>
      </c>
      <c r="C3301" s="225" t="s">
        <v>16</v>
      </c>
      <c r="D3301" s="226">
        <v>8205.4</v>
      </c>
      <c r="E3301" s="235">
        <v>44865</v>
      </c>
      <c r="F3301" s="226">
        <v>8205.4</v>
      </c>
      <c r="G3301" s="12">
        <f t="shared" si="1"/>
        <v>0</v>
      </c>
      <c r="H3301" s="227" t="s">
        <v>10</v>
      </c>
    </row>
    <row r="3302" spans="1:8" x14ac:dyDescent="0.25">
      <c r="A3302" s="217">
        <v>44865</v>
      </c>
      <c r="B3302" s="218" t="s">
        <v>34949</v>
      </c>
      <c r="C3302" s="219" t="s">
        <v>1644</v>
      </c>
      <c r="D3302" s="220">
        <v>19935.900000000001</v>
      </c>
      <c r="E3302" s="234">
        <v>44866</v>
      </c>
      <c r="F3302" s="220">
        <v>19935.900000000001</v>
      </c>
      <c r="G3302" s="221">
        <f t="shared" si="1"/>
        <v>0</v>
      </c>
      <c r="H3302" s="222" t="s">
        <v>10</v>
      </c>
    </row>
    <row r="3303" spans="1:8" x14ac:dyDescent="0.25">
      <c r="A3303" s="223">
        <v>44865</v>
      </c>
      <c r="B3303" s="224" t="s">
        <v>34950</v>
      </c>
      <c r="C3303" s="225" t="s">
        <v>58</v>
      </c>
      <c r="D3303" s="226">
        <v>1374.6</v>
      </c>
      <c r="E3303" s="235">
        <v>44865</v>
      </c>
      <c r="F3303" s="226">
        <v>1374.6</v>
      </c>
      <c r="G3303" s="12">
        <f t="shared" si="1"/>
        <v>0</v>
      </c>
      <c r="H3303" s="227" t="s">
        <v>10</v>
      </c>
    </row>
    <row r="3304" spans="1:8" x14ac:dyDescent="0.25">
      <c r="A3304" s="217">
        <v>44865</v>
      </c>
      <c r="B3304" s="218" t="s">
        <v>34951</v>
      </c>
      <c r="C3304" s="219" t="s">
        <v>135</v>
      </c>
      <c r="D3304" s="220">
        <v>1536.6</v>
      </c>
      <c r="E3304" s="234">
        <v>44865</v>
      </c>
      <c r="F3304" s="220">
        <v>1536.6</v>
      </c>
      <c r="G3304" s="221">
        <f t="shared" si="1"/>
        <v>0</v>
      </c>
      <c r="H3304" s="222" t="s">
        <v>10</v>
      </c>
    </row>
    <row r="3305" spans="1:8" x14ac:dyDescent="0.25">
      <c r="A3305" s="223">
        <v>44865</v>
      </c>
      <c r="B3305" s="224" t="s">
        <v>34952</v>
      </c>
      <c r="C3305" s="225" t="s">
        <v>214</v>
      </c>
      <c r="D3305" s="226">
        <v>7785</v>
      </c>
      <c r="E3305" s="235">
        <v>44865</v>
      </c>
      <c r="F3305" s="226">
        <v>7785</v>
      </c>
      <c r="G3305" s="12">
        <f t="shared" si="1"/>
        <v>0</v>
      </c>
      <c r="H3305" s="227" t="s">
        <v>10</v>
      </c>
    </row>
    <row r="3306" spans="1:8" x14ac:dyDescent="0.25">
      <c r="A3306" s="217">
        <v>44865</v>
      </c>
      <c r="B3306" s="218" t="s">
        <v>34953</v>
      </c>
      <c r="C3306" s="219" t="s">
        <v>146</v>
      </c>
      <c r="D3306" s="220">
        <v>5510.4</v>
      </c>
      <c r="E3306" s="234">
        <v>44865</v>
      </c>
      <c r="F3306" s="220">
        <v>5510.4</v>
      </c>
      <c r="G3306" s="221">
        <f t="shared" si="1"/>
        <v>0</v>
      </c>
      <c r="H3306" s="222" t="s">
        <v>10</v>
      </c>
    </row>
    <row r="3307" spans="1:8" x14ac:dyDescent="0.25">
      <c r="A3307" s="223">
        <v>44865</v>
      </c>
      <c r="B3307" s="224" t="s">
        <v>34954</v>
      </c>
      <c r="C3307" s="225" t="s">
        <v>698</v>
      </c>
      <c r="D3307" s="226">
        <v>7984.4</v>
      </c>
      <c r="E3307" s="235">
        <v>44865</v>
      </c>
      <c r="F3307" s="226">
        <v>7984.4</v>
      </c>
      <c r="G3307" s="12">
        <f t="shared" si="1"/>
        <v>0</v>
      </c>
      <c r="H3307" s="227" t="s">
        <v>10</v>
      </c>
    </row>
    <row r="3308" spans="1:8" x14ac:dyDescent="0.25">
      <c r="A3308" s="217">
        <v>44865</v>
      </c>
      <c r="B3308" s="218" t="s">
        <v>34955</v>
      </c>
      <c r="C3308" s="219" t="s">
        <v>107</v>
      </c>
      <c r="D3308" s="220">
        <v>22761.5</v>
      </c>
      <c r="E3308" s="234">
        <v>44865</v>
      </c>
      <c r="F3308" s="220">
        <v>22761.5</v>
      </c>
      <c r="G3308" s="221">
        <f t="shared" si="1"/>
        <v>0</v>
      </c>
      <c r="H3308" s="222" t="s">
        <v>10</v>
      </c>
    </row>
    <row r="3309" spans="1:8" x14ac:dyDescent="0.25">
      <c r="A3309" s="223">
        <v>44865</v>
      </c>
      <c r="B3309" s="224" t="s">
        <v>34956</v>
      </c>
      <c r="C3309" s="225" t="s">
        <v>10157</v>
      </c>
      <c r="D3309" s="226">
        <v>16096.7</v>
      </c>
      <c r="E3309" s="235">
        <v>44869</v>
      </c>
      <c r="F3309" s="226">
        <v>16096.7</v>
      </c>
      <c r="G3309" s="12">
        <f t="shared" si="1"/>
        <v>0</v>
      </c>
      <c r="H3309" s="227" t="s">
        <v>10</v>
      </c>
    </row>
    <row r="3310" spans="1:8" x14ac:dyDescent="0.25">
      <c r="A3310" s="217">
        <v>44865</v>
      </c>
      <c r="B3310" s="218" t="s">
        <v>34957</v>
      </c>
      <c r="C3310" s="219" t="s">
        <v>664</v>
      </c>
      <c r="D3310" s="220">
        <v>3617.6</v>
      </c>
      <c r="E3310" s="234">
        <v>44865</v>
      </c>
      <c r="F3310" s="220">
        <v>3617.6</v>
      </c>
      <c r="G3310" s="221">
        <f t="shared" si="1"/>
        <v>0</v>
      </c>
      <c r="H3310" s="222" t="s">
        <v>10</v>
      </c>
    </row>
    <row r="3311" spans="1:8" x14ac:dyDescent="0.25">
      <c r="A3311" s="223">
        <v>44865</v>
      </c>
      <c r="B3311" s="224" t="s">
        <v>34958</v>
      </c>
      <c r="C3311" s="225" t="s">
        <v>1421</v>
      </c>
      <c r="D3311" s="226">
        <v>68034</v>
      </c>
      <c r="E3311" s="235">
        <v>44865</v>
      </c>
      <c r="F3311" s="226">
        <v>68034</v>
      </c>
      <c r="G3311" s="12">
        <f t="shared" si="1"/>
        <v>0</v>
      </c>
      <c r="H3311" s="227" t="s">
        <v>10</v>
      </c>
    </row>
    <row r="3312" spans="1:8" x14ac:dyDescent="0.25">
      <c r="A3312" s="217">
        <v>44865</v>
      </c>
      <c r="B3312" s="218" t="s">
        <v>34959</v>
      </c>
      <c r="C3312" s="219" t="s">
        <v>875</v>
      </c>
      <c r="D3312" s="220">
        <v>51448.2</v>
      </c>
      <c r="E3312" s="234">
        <v>44865</v>
      </c>
      <c r="F3312" s="220">
        <v>51448.2</v>
      </c>
      <c r="G3312" s="221">
        <f t="shared" si="1"/>
        <v>0</v>
      </c>
      <c r="H3312" s="222" t="s">
        <v>10</v>
      </c>
    </row>
    <row r="3313" spans="1:8" x14ac:dyDescent="0.25">
      <c r="A3313" s="223">
        <v>44865</v>
      </c>
      <c r="B3313" s="224" t="s">
        <v>34960</v>
      </c>
      <c r="C3313" s="225" t="s">
        <v>214</v>
      </c>
      <c r="D3313" s="226">
        <v>1916.6</v>
      </c>
      <c r="E3313" s="235">
        <v>44865</v>
      </c>
      <c r="F3313" s="226">
        <v>1916.6</v>
      </c>
      <c r="G3313" s="12">
        <f t="shared" si="1"/>
        <v>0</v>
      </c>
      <c r="H3313" s="227" t="s">
        <v>10</v>
      </c>
    </row>
    <row r="3314" spans="1:8" x14ac:dyDescent="0.25">
      <c r="A3314" s="217">
        <v>44865</v>
      </c>
      <c r="B3314" s="218" t="s">
        <v>34961</v>
      </c>
      <c r="C3314" s="219" t="s">
        <v>31</v>
      </c>
      <c r="D3314" s="220">
        <v>606.79999999999995</v>
      </c>
      <c r="E3314" s="234">
        <v>44865</v>
      </c>
      <c r="F3314" s="220">
        <v>606.79999999999995</v>
      </c>
      <c r="G3314" s="221">
        <f t="shared" si="1"/>
        <v>0</v>
      </c>
      <c r="H3314" s="222" t="s">
        <v>10</v>
      </c>
    </row>
    <row r="3315" spans="1:8" x14ac:dyDescent="0.25">
      <c r="A3315" s="223">
        <v>44865</v>
      </c>
      <c r="B3315" s="224" t="s">
        <v>34962</v>
      </c>
      <c r="C3315" s="225" t="s">
        <v>296</v>
      </c>
      <c r="D3315" s="226">
        <v>342.3</v>
      </c>
      <c r="E3315" s="235">
        <v>44865</v>
      </c>
      <c r="F3315" s="226">
        <v>342.3</v>
      </c>
      <c r="G3315" s="12">
        <f t="shared" si="1"/>
        <v>0</v>
      </c>
      <c r="H3315" s="227" t="s">
        <v>10</v>
      </c>
    </row>
    <row r="3316" spans="1:8" x14ac:dyDescent="0.25">
      <c r="A3316" s="217">
        <v>44865</v>
      </c>
      <c r="B3316" s="218" t="s">
        <v>34963</v>
      </c>
      <c r="C3316" s="219" t="s">
        <v>28087</v>
      </c>
      <c r="D3316" s="220">
        <v>22128.81</v>
      </c>
      <c r="E3316" s="234">
        <v>44870</v>
      </c>
      <c r="F3316" s="220">
        <v>22128.81</v>
      </c>
      <c r="G3316" s="221">
        <f t="shared" si="1"/>
        <v>0</v>
      </c>
      <c r="H3316" s="222" t="s">
        <v>10</v>
      </c>
    </row>
    <row r="3317" spans="1:8" x14ac:dyDescent="0.25">
      <c r="A3317" s="223">
        <v>44865</v>
      </c>
      <c r="B3317" s="224" t="s">
        <v>34964</v>
      </c>
      <c r="C3317" s="225" t="s">
        <v>715</v>
      </c>
      <c r="D3317" s="226">
        <v>2488.1999999999998</v>
      </c>
      <c r="E3317" s="235">
        <v>44865</v>
      </c>
      <c r="F3317" s="226">
        <v>2488.1999999999998</v>
      </c>
      <c r="G3317" s="12">
        <f t="shared" si="1"/>
        <v>0</v>
      </c>
      <c r="H3317" s="227" t="s">
        <v>10</v>
      </c>
    </row>
    <row r="3318" spans="1:8" x14ac:dyDescent="0.25">
      <c r="A3318" s="217">
        <v>44865</v>
      </c>
      <c r="B3318" s="218" t="s">
        <v>34965</v>
      </c>
      <c r="C3318" s="219" t="s">
        <v>612</v>
      </c>
      <c r="D3318" s="220">
        <v>660</v>
      </c>
      <c r="E3318" s="234">
        <v>44865</v>
      </c>
      <c r="F3318" s="220">
        <v>660</v>
      </c>
      <c r="G3318" s="221">
        <f t="shared" si="1"/>
        <v>0</v>
      </c>
      <c r="H3318" s="222" t="s">
        <v>10</v>
      </c>
    </row>
    <row r="3319" spans="1:8" x14ac:dyDescent="0.25">
      <c r="A3319" s="223">
        <v>44865</v>
      </c>
      <c r="B3319" s="224" t="s">
        <v>34966</v>
      </c>
      <c r="C3319" s="225" t="s">
        <v>31</v>
      </c>
      <c r="D3319" s="226">
        <v>4573.2</v>
      </c>
      <c r="E3319" s="235">
        <v>44865</v>
      </c>
      <c r="F3319" s="226">
        <v>4573.2</v>
      </c>
      <c r="G3319" s="12">
        <f t="shared" si="1"/>
        <v>0</v>
      </c>
      <c r="H3319" s="227" t="s">
        <v>10</v>
      </c>
    </row>
    <row r="3320" spans="1:8" x14ac:dyDescent="0.25">
      <c r="A3320" s="217">
        <v>44865</v>
      </c>
      <c r="B3320" s="218" t="s">
        <v>34967</v>
      </c>
      <c r="C3320" s="219" t="s">
        <v>34968</v>
      </c>
      <c r="D3320" s="220">
        <v>0</v>
      </c>
      <c r="E3320" s="236" t="s">
        <v>189</v>
      </c>
      <c r="F3320" s="220">
        <v>0</v>
      </c>
      <c r="G3320" s="221">
        <f t="shared" si="1"/>
        <v>0</v>
      </c>
      <c r="H3320" s="222" t="s">
        <v>189</v>
      </c>
    </row>
    <row r="3321" spans="1:8" x14ac:dyDescent="0.25">
      <c r="A3321" s="223">
        <v>44865</v>
      </c>
      <c r="B3321" s="224" t="s">
        <v>34969</v>
      </c>
      <c r="C3321" s="225" t="s">
        <v>2139</v>
      </c>
      <c r="D3321" s="226">
        <v>1351.1</v>
      </c>
      <c r="E3321" s="235">
        <v>44865</v>
      </c>
      <c r="F3321" s="226">
        <v>1351.1</v>
      </c>
      <c r="G3321" s="12">
        <f t="shared" si="1"/>
        <v>0</v>
      </c>
      <c r="H3321" s="227" t="s">
        <v>10</v>
      </c>
    </row>
    <row r="3322" spans="1:8" x14ac:dyDescent="0.25">
      <c r="A3322" s="217">
        <v>44865</v>
      </c>
      <c r="B3322" s="218" t="s">
        <v>34970</v>
      </c>
      <c r="C3322" s="219" t="s">
        <v>173</v>
      </c>
      <c r="D3322" s="220">
        <v>38820.400000000001</v>
      </c>
      <c r="E3322" s="234">
        <v>44866</v>
      </c>
      <c r="F3322" s="220">
        <v>38820.400000000001</v>
      </c>
      <c r="G3322" s="221">
        <f t="shared" si="1"/>
        <v>0</v>
      </c>
      <c r="H3322" s="222" t="s">
        <v>10</v>
      </c>
    </row>
    <row r="3323" spans="1:8" x14ac:dyDescent="0.25">
      <c r="A3323" s="223">
        <v>44865</v>
      </c>
      <c r="B3323" s="224" t="s">
        <v>34971</v>
      </c>
      <c r="C3323" s="225" t="s">
        <v>440</v>
      </c>
      <c r="D3323" s="226">
        <v>19087.400000000001</v>
      </c>
      <c r="E3323" s="235">
        <v>44879</v>
      </c>
      <c r="F3323" s="226">
        <v>19087.400000000001</v>
      </c>
      <c r="G3323" s="12">
        <f t="shared" si="1"/>
        <v>0</v>
      </c>
      <c r="H3323" s="227" t="s">
        <v>10</v>
      </c>
    </row>
    <row r="3324" spans="1:8" x14ac:dyDescent="0.25">
      <c r="A3324" s="217">
        <v>44865</v>
      </c>
      <c r="B3324" s="218" t="s">
        <v>34972</v>
      </c>
      <c r="C3324" s="219" t="s">
        <v>142</v>
      </c>
      <c r="D3324" s="220">
        <v>7344</v>
      </c>
      <c r="E3324" s="234" t="s">
        <v>4813</v>
      </c>
      <c r="F3324" s="220">
        <v>0</v>
      </c>
      <c r="G3324" s="221">
        <f t="shared" si="1"/>
        <v>7344</v>
      </c>
      <c r="H3324" s="222" t="s">
        <v>4814</v>
      </c>
    </row>
    <row r="3325" spans="1:8" x14ac:dyDescent="0.25">
      <c r="A3325" s="223">
        <v>44865</v>
      </c>
      <c r="B3325" s="224" t="s">
        <v>34973</v>
      </c>
      <c r="C3325" s="225" t="s">
        <v>1064</v>
      </c>
      <c r="D3325" s="226">
        <v>3392.4</v>
      </c>
      <c r="E3325" s="235">
        <v>44865</v>
      </c>
      <c r="F3325" s="226">
        <v>3392.4</v>
      </c>
      <c r="G3325" s="12">
        <f t="shared" si="1"/>
        <v>0</v>
      </c>
      <c r="H3325" s="227" t="s">
        <v>10</v>
      </c>
    </row>
    <row r="3326" spans="1:8" x14ac:dyDescent="0.25">
      <c r="A3326" s="217">
        <v>44865</v>
      </c>
      <c r="B3326" s="218" t="s">
        <v>34974</v>
      </c>
      <c r="C3326" s="219" t="s">
        <v>31</v>
      </c>
      <c r="D3326" s="220">
        <v>2693.4</v>
      </c>
      <c r="E3326" s="234">
        <v>44865</v>
      </c>
      <c r="F3326" s="220">
        <v>2693.4</v>
      </c>
      <c r="G3326" s="221">
        <f t="shared" si="1"/>
        <v>0</v>
      </c>
      <c r="H3326" s="222" t="s">
        <v>10</v>
      </c>
    </row>
    <row r="3327" spans="1:8" x14ac:dyDescent="0.25">
      <c r="A3327" s="223">
        <v>44865</v>
      </c>
      <c r="B3327" s="224" t="s">
        <v>34975</v>
      </c>
      <c r="C3327" s="225" t="s">
        <v>10840</v>
      </c>
      <c r="D3327" s="226">
        <v>26624</v>
      </c>
      <c r="E3327" s="235">
        <v>44872</v>
      </c>
      <c r="F3327" s="226">
        <v>26624</v>
      </c>
      <c r="G3327" s="12">
        <f t="shared" si="1"/>
        <v>0</v>
      </c>
      <c r="H3327" s="227" t="s">
        <v>10</v>
      </c>
    </row>
    <row r="3328" spans="1:8" x14ac:dyDescent="0.25">
      <c r="A3328" s="217">
        <v>44865</v>
      </c>
      <c r="B3328" s="218" t="s">
        <v>34976</v>
      </c>
      <c r="C3328" s="219" t="s">
        <v>463</v>
      </c>
      <c r="D3328" s="220">
        <v>100.2</v>
      </c>
      <c r="E3328" s="234">
        <v>44865</v>
      </c>
      <c r="F3328" s="220">
        <v>100.2</v>
      </c>
      <c r="G3328" s="221">
        <f t="shared" si="1"/>
        <v>0</v>
      </c>
      <c r="H3328" s="222" t="s">
        <v>10</v>
      </c>
    </row>
    <row r="3329" spans="1:8" x14ac:dyDescent="0.25">
      <c r="A3329" s="223">
        <v>44865</v>
      </c>
      <c r="B3329" s="224" t="s">
        <v>34977</v>
      </c>
      <c r="C3329" s="225" t="s">
        <v>5694</v>
      </c>
      <c r="D3329" s="226">
        <v>4260</v>
      </c>
      <c r="E3329" s="235">
        <v>44865</v>
      </c>
      <c r="F3329" s="226">
        <v>4260</v>
      </c>
      <c r="G3329" s="12">
        <f t="shared" si="1"/>
        <v>0</v>
      </c>
      <c r="H3329" s="227" t="s">
        <v>10</v>
      </c>
    </row>
    <row r="3330" spans="1:8" x14ac:dyDescent="0.25">
      <c r="A3330" s="217">
        <v>44865</v>
      </c>
      <c r="B3330" s="218" t="s">
        <v>34978</v>
      </c>
      <c r="C3330" s="219" t="s">
        <v>142</v>
      </c>
      <c r="D3330" s="220">
        <v>7910.6</v>
      </c>
      <c r="E3330" s="234" t="s">
        <v>4813</v>
      </c>
      <c r="F3330" s="220">
        <v>0</v>
      </c>
      <c r="G3330" s="221">
        <f t="shared" si="1"/>
        <v>7910.6</v>
      </c>
      <c r="H3330" s="222" t="s">
        <v>4814</v>
      </c>
    </row>
    <row r="3331" spans="1:8" x14ac:dyDescent="0.25">
      <c r="A3331" s="223">
        <v>44865</v>
      </c>
      <c r="B3331" s="224" t="s">
        <v>34979</v>
      </c>
      <c r="C3331" s="225" t="s">
        <v>24</v>
      </c>
      <c r="D3331" s="226">
        <v>2441.4</v>
      </c>
      <c r="E3331" s="235">
        <v>44865</v>
      </c>
      <c r="F3331" s="226">
        <v>2441.4</v>
      </c>
      <c r="G3331" s="12">
        <f t="shared" si="1"/>
        <v>0</v>
      </c>
      <c r="H3331" s="227" t="s">
        <v>10</v>
      </c>
    </row>
    <row r="3332" spans="1:8" x14ac:dyDescent="0.25">
      <c r="A3332" s="217">
        <v>44865</v>
      </c>
      <c r="B3332" s="218" t="s">
        <v>34980</v>
      </c>
      <c r="C3332" s="219" t="s">
        <v>452</v>
      </c>
      <c r="D3332" s="220">
        <v>6820.8</v>
      </c>
      <c r="E3332" s="234">
        <v>44865</v>
      </c>
      <c r="F3332" s="220">
        <v>6820.8</v>
      </c>
      <c r="G3332" s="221">
        <f t="shared" si="1"/>
        <v>0</v>
      </c>
      <c r="H3332" s="222" t="s">
        <v>10</v>
      </c>
    </row>
    <row r="3333" spans="1:8" x14ac:dyDescent="0.25">
      <c r="A3333" s="223">
        <v>44865</v>
      </c>
      <c r="B3333" s="224" t="s">
        <v>34981</v>
      </c>
      <c r="C3333" s="225" t="s">
        <v>284</v>
      </c>
      <c r="D3333" s="226">
        <v>10833.6</v>
      </c>
      <c r="E3333" s="235">
        <v>44867</v>
      </c>
      <c r="F3333" s="226">
        <v>10833.6</v>
      </c>
      <c r="G3333" s="12">
        <f t="shared" si="1"/>
        <v>0</v>
      </c>
      <c r="H3333" s="227" t="s">
        <v>10</v>
      </c>
    </row>
    <row r="3334" spans="1:8" x14ac:dyDescent="0.25">
      <c r="A3334" s="217">
        <v>44865</v>
      </c>
      <c r="B3334" s="218" t="s">
        <v>34982</v>
      </c>
      <c r="C3334" s="219" t="s">
        <v>5345</v>
      </c>
      <c r="D3334" s="220">
        <v>3204.2</v>
      </c>
      <c r="E3334" s="234">
        <v>44867</v>
      </c>
      <c r="F3334" s="220">
        <v>3204.2</v>
      </c>
      <c r="G3334" s="221">
        <f t="shared" si="1"/>
        <v>0</v>
      </c>
      <c r="H3334" s="222" t="s">
        <v>10</v>
      </c>
    </row>
    <row r="3335" spans="1:8" x14ac:dyDescent="0.25">
      <c r="A3335" s="223">
        <v>44865</v>
      </c>
      <c r="B3335" s="224" t="s">
        <v>34983</v>
      </c>
      <c r="C3335" s="225" t="s">
        <v>282</v>
      </c>
      <c r="D3335" s="226">
        <v>2249.6</v>
      </c>
      <c r="E3335" s="235">
        <v>44867</v>
      </c>
      <c r="F3335" s="226">
        <v>2249.6</v>
      </c>
      <c r="G3335" s="12">
        <f t="shared" si="1"/>
        <v>0</v>
      </c>
      <c r="H3335" s="227" t="s">
        <v>10</v>
      </c>
    </row>
    <row r="3336" spans="1:8" x14ac:dyDescent="0.25">
      <c r="A3336" s="217">
        <v>44865</v>
      </c>
      <c r="B3336" s="218" t="s">
        <v>34984</v>
      </c>
      <c r="C3336" s="219" t="s">
        <v>10819</v>
      </c>
      <c r="D3336" s="220">
        <v>1894.4</v>
      </c>
      <c r="E3336" s="234">
        <v>44867</v>
      </c>
      <c r="F3336" s="220">
        <v>1894.4</v>
      </c>
      <c r="G3336" s="221">
        <f t="shared" si="1"/>
        <v>0</v>
      </c>
      <c r="H3336" s="222" t="s">
        <v>10</v>
      </c>
    </row>
    <row r="3337" spans="1:8" x14ac:dyDescent="0.25">
      <c r="A3337" s="223">
        <v>44865</v>
      </c>
      <c r="B3337" s="224" t="s">
        <v>34985</v>
      </c>
      <c r="C3337" s="225" t="s">
        <v>31</v>
      </c>
      <c r="D3337" s="226">
        <v>204</v>
      </c>
      <c r="E3337" s="235">
        <v>44865</v>
      </c>
      <c r="F3337" s="226">
        <v>204</v>
      </c>
      <c r="G3337" s="12">
        <f t="shared" si="1"/>
        <v>0</v>
      </c>
      <c r="H3337" s="227" t="s">
        <v>10</v>
      </c>
    </row>
    <row r="3338" spans="1:8" x14ac:dyDescent="0.25">
      <c r="A3338" s="217">
        <v>44865</v>
      </c>
      <c r="B3338" s="218" t="s">
        <v>34986</v>
      </c>
      <c r="C3338" s="219" t="s">
        <v>9415</v>
      </c>
      <c r="D3338" s="220">
        <v>29695.1</v>
      </c>
      <c r="E3338" s="234">
        <v>44869</v>
      </c>
      <c r="F3338" s="220">
        <v>29695.1</v>
      </c>
      <c r="G3338" s="221">
        <f t="shared" si="1"/>
        <v>0</v>
      </c>
      <c r="H3338" s="222" t="s">
        <v>10</v>
      </c>
    </row>
    <row r="3339" spans="1:8" x14ac:dyDescent="0.25">
      <c r="A3339" s="223">
        <v>44865</v>
      </c>
      <c r="B3339" s="224" t="s">
        <v>34987</v>
      </c>
      <c r="C3339" s="225" t="s">
        <v>31</v>
      </c>
      <c r="D3339" s="226">
        <v>8421.4</v>
      </c>
      <c r="E3339" s="235">
        <v>44865</v>
      </c>
      <c r="F3339" s="226">
        <v>8421.4</v>
      </c>
      <c r="G3339" s="12">
        <f t="shared" si="1"/>
        <v>0</v>
      </c>
      <c r="H3339" s="227" t="s">
        <v>10</v>
      </c>
    </row>
    <row r="3340" spans="1:8" x14ac:dyDescent="0.25">
      <c r="A3340" s="217">
        <v>44865</v>
      </c>
      <c r="B3340" s="218" t="s">
        <v>34988</v>
      </c>
      <c r="C3340" s="219" t="s">
        <v>654</v>
      </c>
      <c r="D3340" s="220">
        <v>3830.4</v>
      </c>
      <c r="E3340" s="234">
        <v>44865</v>
      </c>
      <c r="F3340" s="220">
        <v>3830.4</v>
      </c>
      <c r="G3340" s="221">
        <f t="shared" si="1"/>
        <v>0</v>
      </c>
      <c r="H3340" s="222" t="s">
        <v>10</v>
      </c>
    </row>
    <row r="3341" spans="1:8" x14ac:dyDescent="0.25">
      <c r="A3341" s="223">
        <v>44865</v>
      </c>
      <c r="B3341" s="224" t="s">
        <v>34989</v>
      </c>
      <c r="C3341" s="225" t="s">
        <v>69</v>
      </c>
      <c r="D3341" s="226">
        <v>1339.4</v>
      </c>
      <c r="E3341" s="235">
        <v>44865</v>
      </c>
      <c r="F3341" s="226">
        <v>1339.4</v>
      </c>
      <c r="G3341" s="12">
        <f t="shared" si="1"/>
        <v>0</v>
      </c>
      <c r="H3341" s="227" t="s">
        <v>10</v>
      </c>
    </row>
    <row r="3342" spans="1:8" x14ac:dyDescent="0.25">
      <c r="A3342" s="217">
        <v>44865</v>
      </c>
      <c r="B3342" s="218" t="s">
        <v>34990</v>
      </c>
      <c r="C3342" s="219" t="s">
        <v>56</v>
      </c>
      <c r="D3342" s="220">
        <v>7942</v>
      </c>
      <c r="E3342" s="234">
        <v>44865</v>
      </c>
      <c r="F3342" s="220">
        <v>7942</v>
      </c>
      <c r="G3342" s="221">
        <f t="shared" si="1"/>
        <v>0</v>
      </c>
      <c r="H3342" s="222" t="s">
        <v>10</v>
      </c>
    </row>
    <row r="3343" spans="1:8" ht="16.5" thickBot="1" x14ac:dyDescent="0.3">
      <c r="A3343" s="223">
        <v>44865</v>
      </c>
      <c r="B3343" s="224" t="s">
        <v>34991</v>
      </c>
      <c r="C3343" s="225" t="s">
        <v>56</v>
      </c>
      <c r="D3343" s="241">
        <v>1459.6</v>
      </c>
      <c r="E3343" s="242">
        <v>44865</v>
      </c>
      <c r="F3343" s="241">
        <v>1459.6</v>
      </c>
      <c r="G3343" s="243">
        <f t="shared" si="1"/>
        <v>0</v>
      </c>
      <c r="H3343" s="227" t="s">
        <v>10</v>
      </c>
    </row>
    <row r="3344" spans="1:8" ht="29.25" customHeight="1" x14ac:dyDescent="0.3">
      <c r="D3344" s="228">
        <f>SUM(D2:D3343)</f>
        <v>38894200.609999947</v>
      </c>
      <c r="E3344" s="237"/>
      <c r="F3344" s="228">
        <f>SUM(F2:F3343)</f>
        <v>37896226.729999945</v>
      </c>
      <c r="G3344" s="229">
        <f>SUM(G2:G3343)</f>
        <v>997973.88000000012</v>
      </c>
    </row>
    <row r="3349" spans="4:6" ht="16.5" thickBot="1" x14ac:dyDescent="0.3"/>
    <row r="3350" spans="4:6" ht="16.5" thickTop="1" x14ac:dyDescent="0.25">
      <c r="D3350" s="305" t="s">
        <v>34992</v>
      </c>
      <c r="E3350" s="301">
        <f>D3344-F3344</f>
        <v>997973.88000000268</v>
      </c>
      <c r="F3350" s="302"/>
    </row>
    <row r="3351" spans="4:6" ht="16.5" thickBot="1" x14ac:dyDescent="0.3">
      <c r="D3351" s="306"/>
      <c r="E3351" s="303"/>
      <c r="F3351" s="304"/>
    </row>
  </sheetData>
  <mergeCells count="2">
    <mergeCell ref="E3350:F3351"/>
    <mergeCell ref="D3350:D3351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   J U L I O     2 0 2 2    </vt:lpstr>
      <vt:lpstr>    A G O S T O    2 0 2 2    </vt:lpstr>
      <vt:lpstr>SEPTIEMBRE     2 0 2 2      </vt:lpstr>
      <vt:lpstr>  OCTUBRE   2 0 2 2        </vt:lpstr>
      <vt:lpstr>Hoja1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2023-06-09T13:04:15Z</dcterms:modified>
</cp:coreProperties>
</file>